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丰联10层2025\"/>
    </mc:Choice>
  </mc:AlternateContent>
  <xr:revisionPtr revIDLastSave="0" documentId="13_ncr:1_{17AFA362-E3C1-4707-8330-3B462C173CD7}" xr6:coauthVersionLast="47" xr6:coauthVersionMax="47" xr10:uidLastSave="{00000000-0000-0000-0000-000000000000}"/>
  <bookViews>
    <workbookView xWindow="9696" yWindow="120" windowWidth="12432" windowHeight="1206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Y6" i="1" l="1"/>
  <c r="J49" i="67"/>
  <c r="N6" i="1"/>
  <c r="N18" i="1"/>
  <c r="N20" i="1" s="1"/>
  <c r="B21" i="1"/>
  <c r="F19" i="6"/>
  <c r="D33" i="43" s="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5" i="79"/>
  <c r="AD37" i="79"/>
  <c r="AD36" i="79"/>
  <c r="AD38" i="79"/>
  <c r="S35" i="79"/>
  <c r="AG35" i="79" s="1"/>
  <c r="S33" i="79"/>
  <c r="AG33" i="79" s="1"/>
  <c r="S34" i="79"/>
  <c r="AG34" i="79" s="1"/>
  <c r="T40" i="79"/>
  <c r="U46" i="79"/>
  <c r="AI46" i="79" s="1"/>
  <c r="AD47" i="79"/>
  <c r="S48" i="79"/>
  <c r="AG48" i="79" s="1"/>
  <c r="U50" i="79"/>
  <c r="AI50" i="79" s="1"/>
  <c r="AD51" i="79"/>
  <c r="AR18" i="79"/>
  <c r="AR19" i="79" s="1"/>
  <c r="AR20" i="79" s="1"/>
  <c r="AR21" i="79" s="1"/>
  <c r="AR22" i="79" s="1"/>
  <c r="AR23" i="79" s="1"/>
  <c r="AR24" i="79" s="1"/>
  <c r="T35" i="79"/>
  <c r="T34" i="79"/>
  <c r="T33" i="79"/>
  <c r="Z3" i="79"/>
  <c r="AA31" i="79"/>
  <c r="AD31"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33" i="79"/>
  <c r="AK33" i="79" s="1"/>
  <c r="AH33" i="79"/>
  <c r="W11" i="79"/>
  <c r="AK11" i="79" s="1"/>
  <c r="AH11" i="79"/>
  <c r="W17" i="79"/>
  <c r="AK17" i="79" s="1"/>
  <c r="AH17" i="79"/>
  <c r="W10" i="79"/>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39" i="79"/>
  <c r="AK39" i="79" s="1"/>
  <c r="W18" i="79"/>
  <c r="AK18" i="79" s="1"/>
  <c r="AH18" i="79"/>
  <c r="W20" i="79"/>
  <c r="AK20" i="79" s="1"/>
  <c r="AH20"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X31" i="71" s="1"/>
  <c r="D33" i="71"/>
  <c r="Q32" i="71"/>
  <c r="AB32" i="71"/>
  <c r="P32" i="71"/>
  <c r="O32" i="71"/>
  <c r="N32" i="71"/>
  <c r="Q31" i="71"/>
  <c r="P31" i="71"/>
  <c r="O31" i="71"/>
  <c r="N31" i="71"/>
  <c r="Q30" i="71"/>
  <c r="AB27" i="71" s="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AA35" i="71"/>
  <c r="C38" i="71"/>
  <c r="D38" i="71" s="1"/>
  <c r="X38" i="71"/>
  <c r="B28" i="71"/>
  <c r="B27" i="71" s="1"/>
  <c r="B26" i="71" s="1"/>
  <c r="X26" i="71"/>
  <c r="C31" i="71"/>
  <c r="D30" i="71"/>
  <c r="C43" i="71"/>
  <c r="C44" i="71" s="1"/>
  <c r="D44" i="71" s="1"/>
  <c r="P28" i="71"/>
  <c r="E28" i="71" s="1"/>
  <c r="U56" i="71"/>
  <c r="E64" i="71"/>
  <c r="U64" i="71" s="1"/>
  <c r="U68" i="71"/>
  <c r="E67" i="71"/>
  <c r="Q28" i="71"/>
  <c r="D58" i="71"/>
  <c r="D62" i="71"/>
  <c r="B66" i="71"/>
  <c r="D72" i="71"/>
  <c r="E75" i="71"/>
  <c r="E74" i="71" s="1"/>
  <c r="E79" i="71"/>
  <c r="E78" i="71" s="1"/>
  <c r="D80" i="71"/>
  <c r="C87" i="71"/>
  <c r="F28" i="71"/>
  <c r="F27" i="71" s="1"/>
  <c r="F26" i="71" s="1"/>
  <c r="AA28" i="71"/>
  <c r="P67" i="71"/>
  <c r="E66" i="71"/>
  <c r="D43"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AC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2" i="31"/>
  <c r="S330" i="31"/>
  <c r="S326" i="31"/>
  <c r="S322" i="31"/>
  <c r="S424" i="31"/>
  <c r="S318" i="31"/>
  <c r="S314" i="31"/>
  <c r="S310" i="31"/>
  <c r="S306" i="31"/>
  <c r="S302" i="31"/>
  <c r="S298" i="31"/>
  <c r="S294" i="31"/>
  <c r="S292" i="31"/>
  <c r="S290"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6" i="31"/>
  <c r="S115"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G5" i="3" s="1"/>
  <c r="BH493" i="3"/>
  <c r="BI493" i="3"/>
  <c r="BJ493" i="3"/>
  <c r="BK493" i="3"/>
  <c r="BM493" i="3"/>
  <c r="BN493" i="3"/>
  <c r="BO493" i="3"/>
  <c r="BP493" i="3"/>
  <c r="BL493" i="3" s="1"/>
  <c r="BR493" i="3"/>
  <c r="BS493" i="3"/>
  <c r="BT493" i="3"/>
  <c r="H494" i="3"/>
  <c r="G494"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S5" i="3" s="1"/>
  <c r="BT497" i="3"/>
  <c r="H498" i="3"/>
  <c r="AC498" i="3"/>
  <c r="BB498" i="3"/>
  <c r="BA498" i="3" s="1"/>
  <c r="BC498" i="3"/>
  <c r="BD498" i="3"/>
  <c r="BE498" i="3"/>
  <c r="BF498" i="3"/>
  <c r="BF5" i="3" s="1"/>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L530" i="3" s="1"/>
  <c r="AZ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17" i="31"/>
  <c r="S518" i="31"/>
  <c r="S520" i="31"/>
  <c r="S521" i="31"/>
  <c r="S522"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AA41" i="21"/>
  <c r="F45" i="39"/>
  <c r="S45" i="39"/>
  <c r="J45" i="39"/>
  <c r="W45" i="39" s="1"/>
  <c r="J44" i="39"/>
  <c r="AC44" i="39" s="1"/>
  <c r="F36" i="39"/>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W8" i="34"/>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S45" i="33"/>
  <c r="AC28" i="21"/>
  <c r="BA586" i="3"/>
  <c r="F17" i="21"/>
  <c r="AA17" i="21" s="1"/>
  <c r="H17" i="21"/>
  <c r="AB17" i="21" s="1"/>
  <c r="F15" i="21"/>
  <c r="S15" i="21" s="1"/>
  <c r="J41" i="39"/>
  <c r="W41" i="39" s="1"/>
  <c r="W44" i="39"/>
  <c r="U36" i="39"/>
  <c r="S35" i="39"/>
  <c r="G544" i="3"/>
  <c r="G536" i="3"/>
  <c r="G535" i="3"/>
  <c r="G531" i="3"/>
  <c r="G528" i="3"/>
  <c r="G527" i="3"/>
  <c r="G514" i="3"/>
  <c r="G508" i="3"/>
  <c r="G500" i="3"/>
  <c r="G584" i="3"/>
  <c r="G580" i="3"/>
  <c r="G576" i="3"/>
  <c r="G572" i="3"/>
  <c r="G568" i="3"/>
  <c r="G564" i="3"/>
  <c r="G560" i="3"/>
  <c r="G554" i="3"/>
  <c r="G550" i="3"/>
  <c r="BL580" i="3"/>
  <c r="BL576" i="3"/>
  <c r="BL572" i="3"/>
  <c r="BL568" i="3"/>
  <c r="BL564" i="3"/>
  <c r="BL560" i="3"/>
  <c r="BL554" i="3"/>
  <c r="BL538" i="3"/>
  <c r="BL502" i="3"/>
  <c r="BL578" i="3"/>
  <c r="BL574" i="3"/>
  <c r="BL570" i="3"/>
  <c r="BL566" i="3"/>
  <c r="BL562" i="3"/>
  <c r="BL556" i="3"/>
  <c r="BL552" i="3"/>
  <c r="G529" i="3"/>
  <c r="G525" i="3"/>
  <c r="G493" i="3"/>
  <c r="BA580" i="3"/>
  <c r="BA578" i="3"/>
  <c r="BA576" i="3"/>
  <c r="BA574" i="3"/>
  <c r="AZ574" i="3" s="1"/>
  <c r="BA572" i="3"/>
  <c r="AZ572" i="3" s="1"/>
  <c r="BA570" i="3"/>
  <c r="BA568" i="3"/>
  <c r="BA566" i="3"/>
  <c r="AZ566" i="3" s="1"/>
  <c r="BA564" i="3"/>
  <c r="BA562" i="3"/>
  <c r="BA560" i="3"/>
  <c r="BA558" i="3"/>
  <c r="AZ558" i="3" s="1"/>
  <c r="BA556" i="3"/>
  <c r="AZ556" i="3" s="1"/>
  <c r="BA554" i="3"/>
  <c r="AZ554" i="3" s="1"/>
  <c r="BA552" i="3"/>
  <c r="AZ552" i="3" s="1"/>
  <c r="BA540" i="3"/>
  <c r="BA516" i="3"/>
  <c r="BA504" i="3"/>
  <c r="BA587" i="3"/>
  <c r="BA581" i="3"/>
  <c r="BA579" i="3"/>
  <c r="BA577" i="3"/>
  <c r="BA575" i="3"/>
  <c r="BA573" i="3"/>
  <c r="BA571" i="3"/>
  <c r="AZ571" i="3" s="1"/>
  <c r="BA569" i="3"/>
  <c r="BA567" i="3"/>
  <c r="BA565" i="3"/>
  <c r="BA563" i="3"/>
  <c r="BA561" i="3"/>
  <c r="BA559" i="3"/>
  <c r="BA555" i="3"/>
  <c r="BA553" i="3"/>
  <c r="BA547" i="3"/>
  <c r="BA531" i="3"/>
  <c r="BA513" i="3"/>
  <c r="BA495" i="3"/>
  <c r="AZ560"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5" i="3"/>
  <c r="G543" i="3"/>
  <c r="G537" i="3"/>
  <c r="BQ555" i="3"/>
  <c r="BL555" i="3"/>
  <c r="BQ553" i="3"/>
  <c r="BL553" i="3" s="1"/>
  <c r="AZ553" i="3"/>
  <c r="BQ551" i="3"/>
  <c r="BQ549" i="3"/>
  <c r="BQ547" i="3"/>
  <c r="BL547" i="3" s="1"/>
  <c r="AZ547" i="3" s="1"/>
  <c r="BQ545" i="3"/>
  <c r="BQ543" i="3"/>
  <c r="BQ541" i="3"/>
  <c r="BQ539" i="3"/>
  <c r="BQ537" i="3"/>
  <c r="BQ535" i="3"/>
  <c r="BQ533" i="3"/>
  <c r="BQ531" i="3"/>
  <c r="BQ529" i="3"/>
  <c r="BQ527" i="3"/>
  <c r="BQ525" i="3"/>
  <c r="BQ523" i="3"/>
  <c r="BL523" i="3" s="1"/>
  <c r="AC521" i="3"/>
  <c r="G521" i="3" s="1"/>
  <c r="BQ521" i="3"/>
  <c r="G519" i="3"/>
  <c r="G515" i="3"/>
  <c r="G513" i="3"/>
  <c r="BQ519" i="3"/>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AC11" i="39" s="1"/>
  <c r="W11" i="39"/>
  <c r="F11" i="39"/>
  <c r="S11" i="39" s="1"/>
  <c r="AA11" i="39"/>
  <c r="G4" i="4"/>
  <c r="I4" i="4"/>
  <c r="A2" i="9"/>
  <c r="F61" i="43"/>
  <c r="H64" i="43" s="1"/>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97"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86"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BA379" i="3"/>
  <c r="AZ379" i="3" s="1"/>
  <c r="BL380" i="3"/>
  <c r="G381" i="3"/>
  <c r="BA383" i="3"/>
  <c r="AZ383" i="3" s="1"/>
  <c r="BL384" i="3"/>
  <c r="G385" i="3"/>
  <c r="BA387" i="3"/>
  <c r="BL388" i="3"/>
  <c r="G389" i="3"/>
  <c r="BA391" i="3"/>
  <c r="AZ391" i="3" s="1"/>
  <c r="BL392" i="3"/>
  <c r="G393" i="3"/>
  <c r="BM5" i="3"/>
  <c r="AZ341" i="3"/>
  <c r="G538" i="3"/>
  <c r="G520" i="3"/>
  <c r="BN5" i="3"/>
  <c r="G17" i="3"/>
  <c r="BA17" i="3"/>
  <c r="AZ356" i="3"/>
  <c r="BA15" i="3"/>
  <c r="AZ380" i="3"/>
  <c r="AZ392" i="3"/>
  <c r="G509" i="3"/>
  <c r="U36" i="40"/>
  <c r="F83" i="43"/>
  <c r="H85" i="43" s="1"/>
  <c r="F50" i="43"/>
  <c r="H54" i="43" s="1"/>
  <c r="F72" i="43"/>
  <c r="H75" i="43" s="1"/>
  <c r="U17" i="39"/>
  <c r="S14" i="35"/>
  <c r="U43" i="21"/>
  <c r="AC35"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6" i="3"/>
  <c r="AZ5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3" i="36"/>
  <c r="U33" i="36"/>
  <c r="AC12" i="39"/>
  <c r="W12" i="39"/>
  <c r="AA32" i="36"/>
  <c r="S32" i="36"/>
  <c r="AZ473" i="3"/>
  <c r="BL14" i="3"/>
  <c r="U30" i="33"/>
  <c r="AC13" i="34"/>
  <c r="AA47" i="34"/>
  <c r="W28" i="37"/>
  <c r="S19" i="39"/>
  <c r="F12" i="33"/>
  <c r="H12" i="39"/>
  <c r="AB12" i="39" s="1"/>
  <c r="F39" i="40"/>
  <c r="BA14" i="3"/>
  <c r="AZ14" i="3" s="1"/>
  <c r="AZ367" i="3"/>
  <c r="AZ157" i="3"/>
  <c r="B12" i="1"/>
  <c r="E12" i="1" s="1"/>
  <c r="B10" i="1"/>
  <c r="E10" i="1" s="1"/>
  <c r="K12" i="1"/>
  <c r="M12" i="1" s="1"/>
  <c r="S13" i="1"/>
  <c r="AR13" i="1" s="1"/>
  <c r="R13" i="1"/>
  <c r="J51" i="67"/>
  <c r="AC34" i="33"/>
  <c r="B41" i="1"/>
  <c r="F48" i="9" s="1"/>
  <c r="O52" i="9" s="1"/>
  <c r="AB37" i="40"/>
  <c r="S35" i="40"/>
  <c r="U35"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A22" i="36"/>
  <c r="W14" i="36"/>
  <c r="AB14" i="36"/>
  <c r="U22" i="36"/>
  <c r="S16" i="36"/>
  <c r="AA25" i="36"/>
  <c r="S24" i="36"/>
  <c r="U23" i="36"/>
  <c r="AB20" i="36"/>
  <c r="U16" i="36"/>
  <c r="S14" i="36"/>
  <c r="AA25" i="35"/>
  <c r="S23" i="35"/>
  <c r="W24" i="35"/>
  <c r="AB13" i="35"/>
  <c r="U29" i="35"/>
  <c r="U28" i="35"/>
  <c r="AB27" i="35"/>
  <c r="U32" i="35"/>
  <c r="AA33" i="35"/>
  <c r="AC30" i="35"/>
  <c r="S32" i="35"/>
  <c r="S28" i="35"/>
  <c r="AB16" i="35"/>
  <c r="U22" i="35"/>
  <c r="S20" i="35"/>
  <c r="AC20" i="35"/>
  <c r="S22" i="35"/>
  <c r="AA11" i="35"/>
  <c r="AC9" i="35"/>
  <c r="W9" i="35"/>
  <c r="AC12" i="35"/>
  <c r="W13"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U43" i="34"/>
  <c r="AC42" i="34"/>
  <c r="AB35" i="34"/>
  <c r="U39" i="34"/>
  <c r="S43" i="34"/>
  <c r="AB41" i="34"/>
  <c r="AA45" i="34"/>
  <c r="AA25"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AB13" i="40"/>
  <c r="U15" i="40"/>
  <c r="AB17" i="40"/>
  <c r="U8" i="40"/>
  <c r="S8" i="40"/>
  <c r="AC41" i="39"/>
  <c r="U42" i="39"/>
  <c r="U41"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W30" i="21"/>
  <c r="S46" i="21"/>
  <c r="H45" i="21"/>
  <c r="U45" i="21" s="1"/>
  <c r="F29" i="21"/>
  <c r="AA29" i="21" s="1"/>
  <c r="F13" i="21"/>
  <c r="AA13" i="21" s="1"/>
  <c r="AC38" i="21"/>
  <c r="H32" i="21"/>
  <c r="H9" i="21"/>
  <c r="AB9" i="21" s="1"/>
  <c r="J9" i="21"/>
  <c r="J32" i="21"/>
  <c r="W32" i="21" s="1"/>
  <c r="F32" i="21"/>
  <c r="S32" i="21" s="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c r="J87" i="33" s="1"/>
  <c r="K87" i="33" s="1"/>
  <c r="L87" i="33" s="1"/>
  <c r="M87" i="33" s="1"/>
  <c r="J25" i="33"/>
  <c r="AC25" i="33" s="1"/>
  <c r="F23" i="33"/>
  <c r="G85" i="33"/>
  <c r="AA19" i="33"/>
  <c r="H19" i="33"/>
  <c r="AB19" i="33" s="1"/>
  <c r="G81" i="33"/>
  <c r="H17" i="33"/>
  <c r="U17" i="33" s="1"/>
  <c r="F17" i="33"/>
  <c r="S17" i="33" s="1"/>
  <c r="S37" i="21"/>
  <c r="AA23" i="21"/>
  <c r="AB15" i="21"/>
  <c r="J23" i="21"/>
  <c r="AC23" i="21" s="1"/>
  <c r="F85" i="21"/>
  <c r="G85" i="21" s="1"/>
  <c r="H23" i="21"/>
  <c r="S13" i="21"/>
  <c r="D6" i="52"/>
  <c r="AP7" i="1"/>
  <c r="AB45" i="21"/>
  <c r="AA32" i="21"/>
  <c r="W9" i="21"/>
  <c r="AC9" i="21"/>
  <c r="AB32" i="21"/>
  <c r="U32" i="21"/>
  <c r="U32" i="39"/>
  <c r="AC32" i="39"/>
  <c r="W32" i="39"/>
  <c r="J11" i="37"/>
  <c r="AC11" i="37" s="1"/>
  <c r="J11" i="34"/>
  <c r="W11" i="34" s="1"/>
  <c r="AB36" i="33"/>
  <c r="W25" i="33"/>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E12" i="76"/>
  <c r="F9" i="67"/>
  <c r="AO13" i="1"/>
  <c r="M26" i="67"/>
  <c r="F13" i="15"/>
  <c r="F13" i="67"/>
  <c r="F26" i="15"/>
  <c r="L48" i="67"/>
  <c r="M24" i="15"/>
  <c r="M29" i="67"/>
  <c r="E2" i="68"/>
  <c r="M6" i="67"/>
  <c r="M28" i="67"/>
  <c r="L47" i="67"/>
  <c r="F8" i="67"/>
  <c r="F40" i="67"/>
  <c r="E7" i="76"/>
  <c r="F4" i="73"/>
  <c r="B10" i="76"/>
  <c r="B11" i="76"/>
  <c r="E2" i="69"/>
  <c r="B8" i="76"/>
  <c r="F6" i="73"/>
  <c r="J15" i="67"/>
  <c r="F16" i="67"/>
  <c r="F6" i="15"/>
  <c r="F36" i="67"/>
  <c r="F38" i="67"/>
  <c r="F3" i="73"/>
  <c r="M24" i="67"/>
  <c r="B9" i="76"/>
  <c r="C76" i="67"/>
  <c r="E9" i="76"/>
  <c r="E10" i="76"/>
  <c r="B7" i="76"/>
  <c r="E13" i="76"/>
  <c r="F7" i="67"/>
  <c r="M22" i="67"/>
  <c r="B12" i="76"/>
  <c r="B13" i="76"/>
  <c r="M22" i="15"/>
  <c r="F7" i="73"/>
  <c r="M8" i="67"/>
  <c r="F43" i="67"/>
  <c r="F6" i="67"/>
  <c r="F37" i="67"/>
  <c r="E11" i="76"/>
  <c r="M23" i="67"/>
  <c r="F26" i="67"/>
  <c r="D6" i="73"/>
  <c r="F16" i="15"/>
  <c r="F5" i="73"/>
  <c r="F42" i="67"/>
  <c r="F43" i="15"/>
  <c r="F20" i="31"/>
  <c r="E8" i="76"/>
  <c r="C40" i="68" l="1"/>
  <c r="C23" i="40"/>
  <c r="C29" i="39"/>
  <c r="B57" i="43"/>
  <c r="B79" i="43"/>
  <c r="B77" i="43"/>
  <c r="C40" i="69"/>
  <c r="C21" i="68"/>
  <c r="G23" i="43"/>
  <c r="C23" i="43" s="1"/>
  <c r="C7" i="33"/>
  <c r="C7" i="37"/>
  <c r="C52" i="37" s="1"/>
  <c r="D52" i="37" s="1"/>
  <c r="M47" i="9"/>
  <c r="C7" i="35"/>
  <c r="C48" i="35" s="1"/>
  <c r="D48" i="35" s="1"/>
  <c r="C7" i="40"/>
  <c r="C63" i="40" s="1"/>
  <c r="C7" i="39"/>
  <c r="C67" i="39" s="1"/>
  <c r="C42" i="1"/>
  <c r="C24" i="12" s="1"/>
  <c r="AZ527" i="3"/>
  <c r="AZ520" i="3"/>
  <c r="AZ512" i="3"/>
  <c r="AZ510" i="3"/>
  <c r="AZ509" i="3"/>
  <c r="AZ508" i="3"/>
  <c r="AZ494" i="3"/>
  <c r="AZ551" i="3"/>
  <c r="AZ528" i="3"/>
  <c r="AZ543" i="3"/>
  <c r="AZ513" i="3"/>
  <c r="AZ516" i="3"/>
  <c r="AZ502" i="3"/>
  <c r="S14" i="37"/>
  <c r="AA14" i="37"/>
  <c r="U45" i="33"/>
  <c r="AB45" i="33"/>
  <c r="BA585" i="3"/>
  <c r="F14" i="21"/>
  <c r="H14" i="21"/>
  <c r="J14" i="21"/>
  <c r="AZ584" i="3"/>
  <c r="BL537" i="3"/>
  <c r="BL532" i="3"/>
  <c r="BA532" i="3"/>
  <c r="BL528" i="3"/>
  <c r="BA518" i="3"/>
  <c r="AZ518" i="3" s="1"/>
  <c r="BL509" i="3"/>
  <c r="BL505" i="3"/>
  <c r="BA505" i="3"/>
  <c r="BA501" i="3"/>
  <c r="AZ501" i="3" s="1"/>
  <c r="BL495" i="3"/>
  <c r="BL544" i="3"/>
  <c r="AZ544" i="3" s="1"/>
  <c r="BA536" i="3"/>
  <c r="AZ536" i="3" s="1"/>
  <c r="BA522" i="3"/>
  <c r="AZ522" i="3" s="1"/>
  <c r="BL516" i="3"/>
  <c r="BA515" i="3"/>
  <c r="BA514" i="3"/>
  <c r="AZ514" i="3" s="1"/>
  <c r="BJ5" i="3"/>
  <c r="W33" i="34"/>
  <c r="AA40" i="34"/>
  <c r="S31" i="40"/>
  <c r="U28" i="34"/>
  <c r="W41" i="34"/>
  <c r="U23" i="37"/>
  <c r="S30" i="40"/>
  <c r="AC36" i="40"/>
  <c r="U35" i="21"/>
  <c r="BE5" i="3"/>
  <c r="BP5" i="3"/>
  <c r="G29" i="6" s="1"/>
  <c r="BD5" i="3"/>
  <c r="AZ357" i="3"/>
  <c r="AZ334" i="3"/>
  <c r="H5" i="3"/>
  <c r="AZ579" i="3"/>
  <c r="AZ570" i="3"/>
  <c r="U30" i="21"/>
  <c r="AB30" i="21"/>
  <c r="J26" i="33"/>
  <c r="H26" i="33"/>
  <c r="F29" i="6"/>
  <c r="AZ384" i="3"/>
  <c r="AZ160" i="3"/>
  <c r="AZ523" i="3"/>
  <c r="AA44" i="34"/>
  <c r="S44" i="34"/>
  <c r="W31" i="35"/>
  <c r="AC31" i="35"/>
  <c r="BA549" i="3"/>
  <c r="AZ549" i="3" s="1"/>
  <c r="BA541" i="3"/>
  <c r="AZ541" i="3" s="1"/>
  <c r="BA533" i="3"/>
  <c r="AZ533" i="3" s="1"/>
  <c r="BL524" i="3"/>
  <c r="AZ524" i="3" s="1"/>
  <c r="AZ521" i="3"/>
  <c r="BA521" i="3"/>
  <c r="BA519" i="3"/>
  <c r="BL504" i="3"/>
  <c r="AZ504" i="3" s="1"/>
  <c r="BL496" i="3"/>
  <c r="AZ496" i="3" s="1"/>
  <c r="BK5" i="3"/>
  <c r="E15" i="6" s="1"/>
  <c r="E64" i="39" s="1"/>
  <c r="BA493" i="3"/>
  <c r="AZ493" i="3" s="1"/>
  <c r="BC5" i="3"/>
  <c r="AC27" i="33"/>
  <c r="AC23" i="37"/>
  <c r="U9" i="21"/>
  <c r="S36" i="33"/>
  <c r="U23" i="33"/>
  <c r="AB25" i="33"/>
  <c r="AA19" i="37"/>
  <c r="AB29" i="21"/>
  <c r="W17" i="21"/>
  <c r="W29" i="21"/>
  <c r="AB34" i="33"/>
  <c r="AC25" i="39"/>
  <c r="U27" i="34"/>
  <c r="AC39" i="34"/>
  <c r="W25" i="34"/>
  <c r="AA38" i="37"/>
  <c r="U12" i="39"/>
  <c r="AA27" i="40"/>
  <c r="AB27" i="40"/>
  <c r="AA34" i="33"/>
  <c r="BB5" i="3"/>
  <c r="AZ345" i="3"/>
  <c r="AZ318" i="3"/>
  <c r="AZ337" i="3"/>
  <c r="AZ192" i="3"/>
  <c r="AZ306" i="3"/>
  <c r="BL515" i="3"/>
  <c r="AZ515" i="3" s="1"/>
  <c r="BL527" i="3"/>
  <c r="U33" i="40"/>
  <c r="AB33" i="40"/>
  <c r="AA41" i="33"/>
  <c r="S41" i="33"/>
  <c r="U23" i="34"/>
  <c r="AB23" i="34"/>
  <c r="B97" i="43"/>
  <c r="B75" i="43"/>
  <c r="AC40" i="33"/>
  <c r="W40" i="33"/>
  <c r="J36" i="35"/>
  <c r="AC36" i="35" s="1"/>
  <c r="H36" i="35"/>
  <c r="F36" i="35"/>
  <c r="AC30" i="36"/>
  <c r="AB40" i="34"/>
  <c r="BL548" i="3"/>
  <c r="AZ548" i="3" s="1"/>
  <c r="AZ546" i="3"/>
  <c r="BA545" i="3"/>
  <c r="BL542" i="3"/>
  <c r="AZ542" i="3" s="1"/>
  <c r="BA537" i="3"/>
  <c r="AZ537" i="3" s="1"/>
  <c r="BA529" i="3"/>
  <c r="AZ529" i="3" s="1"/>
  <c r="BL526" i="3"/>
  <c r="BA526" i="3"/>
  <c r="BA525" i="3"/>
  <c r="AZ525" i="3" s="1"/>
  <c r="BL517" i="3"/>
  <c r="AZ517" i="3" s="1"/>
  <c r="BA506" i="3"/>
  <c r="AZ506" i="3" s="1"/>
  <c r="BA500" i="3"/>
  <c r="AZ500" i="3" s="1"/>
  <c r="BL499" i="3"/>
  <c r="AZ499" i="3" s="1"/>
  <c r="BL498" i="3"/>
  <c r="AZ498" i="3" s="1"/>
  <c r="BL497" i="3"/>
  <c r="AZ497" i="3" s="1"/>
  <c r="AC17" i="33"/>
  <c r="W13" i="21"/>
  <c r="U19" i="34"/>
  <c r="AC20" i="36"/>
  <c r="AA39" i="39"/>
  <c r="W37" i="40"/>
  <c r="S13" i="34"/>
  <c r="U14" i="35"/>
  <c r="AC26" i="36"/>
  <c r="AC5" i="3"/>
  <c r="AZ304" i="3"/>
  <c r="AZ139" i="3"/>
  <c r="BL503" i="3"/>
  <c r="AZ503" i="3" s="1"/>
  <c r="BL535" i="3"/>
  <c r="AZ535" i="3" s="1"/>
  <c r="AZ575" i="3"/>
  <c r="U46" i="34"/>
  <c r="AB46" i="34"/>
  <c r="W31" i="33"/>
  <c r="AC31" i="33"/>
  <c r="W36" i="34"/>
  <c r="AC36" i="34"/>
  <c r="S29" i="35"/>
  <c r="AA29" i="35"/>
  <c r="U17" i="34"/>
  <c r="AB17" i="34"/>
  <c r="F26" i="33"/>
  <c r="S36" i="39"/>
  <c r="AA36" i="39"/>
  <c r="F28" i="34"/>
  <c r="J28" i="34"/>
  <c r="C67" i="71"/>
  <c r="T68" i="71"/>
  <c r="O68" i="71"/>
  <c r="D68" i="71"/>
  <c r="Y26" i="71"/>
  <c r="Z26" i="71" s="1"/>
  <c r="Y25" i="71"/>
  <c r="Z25" i="71" s="1"/>
  <c r="AA3" i="71"/>
  <c r="BL519" i="3"/>
  <c r="AZ519" i="3" s="1"/>
  <c r="BL531" i="3"/>
  <c r="AZ531" i="3" s="1"/>
  <c r="BL583" i="3"/>
  <c r="AZ583" i="3" s="1"/>
  <c r="AZ568" i="3"/>
  <c r="AZ576" i="3"/>
  <c r="AA14" i="34"/>
  <c r="BL587" i="3"/>
  <c r="AZ587" i="3" s="1"/>
  <c r="BL586" i="3"/>
  <c r="AZ586" i="3" s="1"/>
  <c r="AC28" i="36"/>
  <c r="W28" i="36"/>
  <c r="AZ402" i="3"/>
  <c r="AZ466" i="3"/>
  <c r="J12" i="36"/>
  <c r="F12" i="36"/>
  <c r="J24" i="36"/>
  <c r="H24" i="36"/>
  <c r="AA40" i="39"/>
  <c r="S40" i="39"/>
  <c r="AB38" i="40"/>
  <c r="U38" i="40"/>
  <c r="BA444" i="3"/>
  <c r="AZ444" i="3" s="1"/>
  <c r="AZ462" i="3"/>
  <c r="AZ387" i="3"/>
  <c r="AZ374" i="3"/>
  <c r="AZ362" i="3"/>
  <c r="AZ338" i="3"/>
  <c r="AZ390" i="3"/>
  <c r="AZ371" i="3"/>
  <c r="AZ351" i="3"/>
  <c r="AZ336" i="3"/>
  <c r="AZ305" i="3"/>
  <c r="AZ360" i="3"/>
  <c r="BL511" i="3"/>
  <c r="AZ511" i="3" s="1"/>
  <c r="BL539" i="3"/>
  <c r="AZ539" i="3" s="1"/>
  <c r="BL543" i="3"/>
  <c r="AZ564" i="3"/>
  <c r="AZ580" i="3"/>
  <c r="S11" i="36"/>
  <c r="AB35" i="33"/>
  <c r="U35" i="33"/>
  <c r="J12" i="33"/>
  <c r="H12" i="33"/>
  <c r="U12" i="33" s="1"/>
  <c r="U12" i="36"/>
  <c r="AB12" i="36"/>
  <c r="H34" i="36"/>
  <c r="J34" i="36"/>
  <c r="W34" i="36" s="1"/>
  <c r="J39" i="40"/>
  <c r="H39" i="40"/>
  <c r="BA410" i="3"/>
  <c r="H39" i="37"/>
  <c r="W22" i="35"/>
  <c r="BL585" i="3"/>
  <c r="G558" i="3"/>
  <c r="BA400" i="3"/>
  <c r="AZ400" i="3" s="1"/>
  <c r="BL401" i="3"/>
  <c r="AZ401" i="3" s="1"/>
  <c r="BA406" i="3"/>
  <c r="AZ406" i="3" s="1"/>
  <c r="G409" i="3"/>
  <c r="BL411" i="3"/>
  <c r="BA420" i="3"/>
  <c r="BA421" i="3"/>
  <c r="BA423" i="3"/>
  <c r="AZ423" i="3" s="1"/>
  <c r="G429" i="3"/>
  <c r="G430" i="3"/>
  <c r="BL432" i="3"/>
  <c r="BL435" i="3"/>
  <c r="BL436" i="3"/>
  <c r="BA439" i="3"/>
  <c r="BA440" i="3"/>
  <c r="AZ440" i="3" s="1"/>
  <c r="BA443" i="3"/>
  <c r="AZ443" i="3" s="1"/>
  <c r="BL445" i="3"/>
  <c r="BL446" i="3"/>
  <c r="BA449" i="3"/>
  <c r="BL455" i="3"/>
  <c r="BL456" i="3"/>
  <c r="BA460" i="3"/>
  <c r="BA461" i="3"/>
  <c r="G464" i="3"/>
  <c r="BL479" i="3"/>
  <c r="BA487" i="3"/>
  <c r="AZ487" i="3" s="1"/>
  <c r="BL316" i="3"/>
  <c r="BL350" i="3"/>
  <c r="BA225" i="3"/>
  <c r="G229" i="3"/>
  <c r="BA231" i="3"/>
  <c r="AZ231" i="3" s="1"/>
  <c r="BL254" i="3"/>
  <c r="BL550" i="3"/>
  <c r="AZ550" i="3" s="1"/>
  <c r="BL15" i="3"/>
  <c r="AZ15" i="3" s="1"/>
  <c r="BA398" i="3"/>
  <c r="AZ398" i="3" s="1"/>
  <c r="BA399" i="3"/>
  <c r="AZ399" i="3" s="1"/>
  <c r="BL404" i="3"/>
  <c r="BL405" i="3"/>
  <c r="BL408" i="3"/>
  <c r="BA413" i="3"/>
  <c r="AZ413" i="3" s="1"/>
  <c r="BA414" i="3"/>
  <c r="BA415" i="3"/>
  <c r="BA416" i="3"/>
  <c r="AZ416" i="3" s="1"/>
  <c r="BA418" i="3"/>
  <c r="AZ418" i="3" s="1"/>
  <c r="BL424" i="3"/>
  <c r="AZ424" i="3" s="1"/>
  <c r="BL428" i="3"/>
  <c r="BL429" i="3"/>
  <c r="BL441" i="3"/>
  <c r="BL442" i="3"/>
  <c r="AZ442" i="3" s="1"/>
  <c r="BA445" i="3"/>
  <c r="BA447" i="3"/>
  <c r="AZ447" i="3" s="1"/>
  <c r="BL451" i="3"/>
  <c r="AZ451" i="3" s="1"/>
  <c r="BA454" i="3"/>
  <c r="AZ454" i="3" s="1"/>
  <c r="AZ469" i="3"/>
  <c r="AZ480" i="3"/>
  <c r="N65" i="71"/>
  <c r="N66" i="71"/>
  <c r="G574" i="3"/>
  <c r="BL16" i="3"/>
  <c r="AZ16" i="3" s="1"/>
  <c r="BL400" i="3"/>
  <c r="G403" i="3"/>
  <c r="BA404" i="3"/>
  <c r="AZ404" i="3" s="1"/>
  <c r="BA405" i="3"/>
  <c r="BL409" i="3"/>
  <c r="BA412" i="3"/>
  <c r="AZ412" i="3" s="1"/>
  <c r="G418" i="3"/>
  <c r="G419" i="3"/>
  <c r="BL420" i="3"/>
  <c r="G423" i="3"/>
  <c r="BL430" i="3"/>
  <c r="BA433" i="3"/>
  <c r="AZ433" i="3" s="1"/>
  <c r="BA435" i="3"/>
  <c r="BL437" i="3"/>
  <c r="AZ437" i="3" s="1"/>
  <c r="G439" i="3"/>
  <c r="BA441" i="3"/>
  <c r="AZ441" i="3" s="1"/>
  <c r="G448" i="3"/>
  <c r="BL448" i="3"/>
  <c r="AZ448" i="3" s="1"/>
  <c r="G450" i="3"/>
  <c r="BL452" i="3"/>
  <c r="G454" i="3"/>
  <c r="G455" i="3"/>
  <c r="BA458" i="3"/>
  <c r="AZ458" i="3" s="1"/>
  <c r="G466" i="3"/>
  <c r="BL488" i="3"/>
  <c r="G323" i="3"/>
  <c r="BA385" i="3"/>
  <c r="BL230" i="3"/>
  <c r="BL237" i="3"/>
  <c r="BL252" i="3"/>
  <c r="G295" i="3"/>
  <c r="G458" i="3"/>
  <c r="BL459" i="3"/>
  <c r="AZ459" i="3" s="1"/>
  <c r="G462" i="3"/>
  <c r="BA465" i="3"/>
  <c r="AZ465" i="3" s="1"/>
  <c r="BA467" i="3"/>
  <c r="BA468" i="3"/>
  <c r="AZ468" i="3" s="1"/>
  <c r="BL471" i="3"/>
  <c r="BL475" i="3"/>
  <c r="BA477" i="3"/>
  <c r="BA478" i="3"/>
  <c r="AZ478" i="3" s="1"/>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AZ225" i="3" s="1"/>
  <c r="BL226" i="3"/>
  <c r="BL234" i="3"/>
  <c r="BA237" i="3"/>
  <c r="BA240" i="3"/>
  <c r="AZ240" i="3" s="1"/>
  <c r="BA241" i="3"/>
  <c r="BL241" i="3"/>
  <c r="BA259" i="3"/>
  <c r="AZ259" i="3" s="1"/>
  <c r="BA262" i="3"/>
  <c r="AZ262" i="3" s="1"/>
  <c r="BA271" i="3"/>
  <c r="AZ271" i="3" s="1"/>
  <c r="BL271" i="3"/>
  <c r="BA273" i="3"/>
  <c r="AZ273" i="3" s="1"/>
  <c r="BA279" i="3"/>
  <c r="BL301" i="3"/>
  <c r="BL302" i="3"/>
  <c r="BA114" i="3"/>
  <c r="BL123" i="3"/>
  <c r="AZ123" i="3" s="1"/>
  <c r="BA134" i="3"/>
  <c r="BL139" i="3"/>
  <c r="G140" i="3"/>
  <c r="BL141" i="3"/>
  <c r="BL143" i="3"/>
  <c r="AZ143" i="3" s="1"/>
  <c r="G146" i="3"/>
  <c r="C34" i="71"/>
  <c r="Y29" i="71"/>
  <c r="Z29" i="71" s="1"/>
  <c r="C47" i="71"/>
  <c r="D47" i="71" s="1"/>
  <c r="D46" i="71"/>
  <c r="D50" i="71"/>
  <c r="C51" i="71"/>
  <c r="C55" i="71"/>
  <c r="D54" i="71"/>
  <c r="C60" i="71"/>
  <c r="D59" i="71"/>
  <c r="BL398" i="3"/>
  <c r="G402" i="3"/>
  <c r="BL403" i="3"/>
  <c r="AZ403" i="3" s="1"/>
  <c r="G405" i="3"/>
  <c r="G406" i="3"/>
  <c r="BA408" i="3"/>
  <c r="AZ408" i="3" s="1"/>
  <c r="BA409" i="3"/>
  <c r="AZ409" i="3" s="1"/>
  <c r="BA411" i="3"/>
  <c r="AZ411" i="3" s="1"/>
  <c r="BL414" i="3"/>
  <c r="BL415" i="3"/>
  <c r="BA417" i="3"/>
  <c r="AZ417" i="3" s="1"/>
  <c r="BL421" i="3"/>
  <c r="BL422" i="3"/>
  <c r="AZ422" i="3" s="1"/>
  <c r="BL425" i="3"/>
  <c r="AZ425" i="3" s="1"/>
  <c r="BL426" i="3"/>
  <c r="BA428" i="3"/>
  <c r="AZ428" i="3" s="1"/>
  <c r="BA429" i="3"/>
  <c r="BA430" i="3"/>
  <c r="AZ430" i="3" s="1"/>
  <c r="BA432" i="3"/>
  <c r="AZ432" i="3" s="1"/>
  <c r="BA434" i="3"/>
  <c r="BA436" i="3"/>
  <c r="BA438" i="3"/>
  <c r="G442" i="3"/>
  <c r="G443" i="3"/>
  <c r="BA446" i="3"/>
  <c r="BA450" i="3"/>
  <c r="AZ450" i="3" s="1"/>
  <c r="BA453" i="3"/>
  <c r="AZ453" i="3" s="1"/>
  <c r="BA455" i="3"/>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BA388" i="3"/>
  <c r="AZ388" i="3" s="1"/>
  <c r="BA396" i="3"/>
  <c r="BA209" i="3"/>
  <c r="BL217" i="3"/>
  <c r="AZ217" i="3" s="1"/>
  <c r="BA219" i="3"/>
  <c r="AZ219" i="3" s="1"/>
  <c r="BA221" i="3"/>
  <c r="AZ221" i="3" s="1"/>
  <c r="BA223" i="3"/>
  <c r="AZ223" i="3" s="1"/>
  <c r="BL228" i="3"/>
  <c r="AZ228" i="3" s="1"/>
  <c r="BA230" i="3"/>
  <c r="AZ230" i="3" s="1"/>
  <c r="BL232" i="3"/>
  <c r="G238" i="3"/>
  <c r="BA239" i="3"/>
  <c r="AZ239" i="3" s="1"/>
  <c r="BL239" i="3"/>
  <c r="BA242" i="3"/>
  <c r="AZ242" i="3" s="1"/>
  <c r="BA245" i="3"/>
  <c r="AZ245" i="3" s="1"/>
  <c r="BA246" i="3"/>
  <c r="BA252" i="3"/>
  <c r="BA254" i="3"/>
  <c r="AZ254" i="3" s="1"/>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AZ294" i="3" s="1"/>
  <c r="BA297" i="3"/>
  <c r="BL297" i="3"/>
  <c r="G26" i="3"/>
  <c r="BL35" i="3"/>
  <c r="BA47" i="3"/>
  <c r="G56" i="3"/>
  <c r="AZ70" i="3"/>
  <c r="BL464" i="3"/>
  <c r="AZ464" i="3" s="1"/>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G236" i="3"/>
  <c r="BA238" i="3"/>
  <c r="G243" i="3"/>
  <c r="BA244" i="3"/>
  <c r="BL244" i="3"/>
  <c r="BL248" i="3"/>
  <c r="AZ248" i="3" s="1"/>
  <c r="G250" i="3"/>
  <c r="BL250" i="3"/>
  <c r="AZ250" i="3" s="1"/>
  <c r="G252" i="3"/>
  <c r="G254" i="3"/>
  <c r="BL255" i="3"/>
  <c r="G261" i="3"/>
  <c r="BA263" i="3"/>
  <c r="AZ263" i="3" s="1"/>
  <c r="BL265" i="3"/>
  <c r="AZ265" i="3" s="1"/>
  <c r="BL272" i="3"/>
  <c r="BL273" i="3"/>
  <c r="G274" i="3"/>
  <c r="BA276" i="3"/>
  <c r="BA278" i="3"/>
  <c r="AZ278" i="3" s="1"/>
  <c r="G281" i="3"/>
  <c r="BA282" i="3"/>
  <c r="AZ282" i="3" s="1"/>
  <c r="BL282" i="3"/>
  <c r="G286" i="3"/>
  <c r="BL286" i="3"/>
  <c r="AZ286" i="3" s="1"/>
  <c r="G289" i="3"/>
  <c r="G290" i="3"/>
  <c r="BA296" i="3"/>
  <c r="BA298" i="3"/>
  <c r="AZ298" i="3" s="1"/>
  <c r="BA301" i="3"/>
  <c r="AZ301" i="3" s="1"/>
  <c r="BA302" i="3"/>
  <c r="AZ302" i="3" s="1"/>
  <c r="G115" i="3"/>
  <c r="BA116" i="3"/>
  <c r="AZ116" i="3" s="1"/>
  <c r="BA121" i="3"/>
  <c r="AZ121" i="3" s="1"/>
  <c r="BL121" i="3"/>
  <c r="BA125" i="3"/>
  <c r="BL127" i="3"/>
  <c r="AZ127" i="3" s="1"/>
  <c r="G128" i="3"/>
  <c r="BA129" i="3"/>
  <c r="BL133" i="3"/>
  <c r="AZ133" i="3" s="1"/>
  <c r="BL134" i="3"/>
  <c r="G150" i="3"/>
  <c r="G154" i="3"/>
  <c r="BL161" i="3"/>
  <c r="G206" i="3"/>
  <c r="BL24" i="3"/>
  <c r="BL34" i="3"/>
  <c r="BL44" i="3"/>
  <c r="BA67"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G50" i="3"/>
  <c r="G52" i="3"/>
  <c r="BA52" i="3"/>
  <c r="AZ52" i="3" s="1"/>
  <c r="BA53" i="3"/>
  <c r="AZ53" i="3" s="1"/>
  <c r="BA54" i="3"/>
  <c r="BL57" i="3"/>
  <c r="AZ57" i="3" s="1"/>
  <c r="G59" i="3"/>
  <c r="BL62" i="3"/>
  <c r="AZ62" i="3" s="1"/>
  <c r="BL63" i="3"/>
  <c r="AZ63" i="3" s="1"/>
  <c r="BL65" i="3"/>
  <c r="AZ65" i="3" s="1"/>
  <c r="BL66" i="3"/>
  <c r="AZ66" i="3" s="1"/>
  <c r="BL67" i="3"/>
  <c r="BL70" i="3"/>
  <c r="BL71" i="3"/>
  <c r="AZ71" i="3" s="1"/>
  <c r="BL72" i="3"/>
  <c r="AZ72" i="3" s="1"/>
  <c r="BL75" i="3"/>
  <c r="BA80" i="3"/>
  <c r="BL84" i="3"/>
  <c r="T32" i="71"/>
  <c r="D32" i="71"/>
  <c r="C86" i="71"/>
  <c r="D86" i="71" s="1"/>
  <c r="D87" i="71"/>
  <c r="C23" i="71"/>
  <c r="B22" i="71"/>
  <c r="B21" i="71" s="1"/>
  <c r="B20" i="71" s="1"/>
  <c r="G235" i="3"/>
  <c r="BL235" i="3"/>
  <c r="AZ235" i="3" s="1"/>
  <c r="BL236" i="3"/>
  <c r="G237" i="3"/>
  <c r="BL238" i="3"/>
  <c r="G239" i="3"/>
  <c r="BL243" i="3"/>
  <c r="AZ243" i="3" s="1"/>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AZ207" i="3" s="1"/>
  <c r="BL18" i="3"/>
  <c r="G19" i="3"/>
  <c r="BL19" i="3"/>
  <c r="BA20" i="3"/>
  <c r="AZ20" i="3" s="1"/>
  <c r="BL25" i="3"/>
  <c r="BL27" i="3"/>
  <c r="BA28" i="3"/>
  <c r="AZ28" i="3" s="1"/>
  <c r="BA31" i="3"/>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L86" i="3"/>
  <c r="AZ86" i="3" s="1"/>
  <c r="G87" i="3"/>
  <c r="BA91" i="3"/>
  <c r="AZ91" i="3" s="1"/>
  <c r="BA98" i="3"/>
  <c r="BA100" i="3"/>
  <c r="AZ100" i="3" s="1"/>
  <c r="BA102" i="3"/>
  <c r="BL105" i="3"/>
  <c r="AZ105" i="3" s="1"/>
  <c r="G107" i="3"/>
  <c r="BL107" i="3"/>
  <c r="BA110" i="3"/>
  <c r="AZ110" i="3" s="1"/>
  <c r="F3" i="35"/>
  <c r="W25" i="40"/>
  <c r="AB21" i="37"/>
  <c r="U21" i="37"/>
  <c r="E71" i="71"/>
  <c r="E70" i="71" s="1"/>
  <c r="Y30" i="71"/>
  <c r="Z30" i="71" s="1"/>
  <c r="AB34" i="71"/>
  <c r="AB33" i="71"/>
  <c r="AB35" i="71"/>
  <c r="AA30" i="71"/>
  <c r="AA38" i="71"/>
  <c r="C64" i="71"/>
  <c r="D63" i="71"/>
  <c r="T76" i="71"/>
  <c r="D76" i="71"/>
  <c r="C75" i="71"/>
  <c r="BA117" i="3"/>
  <c r="BA130" i="3"/>
  <c r="AZ130" i="3" s="1"/>
  <c r="BL130" i="3"/>
  <c r="BA137" i="3"/>
  <c r="AZ137" i="3" s="1"/>
  <c r="BL138" i="3"/>
  <c r="BA140" i="3"/>
  <c r="AZ140" i="3" s="1"/>
  <c r="BA142" i="3"/>
  <c r="BL149" i="3"/>
  <c r="AZ149" i="3" s="1"/>
  <c r="BL150" i="3"/>
  <c r="AZ150" i="3" s="1"/>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BA27" i="3"/>
  <c r="G30" i="3"/>
  <c r="BL30" i="3"/>
  <c r="BL31" i="3"/>
  <c r="G35" i="3"/>
  <c r="G36" i="3"/>
  <c r="G40" i="3"/>
  <c r="BL40" i="3"/>
  <c r="AZ40" i="3" s="1"/>
  <c r="BL41" i="3"/>
  <c r="G45" i="3"/>
  <c r="BL45" i="3"/>
  <c r="AZ45" i="3" s="1"/>
  <c r="BA48" i="3"/>
  <c r="AZ48" i="3" s="1"/>
  <c r="BA49" i="3"/>
  <c r="AZ49" i="3" s="1"/>
  <c r="BA51" i="3"/>
  <c r="AZ51" i="3" s="1"/>
  <c r="G54" i="3"/>
  <c r="BL56" i="3"/>
  <c r="AZ56" i="3" s="1"/>
  <c r="BA58" i="3"/>
  <c r="AZ58" i="3" s="1"/>
  <c r="BL59" i="3"/>
  <c r="BL60" i="3"/>
  <c r="BA61" i="3"/>
  <c r="AZ61" i="3" s="1"/>
  <c r="BA68" i="3"/>
  <c r="BA73" i="3"/>
  <c r="BL79" i="3"/>
  <c r="BL81" i="3"/>
  <c r="BA82" i="3"/>
  <c r="AZ82" i="3" s="1"/>
  <c r="BL83" i="3"/>
  <c r="G86" i="3"/>
  <c r="BA87" i="3"/>
  <c r="AZ87" i="3" s="1"/>
  <c r="BA89" i="3"/>
  <c r="BL93" i="3"/>
  <c r="BL94" i="3"/>
  <c r="AZ94" i="3" s="1"/>
  <c r="BL101" i="3"/>
  <c r="BL102" i="3"/>
  <c r="G104" i="3"/>
  <c r="BL106" i="3"/>
  <c r="BA108" i="3"/>
  <c r="AZ108" i="3" s="1"/>
  <c r="BL111" i="3"/>
  <c r="AZ111" i="3" s="1"/>
  <c r="U21" i="33"/>
  <c r="AB21" i="33"/>
  <c r="P65" i="71"/>
  <c r="P66" i="71"/>
  <c r="AB25" i="71"/>
  <c r="AB28" i="71"/>
  <c r="AB26" i="71"/>
  <c r="T28" i="71"/>
  <c r="D28" i="71"/>
  <c r="U28" i="71" s="1"/>
  <c r="C27" i="71"/>
  <c r="X33" i="71"/>
  <c r="X34" i="71"/>
  <c r="X36" i="71"/>
  <c r="X35" i="71"/>
  <c r="AB37" i="71"/>
  <c r="F38" i="71"/>
  <c r="F39" i="71" s="1"/>
  <c r="F40" i="71" s="1"/>
  <c r="V40" i="71" s="1"/>
  <c r="S80" i="71"/>
  <c r="B79" i="71"/>
  <c r="B78" i="71" s="1"/>
  <c r="X25" i="71"/>
  <c r="V24" i="71"/>
  <c r="E23" i="71"/>
  <c r="E22" i="71" s="1"/>
  <c r="E21" i="71" s="1"/>
  <c r="E20" i="71" s="1"/>
  <c r="U29" i="39"/>
  <c r="AA27" i="71"/>
  <c r="S28" i="71"/>
  <c r="C83" i="71"/>
  <c r="C79" i="71"/>
  <c r="C71" i="71"/>
  <c r="C39" i="71"/>
  <c r="Y28" i="71"/>
  <c r="Z28" i="71" s="1"/>
  <c r="X28" i="71"/>
  <c r="X32" i="71"/>
  <c r="AB38" i="71"/>
  <c r="F67" i="71"/>
  <c r="F75" i="71"/>
  <c r="F74" i="71" s="1"/>
  <c r="G76" i="3"/>
  <c r="BL77" i="3"/>
  <c r="AZ77" i="3" s="1"/>
  <c r="BA79" i="3"/>
  <c r="AZ79" i="3" s="1"/>
  <c r="G82" i="3"/>
  <c r="G83" i="3"/>
  <c r="BA84" i="3"/>
  <c r="AZ84" i="3" s="1"/>
  <c r="BL88" i="3"/>
  <c r="AZ88" i="3" s="1"/>
  <c r="G90" i="3"/>
  <c r="BL90" i="3"/>
  <c r="AZ90" i="3" s="1"/>
  <c r="BL92" i="3"/>
  <c r="G101" i="3"/>
  <c r="BA101" i="3"/>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34" i="3"/>
  <c r="AZ436" i="3"/>
  <c r="AZ438" i="3"/>
  <c r="AZ446" i="3"/>
  <c r="G28" i="6"/>
  <c r="U26" i="21"/>
  <c r="W36" i="39"/>
  <c r="U23" i="40"/>
  <c r="AA39" i="37"/>
  <c r="AC16" i="36"/>
  <c r="C27" i="39"/>
  <c r="U40" i="40"/>
  <c r="AC9" i="40"/>
  <c r="W36" i="35"/>
  <c r="J12" i="21"/>
  <c r="B73" i="43"/>
  <c r="B76" i="43"/>
  <c r="F9" i="36"/>
  <c r="J40" i="40"/>
  <c r="G562" i="3"/>
  <c r="AZ426" i="3"/>
  <c r="AZ463" i="3"/>
  <c r="AZ489" i="3"/>
  <c r="AZ385" i="3"/>
  <c r="AZ212" i="3"/>
  <c r="AZ220" i="3"/>
  <c r="AZ255" i="3"/>
  <c r="AZ293" i="3"/>
  <c r="BA472" i="3"/>
  <c r="AZ472" i="3" s="1"/>
  <c r="G476" i="3"/>
  <c r="AZ477"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AZ134"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68" i="3"/>
  <c r="AZ73" i="3"/>
  <c r="AZ106" i="3"/>
  <c r="G200" i="3"/>
  <c r="G207" i="3"/>
  <c r="BA23" i="3"/>
  <c r="AZ23" i="3" s="1"/>
  <c r="BA24" i="3"/>
  <c r="BL26" i="3"/>
  <c r="AZ26" i="3" s="1"/>
  <c r="BL32" i="3"/>
  <c r="AZ32" i="3" s="1"/>
  <c r="BA34" i="3"/>
  <c r="AZ34" i="3" s="1"/>
  <c r="BA35" i="3"/>
  <c r="AZ35" i="3" s="1"/>
  <c r="BL37" i="3"/>
  <c r="AZ37" i="3" s="1"/>
  <c r="BL42" i="3"/>
  <c r="AZ42" i="3" s="1"/>
  <c r="BA44" i="3"/>
  <c r="AZ44" i="3" s="1"/>
  <c r="AZ46" i="3"/>
  <c r="AZ60" i="3"/>
  <c r="BA206" i="3"/>
  <c r="BL22" i="3"/>
  <c r="AZ22" i="3" s="1"/>
  <c r="BL33" i="3"/>
  <c r="AZ33" i="3" s="1"/>
  <c r="BL43" i="3"/>
  <c r="AZ43" i="3" s="1"/>
  <c r="BL46" i="3"/>
  <c r="AZ54" i="3"/>
  <c r="AZ92" i="3"/>
  <c r="BL78" i="3"/>
  <c r="BA83" i="3"/>
  <c r="AZ83" i="3" s="1"/>
  <c r="G91" i="3"/>
  <c r="BL95" i="3"/>
  <c r="AZ95" i="3" s="1"/>
  <c r="BL98" i="3"/>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71" i="15"/>
  <c r="F66" i="67"/>
  <c r="Q71" i="67"/>
  <c r="C27" i="67"/>
  <c r="F71" i="67"/>
  <c r="C27" i="15"/>
  <c r="N59" i="67"/>
  <c r="L59" i="67"/>
  <c r="L58" i="67"/>
  <c r="M59" i="67"/>
  <c r="B13" i="70"/>
  <c r="M7" i="67"/>
  <c r="J6" i="67" s="1"/>
  <c r="F50" i="67"/>
  <c r="F68" i="67"/>
  <c r="F64" i="67"/>
  <c r="D9" i="69"/>
  <c r="C36" i="69"/>
  <c r="D9" i="68"/>
  <c r="M26" i="15"/>
  <c r="F38" i="15"/>
  <c r="D4" i="73"/>
  <c r="D7" i="73"/>
  <c r="C16" i="15"/>
  <c r="J15" i="15"/>
  <c r="F9" i="15"/>
  <c r="F36" i="15"/>
  <c r="F40" i="15"/>
  <c r="M8" i="15"/>
  <c r="M6" i="15"/>
  <c r="C16" i="67"/>
  <c r="F42" i="15"/>
  <c r="L48" i="15"/>
  <c r="D5" i="73"/>
  <c r="L47" i="15"/>
  <c r="M28" i="15"/>
  <c r="F8" i="15"/>
  <c r="M29" i="15"/>
  <c r="C76" i="15"/>
  <c r="D3" i="73"/>
  <c r="F7" i="15"/>
  <c r="M9" i="15"/>
  <c r="F37" i="15"/>
  <c r="M23" i="15"/>
  <c r="E10" i="6" l="1"/>
  <c r="E14" i="6"/>
  <c r="J7" i="36"/>
  <c r="C48" i="69"/>
  <c r="C31" i="12"/>
  <c r="C36" i="68"/>
  <c r="C77" i="9"/>
  <c r="C74" i="9" s="1"/>
  <c r="C30" i="68"/>
  <c r="C28" i="15"/>
  <c r="F64" i="15"/>
  <c r="M7" i="15"/>
  <c r="J6" i="15" s="1"/>
  <c r="J18" i="15" s="1"/>
  <c r="F31" i="15"/>
  <c r="F50" i="15"/>
  <c r="I54" i="15"/>
  <c r="J57" i="15"/>
  <c r="J55" i="15" s="1"/>
  <c r="J58" i="15" s="1"/>
  <c r="Q50" i="15" s="1"/>
  <c r="J53" i="15"/>
  <c r="L56" i="15" s="1"/>
  <c r="Q71" i="15"/>
  <c r="F68" i="15"/>
  <c r="C6" i="15"/>
  <c r="F51" i="15"/>
  <c r="F65" i="15"/>
  <c r="F66" i="15"/>
  <c r="N59" i="15"/>
  <c r="L58" i="15"/>
  <c r="Q73" i="15" s="1"/>
  <c r="L59" i="15"/>
  <c r="Q74" i="15" s="1"/>
  <c r="M59" i="15"/>
  <c r="G30" i="6"/>
  <c r="G31" i="6" s="1"/>
  <c r="E29" i="6"/>
  <c r="K15" i="1" s="1"/>
  <c r="K16" i="1" s="1"/>
  <c r="B29" i="1" s="1"/>
  <c r="C8" i="68" s="1"/>
  <c r="C5" i="68" s="1"/>
  <c r="E63" i="39"/>
  <c r="E59" i="40"/>
  <c r="G5" i="3"/>
  <c r="B3" i="3" s="1"/>
  <c r="E510" i="3" s="1"/>
  <c r="C70" i="71"/>
  <c r="D70" i="71" s="1"/>
  <c r="D71" i="71"/>
  <c r="AZ31" i="3"/>
  <c r="B19" i="71"/>
  <c r="B18" i="71" s="1"/>
  <c r="B17" i="71" s="1"/>
  <c r="B16" i="71" s="1"/>
  <c r="S20" i="71"/>
  <c r="AZ67" i="3"/>
  <c r="AZ415" i="3"/>
  <c r="AB24" i="36"/>
  <c r="U24" i="36"/>
  <c r="S36" i="35"/>
  <c r="AA36" i="35"/>
  <c r="U14" i="21"/>
  <c r="AB14" i="21"/>
  <c r="P6" i="1"/>
  <c r="C13" i="12" s="1"/>
  <c r="E11" i="6"/>
  <c r="E60" i="39" s="1"/>
  <c r="AC34" i="36"/>
  <c r="AZ316" i="3"/>
  <c r="G16" i="1"/>
  <c r="F10" i="39" s="1"/>
  <c r="AA10" i="39" s="1"/>
  <c r="AZ101" i="3"/>
  <c r="D79" i="71"/>
  <c r="C78" i="71"/>
  <c r="D78" i="71" s="1"/>
  <c r="C26" i="71"/>
  <c r="D26" i="71" s="1"/>
  <c r="D27" i="71"/>
  <c r="AZ182" i="3"/>
  <c r="AZ249" i="3"/>
  <c r="D23" i="71"/>
  <c r="C22" i="71"/>
  <c r="AZ244" i="3"/>
  <c r="AZ252" i="3"/>
  <c r="AZ429" i="3"/>
  <c r="C56" i="71"/>
  <c r="D55" i="71"/>
  <c r="AZ237" i="3"/>
  <c r="AZ491" i="3"/>
  <c r="AZ435" i="3"/>
  <c r="AZ414" i="3"/>
  <c r="AZ461" i="3"/>
  <c r="AZ421" i="3"/>
  <c r="U34" i="36"/>
  <c r="AB34" i="36"/>
  <c r="W12" i="33"/>
  <c r="AC12" i="33"/>
  <c r="AC24" i="36"/>
  <c r="W24" i="36"/>
  <c r="AB36" i="35"/>
  <c r="U36" i="35"/>
  <c r="S14" i="21"/>
  <c r="AA14" i="21"/>
  <c r="AZ24" i="3"/>
  <c r="AZ264" i="3"/>
  <c r="F66" i="71"/>
  <c r="Q67" i="71"/>
  <c r="D83" i="71"/>
  <c r="C82" i="71"/>
  <c r="D82" i="71" s="1"/>
  <c r="D75" i="71"/>
  <c r="C74" i="71"/>
  <c r="D74" i="71" s="1"/>
  <c r="AZ102" i="3"/>
  <c r="AZ27" i="3"/>
  <c r="AZ125" i="3"/>
  <c r="AZ47" i="3"/>
  <c r="AZ455" i="3"/>
  <c r="C52" i="71"/>
  <c r="D51" i="71"/>
  <c r="AZ405" i="3"/>
  <c r="AZ460" i="3"/>
  <c r="U39" i="40"/>
  <c r="AB39" i="40"/>
  <c r="S12" i="36"/>
  <c r="AA12" i="36"/>
  <c r="W28" i="34"/>
  <c r="AC28" i="34"/>
  <c r="AA26" i="33"/>
  <c r="S26" i="33"/>
  <c r="AZ526" i="3"/>
  <c r="AB26" i="33"/>
  <c r="U26" i="33"/>
  <c r="AZ505" i="3"/>
  <c r="AZ585" i="3"/>
  <c r="D17" i="53"/>
  <c r="B36" i="72" s="1"/>
  <c r="E13" i="6"/>
  <c r="E12" i="6"/>
  <c r="E57" i="40" s="1"/>
  <c r="AZ81" i="3"/>
  <c r="AZ98" i="3"/>
  <c r="AZ206" i="3"/>
  <c r="AZ170" i="3"/>
  <c r="AZ114" i="3"/>
  <c r="AZ396" i="3"/>
  <c r="AZ492" i="3"/>
  <c r="AZ232" i="3"/>
  <c r="AB12" i="33"/>
  <c r="C40" i="71"/>
  <c r="D39" i="71"/>
  <c r="AZ59" i="3"/>
  <c r="AZ251" i="3"/>
  <c r="AZ247" i="3"/>
  <c r="AZ25" i="3"/>
  <c r="AZ238" i="3"/>
  <c r="AZ297" i="3"/>
  <c r="D60" i="71"/>
  <c r="T60" i="71"/>
  <c r="D34" i="71"/>
  <c r="C35" i="71"/>
  <c r="AZ241" i="3"/>
  <c r="AB39" i="37"/>
  <c r="U39" i="37"/>
  <c r="AC39" i="40"/>
  <c r="W39" i="40"/>
  <c r="W12" i="36"/>
  <c r="AC12" i="36"/>
  <c r="D67" i="71"/>
  <c r="C66" i="71"/>
  <c r="O67" i="71"/>
  <c r="AA28" i="34"/>
  <c r="S28" i="34"/>
  <c r="W26" i="33"/>
  <c r="AC26" i="33"/>
  <c r="AZ532" i="3"/>
  <c r="W14" i="21"/>
  <c r="AC14" i="21"/>
  <c r="J7" i="37"/>
  <c r="K1" i="73"/>
  <c r="E286" i="3"/>
  <c r="E466" i="3"/>
  <c r="E517" i="3"/>
  <c r="E37" i="3"/>
  <c r="E241" i="3"/>
  <c r="E76" i="3"/>
  <c r="E467"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288"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J5" i="15" s="1"/>
  <c r="J24" i="15" s="1"/>
  <c r="F11" i="67"/>
  <c r="J18" i="67"/>
  <c r="C32" i="15"/>
  <c r="F1" i="67"/>
  <c r="Q52" i="67"/>
  <c r="Q61" i="67"/>
  <c r="Q74" i="67"/>
  <c r="AE11" i="1"/>
  <c r="AE9" i="1"/>
  <c r="F27" i="68"/>
  <c r="AE7" i="1"/>
  <c r="AE8" i="1"/>
  <c r="AE12" i="1"/>
  <c r="AE10" i="1"/>
  <c r="AE6" i="1"/>
  <c r="F41" i="67"/>
  <c r="G1" i="73"/>
  <c r="Q60" i="15" l="1"/>
  <c r="F1" i="15"/>
  <c r="Q52" i="15"/>
  <c r="H10" i="39"/>
  <c r="U10" i="39" s="1"/>
  <c r="S10" i="39"/>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25" i="3"/>
  <c r="E389" i="3"/>
  <c r="E258" i="3"/>
  <c r="E56" i="3"/>
  <c r="AP6" i="3"/>
  <c r="E442" i="3"/>
  <c r="E212"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09" i="3"/>
  <c r="E349" i="3"/>
  <c r="E192" i="3"/>
  <c r="E417" i="3"/>
  <c r="E255" i="3"/>
  <c r="E502" i="3"/>
  <c r="E539"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64" i="3"/>
  <c r="E59" i="3"/>
  <c r="E363" i="3"/>
  <c r="E95" i="3"/>
  <c r="E491" i="3"/>
  <c r="E449" i="3"/>
  <c r="E575" i="3"/>
  <c r="AC6" i="3"/>
  <c r="E3" i="6"/>
  <c r="E46" i="3"/>
  <c r="E484" i="3"/>
  <c r="E544" i="3"/>
  <c r="E292" i="3"/>
  <c r="E152" i="3"/>
  <c r="E479" i="3"/>
  <c r="E554" i="3"/>
  <c r="E430" i="3"/>
  <c r="E499" i="3"/>
  <c r="E536" i="3"/>
  <c r="H10" i="40"/>
  <c r="AB10" i="40" s="1"/>
  <c r="J10" i="40"/>
  <c r="AC10" i="40" s="1"/>
  <c r="E16" i="6"/>
  <c r="E56" i="40"/>
  <c r="J10" i="39"/>
  <c r="W10" i="39" s="1"/>
  <c r="E61" i="39"/>
  <c r="F10" i="40"/>
  <c r="S10" i="40" s="1"/>
  <c r="C49" i="15"/>
  <c r="Q61" i="15"/>
  <c r="O65" i="71"/>
  <c r="D66" i="71"/>
  <c r="O66" i="71"/>
  <c r="T40" i="71"/>
  <c r="D40" i="71"/>
  <c r="Q65" i="71"/>
  <c r="Q66" i="71"/>
  <c r="E435" i="3"/>
  <c r="I3" i="6"/>
  <c r="E541" i="3"/>
  <c r="R6" i="3"/>
  <c r="E199" i="3"/>
  <c r="C36" i="71"/>
  <c r="D35" i="71"/>
  <c r="T52" i="71"/>
  <c r="D52" i="71"/>
  <c r="D56" i="71"/>
  <c r="T56"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U10" i="40" l="1"/>
  <c r="B14" i="74"/>
  <c r="B1" i="74" s="1"/>
  <c r="F25" i="12"/>
  <c r="C26" i="12" s="1"/>
  <c r="D25" i="12" s="1"/>
  <c r="AB10" i="39"/>
  <c r="AC10" i="39"/>
  <c r="H6" i="3"/>
  <c r="E6" i="3" s="1"/>
  <c r="C48" i="15"/>
  <c r="C66" i="15" s="1"/>
  <c r="D21" i="71"/>
  <c r="C20" i="71"/>
  <c r="T36" i="71"/>
  <c r="D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7" i="67"/>
  <c r="C14" i="67"/>
  <c r="F41" i="68" l="1"/>
  <c r="C14" i="74"/>
  <c r="B2" i="74" s="1"/>
  <c r="D30" i="6"/>
  <c r="C26" i="68"/>
  <c r="D22" i="68" s="1"/>
  <c r="C23" i="68"/>
  <c r="C60" i="15"/>
  <c r="H25" i="6"/>
  <c r="R25" i="6" s="1"/>
  <c r="R12" i="1" s="1"/>
  <c r="C26" i="11"/>
  <c r="D22" i="11" s="1"/>
  <c r="C44" i="11"/>
  <c r="D41" i="11" s="1"/>
  <c r="C19" i="71"/>
  <c r="T20" i="71"/>
  <c r="D20" i="71"/>
  <c r="U20" i="7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7" i="74" l="1"/>
  <c r="D8" i="74"/>
  <c r="D31" i="6"/>
  <c r="I5"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6" i="6" l="1"/>
  <c r="G3" i="43"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G26" i="43" l="1"/>
  <c r="N370" i="46"/>
  <c r="Z7" i="43"/>
  <c r="E26" i="43"/>
  <c r="H26" i="43"/>
  <c r="B116" i="43"/>
  <c r="F26" i="43"/>
  <c r="J26" i="43"/>
  <c r="N94" i="46"/>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D26" i="43" l="1"/>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0" i="43"/>
  <c r="J120" i="43" s="1"/>
  <c r="K120" i="43" s="1"/>
  <c r="L120" i="43" s="1"/>
  <c r="M120" i="43" s="1"/>
  <c r="I118" i="43"/>
  <c r="J118" i="43" s="1"/>
  <c r="K118" i="43" s="1"/>
  <c r="L118" i="43" s="1"/>
  <c r="M118"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D118" i="43"/>
  <c r="E118" i="43" s="1"/>
  <c r="F118" i="43" s="1"/>
  <c r="G118" i="43" s="1"/>
  <c r="H118" i="43"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C33" i="43"/>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69" l="1"/>
  <c r="C34" i="43"/>
  <c r="E34" i="43" s="1"/>
  <c r="C31" i="43" s="1"/>
  <c r="E33" i="43"/>
  <c r="C30" i="43"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D2" i="33"/>
  <c r="L51" i="67"/>
  <c r="E2" i="76" l="1"/>
  <c r="B2" i="43"/>
  <c r="C7" i="69"/>
  <c r="C5"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5"/>
  <c r="D19" i="9"/>
  <c r="D2" i="37"/>
  <c r="D2" i="34"/>
  <c r="D2" i="36"/>
  <c r="L51" i="15"/>
  <c r="B2" i="76" l="1"/>
  <c r="B3" i="76" s="1"/>
  <c r="C23" i="69"/>
  <c r="C20" i="69"/>
  <c r="B3" i="43"/>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12" i="1"/>
  <c r="AO8" i="1"/>
  <c r="AO11" i="1"/>
  <c r="AO7" i="1"/>
  <c r="AO9" i="1"/>
  <c r="AO10" i="1"/>
  <c r="C28" i="69" l="1"/>
  <c r="C27" i="69" s="1"/>
  <c r="C25" i="69"/>
  <c r="C22" i="69" s="1"/>
  <c r="C31" i="69" s="1"/>
  <c r="C52" i="6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9" l="1"/>
  <c r="C57" i="69"/>
  <c r="C56" i="6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102" i="9" l="1"/>
  <c r="C21" i="9"/>
  <c r="G19" i="9"/>
  <c r="G21" i="9" s="1"/>
  <c r="D22" i="9"/>
  <c r="B3" i="69"/>
  <c r="D9" i="71"/>
  <c r="C8" i="71"/>
  <c r="C42" i="40"/>
  <c r="C43" i="40"/>
  <c r="E47" i="40"/>
  <c r="F47" i="40" s="1"/>
  <c r="E46" i="40"/>
  <c r="F46" i="40" s="1"/>
  <c r="I47" i="40"/>
  <c r="J47" i="40" s="1"/>
  <c r="D35" i="9"/>
  <c r="D34" i="9"/>
  <c r="C20" i="9"/>
  <c r="C103" i="9" l="1"/>
  <c r="G20" i="9"/>
  <c r="C32" i="9" s="1"/>
  <c r="C35" i="9" s="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G118" i="9"/>
  <c r="F118" i="9" s="1"/>
  <c r="I118" i="9"/>
  <c r="I4" i="52" l="1"/>
  <c r="E14" i="74"/>
  <c r="D14" i="74" s="1"/>
  <c r="G4" i="52"/>
  <c r="B52" i="72" s="1"/>
  <c r="H102" i="9"/>
  <c r="H118" i="9"/>
  <c r="C104" i="9" s="1"/>
  <c r="F119" i="9"/>
  <c r="F5" i="52" s="1"/>
  <c r="B53" i="72" s="1"/>
  <c r="F4" i="52"/>
  <c r="B51" i="72" s="1"/>
  <c r="C105" i="9"/>
  <c r="E118" i="9"/>
  <c r="F14" i="74" l="1"/>
  <c r="B5" i="74"/>
  <c r="C5" i="74"/>
  <c r="D7" i="53"/>
  <c r="B21" i="72" s="1"/>
  <c r="H119" i="9"/>
  <c r="H5" i="52" s="1"/>
  <c r="H101" i="9"/>
  <c r="H4" i="52"/>
  <c r="D118" i="9"/>
  <c r="E4" i="52"/>
  <c r="B48" i="72" s="1"/>
  <c r="D5" i="74" l="1"/>
  <c r="E5" i="74"/>
  <c r="H107" i="9"/>
  <c r="D5" i="53"/>
  <c r="M48" i="9"/>
  <c r="D45" i="9"/>
  <c r="D4" i="52"/>
  <c r="B47" i="72" s="1"/>
  <c r="D119" i="9"/>
  <c r="D5" i="52" s="1"/>
  <c r="B49" i="72" s="1"/>
  <c r="D52" i="9" l="1"/>
  <c r="C93" i="9"/>
  <c r="C86" i="9" s="1"/>
  <c r="C78" i="9"/>
  <c r="C73" i="9" s="1"/>
  <c r="C64" i="9"/>
  <c r="C63" i="9" s="1"/>
  <c r="C67" i="9" s="1"/>
  <c r="C85" i="9"/>
  <c r="C72" i="9"/>
  <c r="D55" i="9"/>
  <c r="M53" i="9" s="1"/>
  <c r="D53" i="9"/>
  <c r="B20" i="72"/>
  <c r="D6" i="53"/>
  <c r="B22" i="72" s="1"/>
  <c r="M49" i="9"/>
  <c r="H108" i="9"/>
  <c r="D122" i="9"/>
  <c r="D13" i="53"/>
  <c r="L65" i="9" l="1"/>
  <c r="M65" i="9" s="1"/>
  <c r="L67" i="9"/>
  <c r="M67" i="9" s="1"/>
  <c r="L63" i="9"/>
  <c r="M63" i="9" s="1"/>
  <c r="L64" i="9"/>
  <c r="M64" i="9" s="1"/>
  <c r="L68" i="9"/>
  <c r="M68" i="9" s="1"/>
  <c r="L66" i="9"/>
  <c r="M66" i="9" s="1"/>
  <c r="D15" i="53"/>
  <c r="B31" i="72" s="1"/>
  <c r="C6" i="74"/>
  <c r="D59" i="9"/>
  <c r="M55" i="9" s="1"/>
  <c r="C68" i="9"/>
  <c r="D54" i="9" s="1"/>
  <c r="D14" i="53"/>
  <c r="B32" i="72" s="1"/>
  <c r="B30" i="72"/>
  <c r="C79" i="9"/>
  <c r="D8" i="52"/>
  <c r="D123" i="9"/>
  <c r="D9" i="52" s="1"/>
  <c r="C95" i="9"/>
  <c r="C96" i="9" s="1"/>
  <c r="E96" i="9" s="1"/>
  <c r="E97" i="9" s="1"/>
  <c r="M69" i="9" l="1"/>
  <c r="N69" i="9" s="1"/>
  <c r="C97" i="9"/>
  <c r="D58" i="9" s="1"/>
  <c r="D56" i="9" s="1"/>
  <c r="M54" i="9" s="1"/>
  <c r="N57" i="9" s="1"/>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A605598B-5C4A-4175-907A-0BA5F2AB15FD}">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<sst xmlns="http://schemas.openxmlformats.org/spreadsheetml/2006/main" count="7903" uniqueCount="3451">
  <si>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</si>
  <si>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</si>
  <si>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</si>
  <si>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</si>
  <si>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</si>
  <si>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</si>
  <si>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</si>
  <si>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</si>
  <si>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</si>
  <si>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</si>
  <si>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</si>
  <si>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</si>
  <si>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</si>
  <si>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</si>
  <si>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</si>
  <si>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</si>
  <si>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</si>
  <si>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</si>
  <si>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</si>
  <si>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</si>
  <si>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</si>
  <si>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</si>
  <si>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</si>
  <si>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</si>
  <si>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</si>
  <si>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</si>
  <si>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</si>
  <si>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</si>
  <si>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</si>
  <si>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</si>
  <si>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</si>
  <si>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</si>
  <si>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</si>
  <si>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</si>
  <si>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</si>
  <si>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</si>
  <si>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</si>
  <si>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</si>
  <si>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</si>
  <si>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</si>
  <si>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</si>
  <si>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</si>
  <si>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</si>
  <si>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</si>
  <si>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</si>
  <si>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</si>
  <si>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</si>
  <si>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</si>
  <si>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</si>
  <si>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</si>
  <si>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</si>
  <si>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</si>
  <si>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</si>
  <si>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</si>
  <si>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</si>
  <si>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</si>
  <si>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</si>
  <si>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</si>
  <si>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</si>
  <si>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</si>
  <si>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</si>
  <si>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</si>
  <si>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</si>
  <si>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</si>
  <si>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</si>
  <si>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</si>
  <si>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</si>
  <si>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</si>
  <si>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</si>
  <si>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</si>
  <si>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</si>
  <si>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</si>
  <si>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</si>
  <si>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</si>
  <si>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</si>
  <si>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</si>
  <si>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</si>
  <si>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</si>
  <si>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</si>
  <si>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</si>
  <si>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</si>
  <si>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</si>
  <si>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</si>
  <si>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</si>
  <si>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</si>
  <si>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</si>
  <si>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</si>
  <si>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</si>
  <si>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</si>
  <si>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</si>
  <si>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</si>
  <si>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</si>
  <si>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</si>
  <si>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</si>
  <si>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</si>
  <si>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</si>
  <si>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</si>
  <si>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</si>
  <si>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</si>
  <si>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</si>
  <si>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</si>
  <si>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</si>
  <si>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</si>
  <si>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</si>
  <si>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</si>
  <si>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</si>
  <si>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</si>
  <si>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</si>
  <si>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</si>
  <si>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</si>
  <si>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</si>
  <si>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</si>
  <si>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</si>
  <si>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</si>
  <si>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</si>
  <si>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</si>
  <si>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</si>
  <si>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</si>
  <si>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</si>
  <si>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</si>
  <si>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</si>
  <si>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</si>
  <si>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</si>
  <si>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</si>
  <si>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</si>
  <si>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</si>
  <si>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</si>
  <si>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</si>
  <si>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</si>
  <si>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</si>
  <si>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</si>
  <si>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</si>
  <si>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</si>
  <si>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</si>
  <si>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</si>
  <si>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</si>
  <si>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</si>
  <si>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</si>
  <si>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</si>
  <si>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</si>
  <si>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</si>
  <si>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</si>
  <si>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</si>
  <si>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</si>
  <si>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</si>
  <si>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</si>
  <si>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</si>
  <si>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</si>
  <si>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</si>
  <si>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</si>
  <si>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</si>
  <si>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</si>
  <si>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</si>
  <si>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</si>
  <si>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</si>
  <si>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</si>
  <si>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</si>
  <si>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</si>
  <si>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</si>
  <si>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</si>
  <si>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</si>
  <si>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</si>
  <si>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</si>
  <si>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</si>
  <si>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</si>
  <si>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</si>
  <si>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</si>
  <si>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</si>
  <si>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</si>
  <si>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</si>
  <si>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</si>
  <si>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</si>
  <si>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</si>
  <si>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</si>
  <si>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</si>
  <si>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</si>
  <si>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</si>
  <si>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</si>
  <si>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</si>
  <si>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</si>
  <si>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</si>
  <si>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</si>
  <si>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</si>
  <si>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</si>
  <si>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</si>
  <si>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</si>
  <si>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</si>
  <si>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</si>
  <si>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</si>
  <si>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</si>
  <si>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</si>
  <si>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</si>
  <si>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</si>
  <si>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</si>
  <si>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</si>
  <si>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</si>
  <si>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</si>
  <si>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</si>
  <si>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</si>
  <si>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</si>
  <si>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</si>
  <si>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</si>
  <si>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</si>
  <si>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</si>
  <si>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</si>
  <si>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</si>
  <si>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</si>
  <si>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</si>
  <si>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</si>
  <si>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</si>
  <si>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</si>
  <si>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</si>
  <si>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</si>
  <si>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</si>
  <si>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</si>
  <si>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</si>
  <si>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</si>
  <si>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</si>
  <si>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</si>
  <si>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</si>
  <si>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</si>
  <si>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</si>
  <si>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</si>
  <si>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</si>
  <si>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</si>
  <si>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</si>
  <si>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</si>
  <si>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</si>
  <si>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</si>
  <si>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</si>
  <si>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</si>
  <si>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</si>
  <si>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</si>
  <si>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</si>
  <si>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</si>
  <si>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</si>
  <si>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</si>
  <si>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</si>
  <si>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</si>
  <si>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</si>
  <si>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</si>
  <si>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</si>
  <si>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</si>
  <si>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</si>
  <si>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</si>
  <si>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</si>
  <si>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</si>
  <si>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</si>
  <si>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</si>
  <si>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</si>
  <si>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</si>
  <si>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</si>
  <si>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</si>
  <si>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</si>
  <si>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</si>
  <si>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</si>
  <si>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</si>
  <si>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</si>
  <si>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</si>
  <si>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</si>
  <si>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</si>
  <si>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</si>
  <si>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</si>
  <si>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</si>
  <si>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</si>
  <si>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</si>
  <si>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</si>
  <si>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</si>
  <si>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</si>
  <si>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</si>
  <si>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</si>
  <si>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</si>
  <si>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</si>
  <si>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</si>
  <si>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</si>
  <si>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</si>
  <si>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</si>
  <si>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</si>
  <si>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</si>
  <si>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</si>
  <si>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</si>
  <si>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</si>
  <si>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</si>
  <si>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</si>
  <si>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</si>
  <si>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</si>
  <si>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</si>
  <si>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</si>
  <si>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</si>
  <si>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</si>
  <si>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</si>
  <si>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</si>
  <si>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</si>
  <si>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</si>
  <si>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</si>
  <si>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</si>
  <si>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</si>
  <si>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</si>
  <si>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</si>
  <si>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</si>
  <si>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</si>
  <si>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</si>
  <si>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</si>
  <si>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</si>
  <si>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</si>
  <si>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</si>
  <si>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</si>
  <si>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</si>
  <si>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</si>
  <si>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</si>
  <si>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</si>
  <si>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</si>
  <si>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</si>
  <si>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</si>
  <si>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</si>
  <si>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</si>
  <si>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</si>
  <si>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</si>
  <si>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</si>
  <si>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</si>
  <si>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</si>
  <si>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</si>
  <si>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</si>
  <si>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</si>
  <si>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</si>
  <si>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</si>
  <si>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</si>
  <si>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</si>
  <si>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</si>
  <si>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</si>
  <si>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</si>
  <si>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</si>
  <si>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</si>
  <si>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</si>
  <si>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</si>
  <si>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</si>
  <si>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</si>
  <si>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</si>
  <si>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</si>
  <si>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</si>
  <si>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</si>
  <si>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</si>
  <si>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</si>
  <si>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</si>
  <si>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</si>
  <si>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</si>
  <si>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</si>
  <si>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</si>
  <si>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</si>
  <si>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</si>
  <si>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</si>
  <si>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</si>
  <si>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</si>
  <si>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</si>
  <si>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</si>
  <si>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</si>
  <si>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</si>
  <si>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</si>
  <si>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</si>
  <si>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</si>
  <si>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</si>
  <si>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</si>
  <si>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</si>
  <si>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</si>
  <si>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</si>
  <si>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</si>
  <si>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</si>
  <si>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</si>
  <si>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</si>
  <si>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</si>
  <si>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</si>
  <si>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</si>
  <si>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</si>
  <si>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</si>
  <si>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</si>
  <si>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</si>
  <si>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</si>
  <si>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</si>
  <si>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</si>
  <si>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</si>
  <si>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</si>
  <si>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</si>
  <si>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</si>
  <si>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</si>
  <si>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</si>
  <si>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</si>
  <si>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</si>
  <si>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</si>
  <si>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</si>
  <si>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</si>
  <si>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</si>
  <si>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</si>
  <si>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</si>
  <si>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</si>
  <si>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</si>
  <si>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</si>
  <si>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</si>
  <si>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</si>
  <si>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</si>
  <si>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</si>
  <si>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</si>
  <si>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</si>
  <si>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</si>
  <si>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</si>
  <si>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</si>
  <si>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</si>
  <si>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</si>
  <si>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</si>
  <si>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</si>
  <si>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</si>
  <si>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</si>
  <si>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</si>
  <si>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</si>
  <si>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</si>
  <si>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</si>
  <si>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</si>
  <si>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</si>
  <si>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</si>
  <si>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</si>
  <si>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</si>
  <si>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</si>
  <si>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</si>
  <si>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</si>
  <si>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</si>
  <si>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</si>
  <si>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</si>
  <si>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</si>
  <si>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</si>
  <si>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</si>
  <si>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</si>
  <si>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</si>
  <si>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</si>
  <si>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</si>
  <si>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</si>
  <si>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</si>
  <si>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</si>
  <si>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</si>
  <si>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</si>
  <si>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</si>
  <si>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</si>
  <si>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</si>
  <si>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</si>
  <si>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</si>
  <si>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</si>
  <si>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</si>
  <si>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</si>
  <si>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</si>
  <si>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</si>
  <si>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</si>
  <si>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</si>
  <si>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</si>
  <si>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</si>
  <si>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</si>
  <si>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</si>
  <si>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</si>
  <si>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</si>
  <si>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</si>
  <si>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</si>
  <si>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</si>
  <si>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</si>
  <si>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</si>
  <si>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</si>
  <si>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</si>
  <si>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</si>
  <si>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</si>
  <si>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</si>
  <si>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</si>
  <si>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</si>
  <si>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</si>
  <si>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</si>
  <si>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</si>
  <si>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</si>
  <si>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</si>
  <si>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</si>
  <si>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</si>
  <si>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</si>
  <si>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</si>
  <si>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</si>
  <si>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</si>
  <si>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</si>
  <si>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</si>
  <si>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</si>
  <si>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</si>
  <si>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</si>
  <si>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</si>
  <si>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</si>
  <si>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</si>
  <si>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</si>
  <si>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</si>
  <si>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</si>
  <si>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</si>
  <si>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</si>
  <si>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</si>
  <si>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</si>
  <si>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</si>
  <si>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</si>
  <si>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</si>
  <si>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</si>
  <si>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</si>
  <si>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</si>
  <si>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</si>
  <si>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</si>
  <si>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</si>
  <si>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</si>
  <si>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</si>
  <si>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</si>
  <si>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</si>
  <si>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</si>
  <si>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</si>
  <si>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</si>
  <si>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</si>
  <si>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</si>
  <si>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</si>
  <si>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</si>
  <si>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</si>
  <si>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</si>
  <si>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</si>
  <si>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</si>
  <si>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</si>
  <si>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</si>
  <si>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</si>
  <si>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</si>
  <si>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</si>
  <si>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</si>
  <si>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</si>
  <si>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</si>
  <si>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</si>
  <si>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</si>
  <si>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</si>
  <si>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</si>
  <si>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</si>
  <si>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</si>
  <si>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</si>
  <si>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</si>
  <si>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</si>
  <si>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</si>
  <si>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</si>
  <si>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</si>
  <si>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</si>
  <si>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</si>
  <si>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</si>
  <si>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</si>
  <si>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</si>
  <si>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</si>
  <si>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</si>
  <si>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</si>
  <si>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</si>
  <si>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</si>
  <si>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</si>
  <si>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</si>
  <si>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</si>
  <si>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</si>
  <si>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</si>
  <si>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</si>
  <si>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</si>
  <si>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</si>
  <si>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</si>
  <si>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</si>
  <si>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</si>
  <si>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</si>
  <si>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</si>
  <si>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</si>
  <si>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</si>
  <si>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</si>
  <si>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</si>
  <si>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</si>
  <si>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</si>
  <si>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</si>
  <si>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</si>
  <si>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</si>
  <si>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</si>
  <si>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</si>
  <si>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</si>
  <si>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</si>
  <si>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</si>
  <si>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</si>
  <si>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</si>
  <si>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</si>
  <si>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</si>
  <si>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</si>
  <si>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</si>
  <si>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</si>
  <si>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</si>
  <si>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</si>
  <si>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</si>
  <si>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</si>
  <si>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</si>
  <si>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</si>
  <si>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</si>
  <si>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</si>
  <si>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</si>
  <si>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</si>
  <si>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</si>
  <si>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</si>
  <si>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</si>
  <si>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</si>
  <si>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</si>
  <si>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</si>
  <si>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</si>
  <si>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</si>
  <si>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</si>
  <si>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</si>
  <si>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</si>
  <si>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</si>
  <si>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</si>
  <si>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</si>
  <si>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</si>
  <si>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</si>
  <si>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</si>
  <si>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</si>
  <si>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</si>
  <si>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</si>
  <si>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</si>
  <si>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</si>
  <si>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</si>
  <si>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</si>
  <si>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</si>
  <si>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</si>
  <si>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</si>
  <si>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</si>
  <si>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</si>
  <si>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</si>
  <si>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</si>
  <si>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</si>
  <si>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</si>
  <si>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</si>
  <si>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</si>
  <si>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</si>
  <si>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</si>
  <si>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</si>
  <si>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</si>
  <si>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</si>
  <si>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</si>
  <si>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</si>
  <si>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</si>
  <si>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</si>
  <si>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</si>
  <si>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</si>
  <si>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</si>
  <si>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</si>
  <si>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</si>
  <si>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</si>
  <si>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</si>
  <si>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</si>
  <si>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</si>
  <si>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</si>
  <si>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</si>
  <si>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</si>
  <si>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</si>
  <si>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</si>
  <si>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</si>
  <si>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</si>
  <si>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</si>
  <si>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</si>
  <si>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</si>
  <si>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</si>
  <si>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</si>
  <si>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</si>
  <si>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</si>
  <si>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</si>
  <si>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</si>
  <si>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</si>
  <si>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</si>
  <si>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</si>
  <si>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</si>
  <si>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</si>
  <si>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</si>
  <si>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</si>
  <si>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</si>
  <si>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</si>
  <si>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</si>
  <si>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</si>
  <si>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</si>
  <si>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</si>
  <si>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</si>
  <si>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</si>
  <si>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</si>
  <si>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</si>
  <si>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</si>
  <si>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</si>
  <si>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</si>
  <si>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</si>
  <si>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</si>
  <si>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</si>
  <si>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</si>
  <si>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</si>
  <si>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</si>
  <si>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</si>
  <si>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</si>
  <si>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</si>
  <si>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</si>
  <si>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</si>
  <si>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</si>
  <si>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</si>
  <si>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</si>
  <si>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</si>
  <si>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</si>
  <si>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</si>
  <si>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</si>
  <si>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</si>
  <si>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</si>
  <si>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</si>
  <si>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</si>
  <si>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</si>
  <si>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</si>
  <si>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</si>
  <si>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</si>
  <si>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</si>
  <si>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</si>
  <si>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</si>
  <si>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</si>
  <si>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</si>
  <si>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</si>
  <si>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</si>
  <si>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</si>
  <si>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</si>
  <si>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</si>
  <si>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</si>
  <si>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</si>
  <si>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</si>
  <si>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</si>
  <si>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</si>
  <si>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</si>
  <si>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</si>
  <si>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</si>
  <si>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</si>
  <si>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</si>
  <si>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</si>
  <si>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</si>
  <si>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</si>
  <si>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</si>
  <si>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</si>
  <si>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</si>
  <si>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</si>
  <si>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</si>
  <si>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</si>
  <si>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</si>
  <si>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</si>
  <si>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</si>
  <si>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</si>
  <si>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</si>
  <si>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</si>
  <si>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</si>
  <si>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</si>
  <si>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</si>
  <si>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</si>
  <si>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</si>
  <si>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</si>
  <si>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</si>
  <si>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</si>
  <si>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</si>
  <si>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</si>
  <si>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</si>
  <si>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</si>
  <si>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</si>
  <si>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</si>
  <si>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</si>
  <si>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</si>
  <si>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</si>
  <si>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</si>
  <si>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</si>
  <si>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</si>
  <si>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</si>
  <si>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</si>
  <si>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</si>
  <si>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</si>
  <si>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</si>
  <si>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</si>
  <si>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</si>
  <si>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</si>
  <si>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</si>
  <si>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</si>
  <si>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</si>
  <si>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</si>
  <si>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</si>
  <si>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</si>
  <si>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</si>
  <si>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</si>
  <si>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</si>
  <si>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</si>
  <si>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</si>
  <si>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</si>
  <si>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</si>
  <si>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</si>
  <si>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</si>
  <si>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</si>
  <si>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</si>
  <si>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</si>
  <si>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</si>
  <si>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</si>
  <si>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</si>
  <si>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</si>
  <si>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</si>
  <si>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</si>
  <si>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</si>
  <si>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</si>
  <si>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</si>
  <si>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</si>
  <si>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</si>
  <si>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</si>
  <si>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</si>
  <si>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</si>
  <si>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</si>
  <si>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</si>
  <si>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</si>
  <si>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</si>
  <si>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</si>
  <si>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</si>
  <si>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</si>
  <si>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</si>
  <si>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</si>
  <si>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</si>
  <si>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</si>
  <si>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</si>
  <si>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</si>
  <si>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</si>
  <si>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</si>
  <si>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</si>
  <si>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</si>
  <si>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</si>
  <si>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</si>
  <si>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</si>
  <si>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</si>
  <si>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</si>
  <si>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</si>
  <si>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</si>
  <si>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</si>
  <si>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</si>
  <si>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</si>
  <si>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</si>
  <si>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</si>
  <si>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</si>
  <si>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</si>
  <si>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</si>
  <si>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</si>
  <si>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</si>
  <si>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</si>
  <si>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</si>
  <si>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</si>
  <si>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</si>
  <si>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</si>
  <si>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</si>
  <si>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</si>
  <si>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</si>
  <si>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</si>
  <si>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</si>
  <si>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</si>
  <si>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</si>
  <si>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</si>
  <si>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</si>
  <si>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</si>
  <si>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</si>
  <si>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</si>
  <si>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</si>
  <si>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</si>
  <si>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</si>
  <si>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</si>
  <si>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</si>
  <si>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</si>
  <si>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</si>
  <si>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</si>
  <si>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</si>
  <si>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</si>
  <si>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</si>
  <si>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</si>
  <si>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</si>
  <si>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</si>
  <si>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</si>
  <si>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</si>
  <si>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</si>
  <si>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</si>
  <si>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</si>
  <si>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</si>
  <si>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</si>
  <si>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</si>
  <si>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</si>
  <si>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</si>
  <si>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</si>
  <si>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</si>
  <si>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</si>
  <si>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</si>
  <si>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</si>
  <si>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</si>
  <si>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</si>
  <si>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</si>
  <si>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</si>
  <si>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</si>
  <si>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</si>
  <si>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</si>
  <si>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</si>
  <si>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</si>
  <si>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</si>
  <si>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</si>
  <si>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</si>
  <si>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</si>
  <si>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</si>
  <si>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</si>
  <si>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</si>
  <si>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</si>
  <si>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</si>
  <si>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</si>
  <si>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</si>
  <si>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</si>
  <si>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</si>
  <si>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</si>
  <si>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</si>
  <si>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</si>
  <si>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</si>
  <si>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</si>
  <si>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</si>
  <si>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</si>
  <si>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</si>
  <si>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</si>
  <si>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</si>
  <si>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</si>
  <si>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</si>
  <si>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</si>
  <si>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</si>
  <si>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</si>
  <si>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</si>
  <si>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</si>
  <si>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</si>
  <si>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</si>
  <si>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</si>
  <si>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</si>
  <si>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</si>
  <si>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</si>
  <si>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</si>
  <si>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</si>
  <si>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</si>
  <si>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</si>
  <si>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</si>
  <si>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</si>
  <si>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</si>
  <si>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</si>
  <si>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</si>
  <si>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</si>
  <si>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</si>
  <si>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</si>
  <si>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</si>
  <si>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</si>
  <si>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</si>
  <si>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</si>
  <si>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</si>
  <si>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</si>
  <si>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</si>
  <si>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</si>
  <si>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</si>
  <si>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</si>
  <si>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</si>
  <si>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</si>
  <si>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</si>
  <si>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</si>
  <si>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</si>
  <si>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</si>
  <si>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</si>
  <si>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</si>
  <si>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</si>
  <si>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</si>
  <si>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</si>
  <si>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</si>
  <si>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</si>
  <si>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</si>
  <si>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</si>
  <si>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</si>
  <si>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</si>
  <si>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</si>
  <si>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</si>
  <si>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</si>
  <si>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</si>
  <si>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</si>
  <si>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</si>
  <si>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</si>
  <si>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</si>
  <si>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</si>
  <si>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</si>
  <si>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</si>
  <si>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</si>
  <si>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</si>
  <si>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</si>
  <si>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</si>
  <si>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</si>
  <si>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</si>
  <si>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</si>
  <si>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</si>
  <si>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</si>
  <si>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</si>
  <si>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</si>
  <si>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</si>
  <si>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</si>
  <si>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</si>
  <si>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</si>
  <si>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</si>
  <si>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</si>
  <si>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</si>
  <si>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</si>
  <si>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</si>
  <si>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</si>
  <si>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</si>
  <si>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</si>
  <si>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</si>
  <si>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</si>
  <si>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</si>
  <si>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</si>
  <si>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</si>
  <si>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</si>
  <si>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</si>
  <si>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</si>
  <si>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</si>
  <si>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</si>
  <si>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</si>
  <si>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</si>
  <si>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</si>
  <si>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</si>
  <si>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</si>
  <si>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</si>
  <si>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</si>
  <si>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</si>
  <si>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</si>
  <si>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</si>
  <si>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</si>
  <si>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</si>
  <si>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</si>
  <si>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</si>
  <si>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</si>
  <si>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</si>
  <si>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</si>
  <si>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</si>
  <si>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</si>
  <si>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</si>
  <si>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</si>
  <si>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</si>
  <si>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</si>
  <si>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</si>
  <si>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</si>
  <si>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</si>
  <si>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</si>
  <si>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</si>
  <si>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</si>
  <si>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</si>
  <si>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</si>
  <si>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</si>
  <si>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</si>
  <si>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</si>
  <si>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</si>
  <si>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</si>
  <si>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</si>
  <si>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</si>
  <si>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</si>
  <si>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</si>
  <si>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</si>
  <si>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</si>
  <si>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</si>
  <si>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</si>
  <si>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</si>
  <si>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</si>
  <si>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</si>
  <si>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</si>
  <si>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</si>
  <si>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</si>
  <si>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</si>
  <si>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</si>
  <si>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</si>
  <si>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</si>
  <si>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</si>
  <si>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</si>
  <si>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</si>
  <si>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</si>
  <si>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</si>
  <si>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</si>
  <si>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</si>
  <si>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</si>
  <si>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</si>
  <si>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</si>
  <si>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</si>
  <si>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</si>
  <si>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</si>
  <si>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</si>
  <si>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</si>
  <si>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</si>
  <si>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</si>
  <si>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</si>
  <si>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</si>
  <si>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</si>
  <si>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</si>
  <si>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</si>
  <si>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</si>
  <si>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</si>
  <si>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</si>
  <si>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</si>
  <si>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</si>
  <si>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</si>
  <si>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</si>
  <si>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</si>
  <si>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</si>
  <si>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</si>
  <si>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</si>
  <si>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</si>
  <si>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</si>
  <si>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</si>
  <si>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</si>
  <si>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</si>
  <si>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</si>
  <si>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</si>
  <si>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</si>
  <si>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</si>
  <si>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</si>
  <si>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</si>
  <si>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</si>
  <si>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</si>
  <si>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</si>
  <si>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</si>
  <si>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</si>
  <si>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</si>
  <si>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</si>
  <si>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</si>
  <si>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</si>
  <si>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</si>
  <si>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</si>
  <si>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</si>
  <si>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</si>
  <si>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</si>
  <si>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</si>
  <si>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</si>
  <si>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</si>
  <si>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</si>
  <si>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</si>
  <si>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</si>
  <si>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</si>
  <si>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</si>
  <si>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</si>
  <si>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</si>
  <si>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</si>
  <si>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</si>
  <si>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</si>
  <si>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</si>
  <si>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</si>
  <si>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</si>
  <si>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</si>
  <si>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</si>
  <si>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</si>
  <si>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</si>
  <si>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</si>
  <si>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</si>
  <si>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</si>
  <si>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</si>
  <si>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</si>
  <si>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</si>
  <si>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</si>
  <si>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</si>
  <si>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</si>
  <si>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</si>
  <si>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</si>
  <si>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</si>
  <si>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</si>
  <si>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</si>
  <si>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</si>
  <si>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</si>
  <si>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</si>
  <si>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</si>
  <si>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</si>
  <si>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</si>
  <si>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</si>
  <si>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</si>
  <si>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</si>
  <si>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</si>
  <si>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</si>
  <si>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</si>
  <si>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</si>
  <si>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</si>
  <si>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</si>
  <si>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</si>
  <si>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</si>
  <si>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</si>
  <si>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</si>
  <si>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</si>
  <si>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</si>
  <si>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</si>
  <si>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</si>
  <si>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</si>
  <si>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</si>
  <si>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</si>
  <si>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</si>
  <si>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</si>
  <si>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</si>
  <si>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</si>
  <si>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</si>
  <si>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</si>
  <si>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</si>
  <si>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</si>
  <si>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</si>
  <si>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</si>
  <si>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</si>
  <si>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</si>
  <si>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</si>
  <si>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</si>
  <si>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</si>
  <si>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</si>
  <si>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</si>
  <si>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</si>
  <si>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</si>
  <si>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</si>
  <si>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</si>
  <si>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</si>
  <si>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</si>
  <si>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</si>
  <si>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</si>
  <si>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</si>
  <si>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</si>
  <si>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</si>
  <si>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</si>
  <si>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</si>
  <si>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</si>
  <si>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</si>
  <si>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</si>
  <si>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</si>
  <si>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</si>
  <si>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</si>
  <si>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</si>
  <si>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</si>
  <si>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</si>
  <si>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</si>
  <si>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</si>
  <si>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</si>
  <si>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</si>
  <si>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</si>
  <si>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</si>
  <si>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</si>
  <si>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</si>
  <si>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</si>
  <si>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</si>
  <si>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</si>
  <si>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</si>
  <si>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</si>
  <si>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</si>
  <si>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</si>
  <si>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</si>
  <si>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</si>
  <si>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</si>
  <si>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</si>
  <si>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</si>
  <si>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</si>
  <si>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</si>
  <si>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</si>
  <si>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</si>
  <si>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</si>
  <si>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</si>
  <si>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</si>
  <si>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</si>
  <si>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</si>
  <si>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</si>
  <si>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</si>
  <si>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</si>
  <si>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</si>
  <si>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</si>
  <si>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</si>
  <si>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</si>
  <si>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</si>
  <si>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</si>
  <si>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</si>
  <si>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</si>
  <si>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</si>
  <si>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</si>
  <si>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</si>
  <si>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</si>
  <si>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</si>
  <si>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</si>
  <si>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</si>
  <si>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</si>
  <si>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</si>
  <si>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</si>
  <si>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</si>
  <si>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</si>
  <si>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</si>
  <si>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</si>
  <si>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</si>
  <si>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</si>
  <si>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</si>
  <si>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</si>
  <si>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</si>
  <si>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</si>
  <si>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</si>
  <si>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</si>
  <si>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</si>
  <si>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</si>
  <si>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</si>
  <si>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</si>
  <si>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</si>
  <si>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</si>
  <si>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</si>
  <si>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</si>
  <si>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</si>
  <si>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</si>
  <si>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</si>
  <si>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</si>
  <si>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</si>
  <si>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</si>
  <si>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</si>
  <si>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</si>
  <si>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</si>
  <si>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</si>
  <si>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</si>
  <si>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</si>
  <si>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</si>
  <si>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</si>
  <si>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</si>
  <si>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</si>
  <si>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</si>
  <si>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</si>
  <si>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</si>
  <si>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</si>
  <si>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</si>
  <si>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</si>
  <si>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</si>
  <si>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</si>
  <si>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</si>
  <si>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</si>
  <si>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</si>
  <si>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</si>
  <si>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</si>
  <si>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</si>
  <si>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</si>
  <si>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</si>
  <si>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</si>
  <si>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</si>
  <si>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</si>
  <si>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</si>
  <si>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</si>
  <si>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</si>
  <si>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</si>
  <si>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</si>
  <si>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</si>
  <si>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</si>
  <si>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</si>
  <si>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</si>
  <si>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</si>
  <si>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</si>
  <si>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</si>
  <si>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</si>
  <si>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</si>
  <si>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</si>
  <si>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</si>
  <si>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</si>
  <si>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</si>
  <si>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</si>
  <si>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</si>
  <si>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</si>
  <si>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</si>
  <si>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</si>
  <si>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</si>
  <si>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</si>
  <si>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</si>
  <si>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</si>
  <si>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</si>
  <si>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</si>
  <si>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</si>
  <si>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</si>
  <si>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</si>
  <si>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</si>
  <si>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</si>
  <si>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</si>
  <si>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</si>
  <si>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</si>
  <si>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</si>
  <si>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</si>
  <si>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</si>
  <si>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</si>
  <si>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</si>
  <si>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</si>
  <si>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</si>
  <si>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</si>
  <si>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</si>
  <si>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</si>
  <si>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</si>
  <si>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</si>
  <si>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</si>
  <si>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</si>
  <si>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</si>
  <si>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</si>
  <si>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</si>
  <si>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</si>
  <si>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</si>
  <si>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</si>
  <si>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</si>
  <si>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</si>
  <si>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</si>
  <si>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</si>
  <si>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</si>
  <si>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</si>
  <si>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</si>
  <si>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</si>
  <si>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</si>
  <si>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</si>
  <si>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</si>
  <si>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</si>
  <si>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</si>
  <si>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</si>
  <si>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</si>
  <si>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</si>
  <si>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</si>
  <si>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</si>
  <si>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</si>
  <si>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</si>
  <si>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</si>
  <si>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</si>
  <si>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</si>
  <si>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</si>
  <si>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</si>
  <si>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</si>
  <si>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</si>
  <si>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</si>
  <si>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</si>
  <si>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</si>
  <si>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</si>
  <si>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</si>
  <si>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</si>
  <si>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</si>
  <si>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</si>
  <si>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</si>
  <si>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</si>
  <si>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</si>
  <si>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</si>
  <si>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</si>
  <si>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</si>
  <si>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</si>
  <si>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</si>
  <si>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</si>
  <si>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</si>
  <si>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</si>
  <si>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</si>
  <si>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</si>
  <si>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</si>
  <si>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</si>
  <si>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</si>
  <si>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</si>
  <si>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</si>
  <si>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</si>
  <si>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</si>
  <si>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</si>
  <si>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</si>
  <si>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</si>
  <si>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</si>
  <si>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</si>
  <si>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</si>
  <si>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</si>
  <si>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</si>
  <si>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</si>
  <si>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</si>
  <si>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</si>
  <si>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</si>
  <si>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</si>
  <si>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</si>
  <si>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</si>
  <si>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</si>
  <si>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</si>
  <si>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</si>
  <si>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</si>
  <si>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</si>
  <si>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</si>
  <si>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</si>
  <si>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</si>
  <si>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</si>
  <si>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</si>
  <si>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</si>
  <si>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</si>
  <si>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</si>
  <si>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</si>
  <si>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</si>
  <si>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</si>
  <si>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</si>
  <si>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</si>
  <si>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</si>
  <si>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</si>
  <si>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</si>
  <si>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</si>
  <si>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</si>
  <si>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</si>
  <si>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</si>
  <si>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</si>
  <si>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</si>
  <si>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</si>
  <si>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</si>
  <si>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</si>
  <si>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</si>
  <si>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</si>
  <si>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</si>
  <si>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</si>
  <si>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</si>
  <si>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</si>
  <si>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</si>
  <si>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</si>
  <si>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</si>
  <si>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</si>
  <si>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</si>
  <si>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</si>
  <si>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</si>
  <si>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</si>
  <si>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</si>
  <si>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</si>
  <si>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</si>
  <si>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</si>
  <si>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</si>
  <si>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</si>
  <si>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</si>
  <si>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</si>
  <si>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</si>
  <si>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</si>
  <si>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</si>
  <si>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</si>
  <si>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</si>
  <si>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</si>
  <si>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</si>
  <si>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</si>
  <si>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</si>
  <si>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</si>
  <si>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</si>
  <si>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</si>
  <si>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</si>
  <si>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</si>
  <si>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</si>
  <si>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</si>
  <si>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</si>
  <si>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</si>
  <si>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</si>
  <si>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</si>
  <si>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</si>
  <si>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</si>
  <si>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</si>
  <si>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</si>
  <si>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</si>
  <si>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</si>
  <si>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</si>
  <si>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</si>
  <si>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</si>
  <si>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</si>
  <si>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</si>
  <si>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</si>
  <si>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</si>
  <si>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</si>
  <si>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</si>
  <si>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</si>
  <si>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</si>
  <si>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</si>
  <si>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</si>
  <si>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</si>
  <si>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</si>
  <si>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</si>
  <si>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</si>
  <si>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</si>
  <si>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</si>
  <si>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</si>
  <si>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</si>
  <si>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</si>
  <si>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</si>
  <si>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</si>
  <si>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</si>
  <si>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</si>
  <si>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</si>
  <si>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</si>
  <si>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</si>
  <si>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</si>
  <si>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</si>
  <si>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</si>
  <si>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</si>
  <si>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</si>
  <si>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</si>
  <si>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</si>
  <si>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</si>
  <si>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</si>
  <si>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</si>
  <si>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</si>
  <si>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</si>
  <si>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</si>
  <si>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</si>
  <si>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</si>
  <si>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</si>
  <si>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</si>
  <si>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</si>
  <si>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</si>
  <si>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</si>
  <si>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</si>
  <si>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</si>
  <si>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</si>
  <si>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</si>
  <si>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</si>
  <si>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</si>
  <si>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</si>
  <si>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</si>
  <si>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</si>
  <si>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</si>
  <si>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</si>
  <si>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</si>
  <si>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</si>
  <si>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</si>
  <si>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</si>
  <si>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</si>
  <si>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</si>
  <si>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</si>
  <si>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</si>
  <si>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</si>
  <si>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</si>
  <si>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</si>
  <si>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</si>
  <si>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</si>
  <si>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</si>
  <si>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</si>
  <si>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</si>
  <si>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</si>
  <si>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</si>
  <si>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</si>
  <si>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</si>
  <si>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</si>
  <si>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</si>
  <si>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</si>
  <si>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</si>
  <si>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</si>
  <si>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</si>
  <si>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</si>
  <si>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</si>
  <si>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</si>
  <si>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</si>
  <si>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</si>
  <si>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</si>
  <si>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</si>
  <si>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</si>
  <si>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</si>
  <si>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</si>
  <si>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</si>
  <si>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</si>
  <si>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</si>
  <si>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</si>
  <si>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</si>
  <si>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</si>
  <si>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</si>
  <si>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</si>
  <si>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</si>
  <si>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</si>
  <si>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</si>
  <si>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</si>
  <si>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</si>
  <si>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</si>
  <si>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</si>
  <si>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</si>
  <si>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</si>
  <si>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</si>
  <si>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</si>
  <si>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</si>
  <si>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</si>
  <si>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</si>
  <si>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</si>
  <si>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</si>
  <si>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</si>
  <si>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</si>
  <si>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</si>
  <si>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</si>
  <si>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</si>
  <si>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</si>
  <si>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</si>
  <si>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</si>
  <si>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</si>
  <si>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</si>
  <si>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</si>
  <si>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</si>
  <si>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</si>
  <si>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</si>
  <si>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</si>
  <si>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</si>
  <si>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</si>
  <si>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</si>
  <si>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</si>
  <si>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</si>
  <si>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</si>
  <si>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</si>
  <si>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</si>
  <si>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</si>
  <si>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</si>
  <si>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</si>
  <si>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</si>
  <si>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</si>
  <si>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</si>
  <si>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</si>
  <si>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</si>
  <si>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</si>
  <si>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</si>
  <si>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</si>
  <si>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</si>
  <si>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</si>
  <si>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</si>
  <si>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</si>
  <si>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</si>
  <si>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</si>
  <si>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</si>
  <si>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</si>
  <si>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</si>
  <si>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</si>
  <si>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</si>
  <si>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</si>
  <si>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</si>
  <si>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</si>
  <si>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</si>
  <si>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</si>
  <si>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</si>
  <si>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</si>
  <si>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</si>
  <si>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</si>
  <si>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</si>
  <si>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</si>
  <si>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</si>
  <si>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</si>
  <si>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</si>
  <si>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</si>
  <si>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</si>
  <si>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</si>
  <si>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</si>
  <si>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</si>
  <si>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</si>
  <si>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</si>
  <si>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</si>
  <si>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</si>
  <si>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</si>
  <si>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</si>
  <si>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</si>
  <si>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</si>
  <si>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</si>
  <si>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</si>
  <si>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</si>
  <si>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</si>
  <si>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</si>
  <si>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</si>
  <si>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</si>
  <si>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</si>
  <si>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</si>
  <si>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</si>
  <si>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</si>
  <si>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</si>
  <si>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</si>
  <si>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</si>
  <si>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</si>
  <si>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</si>
  <si>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</si>
  <si>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</si>
  <si>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</si>
  <si>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</si>
  <si>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</si>
  <si>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</si>
  <si>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</si>
  <si>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</si>
  <si>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</si>
  <si>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</si>
  <si>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</si>
  <si>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</si>
  <si>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</si>
  <si>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</si>
  <si>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</si>
  <si>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</si>
  <si>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</si>
  <si>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</si>
  <si>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</si>
  <si>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</si>
  <si>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</si>
  <si>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</si>
  <si>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</si>
  <si>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</si>
  <si>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</si>
  <si>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</si>
  <si>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</si>
  <si>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</si>
  <si>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</si>
  <si>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</si>
  <si>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</si>
  <si>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</si>
  <si>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</si>
  <si>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</si>
  <si>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</si>
  <si>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</si>
  <si>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</si>
  <si>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</si>
  <si>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</si>
  <si>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</si>
  <si>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</si>
  <si>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</si>
  <si>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</si>
  <si>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</si>
  <si>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</si>
  <si>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</si>
  <si>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</si>
  <si>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</si>
  <si>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</si>
  <si>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</si>
  <si>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</si>
  <si>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</si>
  <si>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</si>
  <si>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</si>
  <si>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</si>
  <si>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</si>
  <si>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</si>
  <si>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</si>
  <si>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</si>
  <si>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</si>
  <si>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</si>
  <si>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</si>
  <si>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</si>
  <si>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</si>
  <si>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</si>
  <si>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</si>
  <si>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</si>
  <si>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</si>
  <si>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</si>
  <si>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</si>
  <si>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</si>
  <si>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</si>
  <si>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</si>
  <si>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</si>
  <si>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</si>
  <si>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</si>
  <si>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</si>
  <si>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</si>
  <si>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</si>
  <si>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</si>
  <si>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</si>
  <si>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</si>
  <si>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</si>
  <si>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</si>
  <si>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</si>
  <si>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</si>
  <si>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</si>
  <si>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</si>
  <si>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</si>
  <si>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</si>
  <si>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</si>
  <si>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</si>
  <si>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</si>
  <si>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</si>
  <si>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</si>
  <si>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</si>
  <si>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</si>
  <si>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</si>
  <si>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</si>
  <si>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</si>
  <si>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</si>
  <si>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</si>
  <si>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</si>
  <si>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</si>
  <si>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</si>
  <si>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</si>
  <si>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</si>
  <si>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</si>
  <si>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</si>
  <si>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</si>
  <si>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</si>
  <si>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</si>
  <si>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</si>
  <si>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</si>
  <si>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</si>
  <si>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</si>
  <si>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</si>
  <si>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</si>
  <si>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</si>
  <si>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</si>
  <si>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</si>
  <si>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</si>
  <si>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</si>
  <si>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</si>
  <si>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</si>
  <si>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</si>
  <si>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</si>
  <si>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</si>
  <si>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</si>
  <si>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</si>
  <si>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</si>
  <si>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</si>
  <si>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</si>
  <si>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</si>
  <si>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</si>
  <si>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</si>
  <si>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</si>
  <si>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</si>
  <si>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</si>
  <si>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</si>
  <si>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</si>
  <si>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</si>
  <si>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</si>
  <si>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</si>
  <si>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</si>
  <si>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</si>
  <si>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</si>
  <si>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</si>
  <si>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</si>
  <si>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</si>
  <si>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</si>
  <si>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</si>
  <si>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</si>
  <si>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</si>
  <si>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</si>
  <si>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</si>
  <si>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</si>
  <si>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</si>
  <si>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</si>
  <si>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</si>
  <si>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</si>
  <si>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</si>
  <si>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</si>
  <si>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</si>
  <si>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</si>
  <si>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</si>
  <si>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</si>
  <si>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</si>
  <si>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</si>
  <si>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</si>
  <si>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</si>
  <si>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</si>
  <si>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</si>
  <si>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</si>
  <si>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</si>
  <si>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</si>
  <si>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</si>
  <si>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</si>
  <si>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</si>
  <si>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</si>
  <si>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</si>
  <si>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</si>
  <si>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</si>
  <si>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</si>
  <si>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</si>
  <si>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</si>
  <si>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</si>
  <si>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</si>
  <si>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</si>
  <si>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</si>
  <si>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</si>
  <si>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</si>
  <si>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</si>
  <si>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</si>
  <si>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</si>
  <si>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</si>
  <si>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</si>
  <si>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</si>
  <si>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</si>
  <si>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</si>
  <si>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</si>
  <si>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</si>
  <si>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</si>
  <si>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</si>
  <si>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</si>
  <si>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</si>
  <si>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</si>
  <si>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</si>
  <si>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</si>
  <si>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</si>
  <si>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</si>
  <si>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</si>
  <si>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</si>
  <si>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</si>
  <si>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</si>
  <si>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</si>
  <si>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</si>
  <si>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</si>
  <si>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</si>
  <si>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</si>
  <si>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</si>
  <si>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</si>
  <si>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</si>
  <si>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</si>
  <si>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</si>
  <si>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</si>
  <si>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</si>
  <si>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</si>
  <si>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</si>
  <si>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</si>
  <si>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</si>
  <si>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</si>
  <si>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</si>
  <si>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</si>
  <si>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</si>
  <si>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</si>
  <si>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</si>
  <si>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</si>
  <si>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</si>
  <si>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</si>
  <si>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</si>
  <si>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</si>
  <si>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</si>
  <si>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</si>
  <si>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</si>
  <si>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</si>
  <si>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</si>
  <si>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</si>
  <si>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</si>
  <si>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</si>
  <si>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</si>
  <si>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</si>
  <si>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</si>
  <si>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</si>
  <si>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</si>
  <si>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</si>
  <si>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</si>
  <si>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</si>
  <si>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</si>
  <si>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</si>
  <si>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</si>
  <si>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</si>
  <si>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</si>
  <si>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</si>
  <si>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</si>
  <si>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</si>
  <si>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</si>
  <si>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</si>
  <si>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</si>
  <si>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</si>
  <si>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</si>
  <si>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</si>
  <si>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</si>
  <si>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</si>
  <si>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</si>
  <si>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</si>
  <si>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</si>
  <si>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</si>
  <si>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</si>
  <si>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</si>
  <si>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</si>
  <si>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</si>
  <si>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</si>
  <si>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</si>
  <si>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</si>
  <si>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</si>
  <si>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</si>
  <si>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</si>
  <si>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</si>
  <si>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</si>
  <si>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</si>
  <si>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</si>
  <si>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</si>
  <si>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</si>
  <si>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</si>
  <si>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</si>
  <si>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</si>
  <si>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</si>
  <si>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</si>
  <si>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</si>
  <si>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</si>
  <si>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</si>
  <si>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</si>
  <si>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</si>
  <si>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</si>
  <si>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</si>
  <si>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</si>
  <si>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</si>
  <si>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</si>
  <si>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</si>
  <si>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</si>
  <si>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</si>
  <si>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</si>
  <si>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</si>
  <si>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</si>
  <si>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</si>
  <si>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</si>
  <si>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</si>
  <si>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</si>
  <si>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</si>
  <si>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</si>
  <si>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</si>
  <si>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</si>
  <si>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</si>
  <si>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</si>
  <si>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</si>
  <si>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</si>
  <si>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</si>
  <si>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</si>
  <si>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</si>
  <si>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</si>
  <si>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</si>
  <si>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</si>
  <si>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</si>
  <si>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</si>
  <si>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</si>
  <si>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</si>
  <si>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</si>
  <si>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</si>
  <si>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</si>
  <si>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</si>
  <si>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</si>
  <si>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</si>
  <si>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</si>
  <si>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</si>
  <si>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</si>
  <si>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</si>
  <si>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</si>
  <si>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</si>
  <si>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</si>
  <si>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</si>
  <si>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</si>
  <si>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</si>
  <si>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</si>
  <si>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</si>
  <si>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</si>
  <si>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</si>
  <si>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</si>
  <si>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</si>
  <si>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</si>
  <si>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</si>
  <si>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</si>
  <si>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</si>
  <si>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</si>
  <si>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</si>
  <si>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</si>
  <si>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</si>
  <si>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</si>
  <si>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</si>
  <si>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</si>
  <si>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</si>
  <si>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</si>
  <si>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</si>
  <si>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</si>
  <si>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</si>
  <si>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</si>
  <si>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</si>
  <si>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</si>
  <si>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</si>
  <si>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</si>
  <si>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</si>
  <si>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</si>
  <si>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</si>
  <si>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</si>
  <si>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</si>
  <si>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</si>
  <si>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</si>
  <si>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</si>
  <si>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</si>
  <si>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</si>
  <si>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</si>
  <si>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</si>
  <si>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</si>
  <si>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</si>
  <si>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</si>
  <si>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</si>
  <si>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</si>
  <si>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</si>
  <si>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</si>
  <si>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</si>
  <si>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</si>
  <si>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</si>
  <si>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</si>
  <si>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</si>
  <si>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</si>
  <si>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</si>
  <si>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</si>
  <si>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</si>
  <si>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</si>
  <si>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</si>
  <si>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</si>
  <si>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</si>
  <si>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</si>
  <si>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</si>
  <si>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</si>
  <si>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</si>
  <si>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</si>
  <si>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</si>
  <si>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</si>
  <si>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</si>
  <si>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</si>
  <si>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</si>
  <si>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</si>
  <si>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</si>
  <si>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</si>
  <si>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</si>
  <si>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</si>
  <si>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</si>
  <si>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</si>
  <si>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</si>
  <si>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</si>
  <si>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</si>
  <si>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</si>
  <si>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</si>
  <si>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</si>
  <si>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</si>
  <si>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</si>
  <si>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</si>
  <si>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</si>
  <si>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</si>
  <si>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</si>
  <si>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</si>
  <si>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</si>
  <si>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</si>
  <si>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</si>
  <si>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</si>
  <si>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</si>
  <si>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</si>
  <si>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</si>
  <si>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</si>
  <si>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</si>
  <si>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</si>
  <si>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</si>
  <si>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</si>
  <si>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</si>
  <si>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</si>
  <si>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</si>
  <si>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</si>
  <si>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</si>
  <si>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</si>
  <si>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</si>
  <si>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</si>
  <si>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</si>
  <si>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</si>
  <si>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</si>
  <si>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</si>
  <si>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</si>
  <si>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</si>
  <si>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</si>
  <si>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</si>
  <si>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</si>
  <si>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</si>
  <si>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</si>
  <si>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</si>
  <si>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</si>
  <si>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</si>
  <si>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</si>
  <si>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</si>
  <si>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</si>
  <si>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</si>
  <si>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</si>
  <si>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</si>
  <si>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</si>
  <si>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</si>
  <si>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</si>
  <si>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</si>
  <si>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</si>
  <si>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</si>
  <si>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</si>
  <si>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</si>
  <si>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</si>
  <si>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</si>
  <si>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</si>
  <si>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</si>
  <si>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</si>
  <si>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</si>
  <si>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</si>
  <si>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</si>
  <si>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</si>
  <si>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</si>
  <si>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</si>
  <si>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</si>
  <si>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</si>
  <si>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</si>
  <si>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</si>
  <si>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</si>
  <si>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</si>
  <si>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</si>
  <si>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</si>
  <si>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</si>
  <si>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</si>
  <si>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</si>
  <si>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</si>
  <si>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</si>
  <si>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</si>
  <si>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</si>
  <si>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</si>
  <si>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</si>
  <si>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</si>
  <si>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</si>
  <si>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</si>
  <si>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</si>
  <si>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</si>
  <si>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</si>
  <si>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</si>
  <si>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</si>
  <si>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</si>
  <si>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</si>
  <si>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</si>
  <si>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</si>
  <si>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</si>
  <si>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</si>
  <si>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</si>
  <si>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</si>
  <si>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</si>
  <si>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</si>
  <si>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</si>
  <si>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</si>
  <si>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</si>
  <si>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</si>
  <si>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</si>
  <si>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</si>
  <si>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</si>
  <si>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</si>
  <si>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</si>
  <si>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</si>
  <si>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</si>
  <si>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</si>
  <si>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</si>
  <si>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</si>
  <si>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</si>
  <si>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</si>
  <si>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</si>
  <si>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</si>
  <si>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</si>
  <si>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</si>
  <si>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</si>
  <si>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</si>
  <si>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</si>
  <si>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</si>
  <si>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</si>
  <si>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</si>
  <si>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</si>
  <si>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</si>
  <si>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</si>
  <si>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</si>
  <si>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</si>
  <si>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</si>
  <si>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</si>
  <si>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</si>
  <si>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</si>
  <si>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</si>
  <si>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</si>
  <si>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</si>
  <si>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</si>
  <si>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</si>
  <si>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</si>
  <si>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</si>
  <si>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</si>
  <si>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</si>
  <si>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</si>
  <si>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</si>
  <si>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</si>
  <si>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</si>
  <si>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</si>
  <si>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</si>
  <si>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</si>
  <si>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</si>
  <si>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</si>
  <si>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</si>
  <si>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</si>
  <si>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</si>
  <si>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</si>
  <si>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</si>
  <si>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</si>
  <si>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</si>
  <si>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</si>
  <si>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</si>
  <si>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</si>
  <si>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</si>
  <si>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</si>
  <si>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</si>
  <si>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</si>
  <si>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</si>
  <si>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</si>
  <si>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</si>
  <si>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</si>
  <si>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</si>
  <si>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</si>
  <si>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</si>
  <si>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</si>
  <si>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</si>
  <si>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</si>
  <si>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</si>
  <si>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</si>
  <si>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</si>
  <si>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</si>
  <si>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</si>
  <si>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</si>
  <si>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</si>
  <si>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</si>
  <si>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</si>
  <si>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</si>
  <si>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</si>
  <si>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</si>
  <si>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</si>
  <si>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</si>
  <si>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</si>
  <si>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</si>
  <si>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</si>
  <si>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</si>
  <si>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</si>
  <si>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</si>
  <si>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</si>
  <si>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</si>
  <si>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</si>
  <si>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</si>
  <si>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</si>
  <si>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</si>
  <si>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</si>
  <si>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</si>
  <si>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</si>
  <si>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</si>
  <si>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</si>
  <si>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</si>
  <si>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</si>
  <si>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</si>
  <si>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</si>
  <si>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</si>
  <si>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</si>
  <si>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</si>
  <si>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</si>
  <si>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</si>
  <si>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</si>
  <si>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</si>
  <si>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</si>
  <si>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</si>
  <si>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</si>
  <si>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</si>
  <si>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</si>
  <si>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</si>
  <si>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</si>
  <si>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</si>
  <si>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</si>
  <si>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</si>
  <si>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</si>
  <si>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</si>
  <si>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</si>
  <si>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</si>
  <si>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</si>
  <si>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</si>
  <si>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</si>
  <si>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</si>
  <si>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</si>
  <si>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</si>
  <si>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</si>
  <si>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</si>
  <si>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</si>
  <si>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</si>
  <si>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</si>
  <si>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</si>
  <si>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</si>
  <si>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</si>
  <si>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</si>
  <si>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</si>
  <si>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</si>
  <si>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</si>
  <si>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</si>
  <si>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</si>
  <si>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</si>
  <si>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</si>
  <si>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</si>
  <si>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</si>
  <si>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</si>
  <si>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</si>
  <si>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</si>
  <si>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</si>
  <si>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</si>
  <si>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</si>
  <si>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</si>
  <si>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</si>
  <si>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</si>
  <si>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</si>
  <si>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</si>
  <si>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</si>
  <si>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</si>
  <si>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</si>
  <si>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</si>
  <si>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</si>
  <si>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</si>
  <si>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</si>
  <si>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</si>
  <si>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</si>
  <si>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</si>
  <si>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</si>
  <si>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</si>
  <si>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</si>
  <si>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</si>
  <si>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</si>
  <si>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</si>
  <si>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</si>
  <si>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</si>
  <si>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</si>
  <si>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</si>
  <si>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</si>
  <si>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</si>
  <si>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</si>
  <si>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</si>
  <si>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</si>
  <si>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</si>
  <si>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</si>
  <si>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</si>
  <si>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</si>
  <si>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</si>
  <si>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</si>
  <si>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</si>
  <si>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</si>
  <si>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</si>
  <si>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</si>
  <si>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</si>
  <si>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</si>
  <si>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</si>
  <si>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</si>
  <si>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</si>
  <si>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</si>
  <si>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</si>
  <si>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</si>
  <si>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</si>
  <si>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</si>
  <si>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</si>
  <si>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</si>
  <si>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</si>
  <si>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</si>
  <si>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</si>
  <si>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</si>
  <si>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</si>
  <si>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</si>
  <si>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</si>
  <si>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</si>
  <si>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</si>
  <si>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</si>
  <si>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</si>
  <si>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</si>
  <si>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</si>
  <si>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</si>
  <si>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</si>
  <si>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</si>
  <si>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</si>
  <si>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</si>
  <si>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</si>
  <si>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</si>
  <si>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</si>
  <si>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</si>
  <si>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</si>
  <si>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</si>
  <si>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</si>
  <si>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</si>
  <si>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</si>
  <si>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</si>
  <si>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</si>
  <si>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</si>
  <si>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</si>
  <si>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</si>
  <si>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</si>
  <si>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</si>
  <si>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</si>
  <si>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</si>
  <si>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</si>
  <si>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</si>
  <si>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</si>
  <si>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</si>
  <si>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</si>
  <si>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</si>
  <si>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</si>
  <si>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</si>
  <si>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</si>
  <si>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</si>
  <si>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</si>
  <si>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</si>
  <si>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</si>
  <si>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</si>
  <si>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</si>
  <si>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</si>
  <si>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</si>
  <si>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</si>
  <si>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</si>
  <si>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</si>
  <si>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</si>
  <si>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</si>
  <si>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</si>
  <si>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</si>
  <si>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</si>
  <si>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</si>
  <si>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</si>
  <si>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</si>
  <si>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</si>
  <si>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</si>
  <si>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</si>
  <si>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</si>
  <si>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</si>
  <si>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</si>
  <si>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</si>
  <si>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</si>
  <si>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</si>
  <si>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</si>
  <si>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</si>
  <si>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</si>
  <si>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</si>
  <si>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</si>
  <si>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</si>
  <si>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</si>
  <si>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</si>
  <si>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</si>
  <si>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</si>
  <si>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</si>
  <si>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</si>
  <si>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</si>
  <si>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</si>
  <si>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</si>
  <si>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</si>
  <si>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</si>
  <si>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</si>
  <si>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</si>
  <si>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</si>
  <si>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</si>
  <si>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</si>
  <si>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</si>
  <si>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</si>
  <si>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</si>
  <si>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</si>
  <si>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</si>
  <si>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</si>
  <si>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</si>
  <si>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</si>
  <si>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</si>
  <si>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</si>
  <si>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</si>
  <si>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</si>
  <si>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</si>
  <si>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</si>
  <si>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</si>
  <si>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</si>
  <si>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</si>
  <si>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</si>
  <si>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</si>
  <si>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</si>
  <si>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</si>
  <si>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</si>
  <si>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</si>
  <si>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</si>
  <si>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</si>
  <si>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</si>
  <si>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</si>
  <si>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</si>
  <si>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</si>
  <si>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</si>
  <si>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</si>
  <si>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</si>
  <si>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</si>
  <si>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</si>
  <si>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</si>
  <si>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</si>
  <si>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</si>
  <si>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</si>
  <si>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</si>
  <si>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</si>
  <si>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</si>
  <si>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</si>
  <si>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</si>
  <si>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</si>
  <si>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</si>
  <si>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</si>
  <si>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</si>
  <si>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</si>
  <si>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</si>
  <si>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</si>
  <si>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</si>
  <si>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</si>
  <si>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</si>
  <si>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</si>
  <si>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</si>
  <si>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</si>
  <si>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</si>
  <si>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</si>
  <si>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</si>
  <si>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</si>
  <si>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</si>
  <si>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</si>
  <si>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</si>
  <si>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</si>
  <si>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</si>
  <si>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</si>
  <si>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</si>
  <si>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</si>
  <si>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</si>
  <si>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</si>
  <si>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</si>
  <si>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</si>
  <si>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</si>
  <si>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</si>
  <si>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</si>
  <si>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</si>
  <si>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</si>
  <si>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</si>
  <si>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</si>
  <si>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</si>
  <si>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</si>
  <si>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</si>
  <si>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</si>
  <si>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</si>
  <si>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</si>
  <si>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</si>
  <si>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</si>
  <si>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</si>
  <si>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</si>
  <si>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</si>
  <si>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</si>
  <si>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</si>
  <si>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</si>
  <si>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</si>
  <si>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</si>
  <si>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</si>
  <si>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</si>
  <si>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</si>
  <si>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</si>
  <si>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</si>
  <si>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</si>
  <si>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</si>
  <si>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</si>
  <si>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</si>
  <si>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</si>
  <si>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</si>
  <si>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</si>
  <si>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</si>
  <si>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</si>
  <si>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</si>
  <si>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</si>
  <si>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</si>
  <si>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</si>
  <si>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</si>
  <si>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</si>
  <si>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</si>
  <si>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</si>
  <si>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</si>
  <si>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</si>
  <si>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</si>
  <si>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</si>
  <si>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</si>
  <si>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</si>
  <si>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</si>
  <si>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</si>
  <si>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</si>
  <si>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</si>
  <si>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</si>
  <si>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</si>
  <si>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</si>
  <si>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</si>
  <si>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</si>
  <si>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</si>
  <si>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</si>
  <si>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</si>
  <si>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</si>
  <si>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</si>
  <si>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</si>
  <si>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</si>
  <si>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</si>
  <si>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</si>
  <si>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</si>
  <si>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</si>
  <si>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</si>
  <si>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</si>
  <si>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</si>
  <si>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</si>
  <si>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</si>
  <si>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</si>
  <si>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</si>
  <si>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</si>
  <si>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</si>
  <si>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</si>
  <si>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</si>
  <si>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</si>
  <si>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</si>
  <si>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</si>
  <si>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</si>
  <si>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</si>
  <si>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</si>
  <si>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</si>
  <si>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</si>
  <si>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</si>
  <si>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</si>
  <si>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</si>
  <si>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</si>
  <si>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</si>
  <si>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</si>
  <si>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</si>
  <si>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</si>
  <si>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</si>
  <si>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</si>
  <si>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</si>
  <si>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</si>
  <si>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</si>
  <si>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</si>
  <si>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</si>
  <si>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</si>
  <si>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</si>
  <si>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</si>
  <si>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</si>
  <si>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</si>
  <si>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</si>
  <si>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</si>
  <si>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</si>
  <si>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</si>
  <si>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</si>
  <si>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</si>
  <si>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</si>
  <si>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</si>
  <si>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</si>
  <si>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</si>
  <si>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</si>
  <si>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</si>
  <si>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</si>
  <si>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</si>
  <si>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</si>
  <si>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</si>
  <si>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</si>
  <si>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</si>
  <si>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</si>
  <si>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</si>
  <si>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</si>
  <si>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</si>
  <si>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</si>
  <si>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</si>
  <si>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</si>
  <si>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</si>
  <si>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</si>
  <si>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</si>
  <si>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</si>
  <si>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</si>
  <si>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</si>
  <si>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</si>
  <si>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</si>
  <si>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</si>
  <si>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</si>
  <si>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</si>
  <si>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</si>
  <si>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</si>
  <si>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</si>
  <si>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</si>
  <si>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</si>
  <si>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</si>
  <si>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</si>
  <si>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</si>
  <si>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</si>
  <si>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</si>
  <si>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</si>
  <si>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</si>
  <si>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</si>
  <si>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</si>
  <si>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</si>
  <si>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</si>
  <si>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</si>
  <si>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</si>
  <si>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</si>
  <si>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</si>
  <si>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</si>
  <si>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</si>
  <si>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</si>
  <si>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</si>
  <si>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</si>
  <si>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</si>
  <si>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</si>
  <si>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</si>
  <si>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</si>
  <si>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</si>
  <si>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</si>
  <si>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</si>
  <si>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</si>
  <si>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</si>
  <si>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</si>
  <si>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</si>
  <si>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</si>
  <si>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</si>
  <si>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</si>
  <si>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</si>
  <si>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</si>
  <si>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</si>
  <si>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</si>
  <si>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</si>
  <si>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</si>
  <si>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</si>
  <si>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</si>
  <si>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</si>
  <si>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</si>
  <si>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</si>
  <si>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</si>
  <si>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</si>
  <si>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</si>
  <si>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</si>
  <si>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</si>
  <si>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</si>
  <si>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</si>
  <si>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</si>
  <si>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</si>
  <si>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</si>
  <si>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</si>
  <si>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</si>
  <si>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</si>
  <si>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</si>
  <si>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</si>
  <si>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</si>
  <si>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</si>
  <si>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</si>
  <si>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</si>
  <si>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</si>
  <si>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</si>
  <si>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</si>
  <si>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</si>
  <si>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</si>
  <si>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</si>
  <si>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</si>
  <si>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</si>
  <si>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</si>
  <si>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</si>
  <si>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</si>
  <si>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</si>
  <si>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</si>
  <si>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</si>
  <si>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</si>
  <si>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</si>
  <si>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</si>
  <si>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</si>
  <si>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</si>
  <si>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</si>
  <si>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</si>
  <si>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</si>
  <si>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</si>
  <si>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</si>
  <si>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</si>
  <si>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</si>
  <si>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</si>
  <si>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</si>
  <si>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</si>
  <si>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</si>
  <si>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</si>
  <si>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</si>
  <si>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</si>
  <si>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</si>
  <si>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</si>
  <si>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</si>
  <si>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</si>
  <si>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</si>
  <si>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</si>
  <si>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</si>
  <si>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</si>
  <si>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</si>
  <si>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</si>
  <si>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</si>
  <si>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</si>
  <si>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</si>
  <si>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</si>
  <si>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</si>
  <si>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</si>
  <si>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</si>
  <si>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</si>
  <si>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</si>
  <si>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</si>
  <si>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</si>
  <si>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</si>
  <si>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</si>
  <si>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</si>
  <si>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</si>
  <si>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</si>
  <si>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</si>
  <si>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</si>
  <si>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</si>
  <si>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</si>
  <si>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</si>
  <si>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</si>
  <si>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</si>
  <si>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</si>
  <si>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</si>
  <si>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</si>
  <si>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</si>
  <si>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</si>
  <si>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</si>
  <si>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</si>
  <si>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</si>
  <si>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</si>
  <si>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</si>
  <si>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</si>
  <si>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</si>
  <si>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</si>
  <si>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</si>
  <si>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</si>
  <si>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</si>
  <si>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</si>
  <si>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</si>
  <si>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</si>
  <si>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</si>
  <si>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</si>
  <si>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</si>
  <si>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</si>
  <si>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</si>
  <si>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</si>
  <si>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</si>
  <si>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</si>
  <si>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</si>
  <si>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</si>
  <si>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</si>
  <si>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</si>
  <si>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</si>
  <si>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</si>
  <si>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</si>
  <si>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</si>
  <si>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</si>
  <si>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</si>
  <si>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</si>
  <si>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</si>
  <si>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</si>
  <si>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</si>
  <si>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</si>
  <si>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</si>
  <si>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</si>
  <si>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</si>
  <si>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</si>
  <si>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</si>
  <si>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</si>
  <si>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</si>
  <si>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</si>
  <si>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</si>
  <si>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</si>
  <si>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</si>
  <si>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</si>
  <si>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</si>
  <si>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</si>
  <si>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</si>
  <si>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</si>
  <si>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</si>
  <si>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</si>
  <si>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</si>
  <si>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</si>
  <si>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</si>
  <si>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</si>
  <si>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</si>
  <si>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</si>
  <si>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</si>
  <si>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</si>
  <si>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</si>
  <si>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</si>
  <si>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</si>
  <si>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</si>
  <si>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</si>
  <si>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</si>
  <si>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</si>
  <si>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</si>
  <si>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</si>
  <si>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</si>
  <si>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</si>
  <si>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</si>
  <si>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</si>
  <si>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</si>
  <si>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</si>
  <si>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</si>
  <si>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</si>
  <si>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</si>
  <si>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</si>
  <si>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</si>
  <si>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</si>
  <si>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</si>
  <si>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</si>
  <si>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</si>
  <si>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</si>
  <si>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</si>
  <si>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</si>
  <si>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</si>
  <si>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</si>
  <si>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</si>
  <si>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</si>
  <si>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</si>
  <si>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</si>
  <si>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</si>
  <si>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</si>
  <si>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</si>
  <si>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</si>
  <si>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</si>
  <si>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</si>
  <si>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</si>
  <si>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</si>
  <si>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</si>
  <si>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</si>
  <si>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</si>
  <si>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</si>
  <si>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</si>
  <si>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</si>
  <si>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</si>
  <si>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</si>
  <si>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</si>
  <si>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</si>
  <si>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</si>
  <si>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</si>
  <si>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</si>
  <si>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</si>
  <si>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</si>
  <si>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</si>
  <si>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</si>
  <si>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</si>
  <si>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</si>
  <si>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</si>
  <si>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</si>
  <si>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</si>
  <si>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</si>
  <si>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</si>
  <si>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</si>
  <si>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</si>
  <si>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</si>
  <si>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</si>
  <si>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</si>
  <si>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</si>
  <si>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</si>
  <si>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</si>
  <si>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</si>
  <si>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</si>
  <si>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</si>
  <si>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</si>
  <si>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</si>
  <si>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</si>
  <si>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</si>
  <si>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</si>
  <si>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</si>
  <si>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</si>
  <si>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</si>
  <si>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</si>
  <si>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</si>
  <si>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</si>
  <si>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</si>
  <si>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</si>
  <si>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</si>
  <si>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</si>
  <si>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</si>
  <si>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</si>
  <si>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</si>
  <si>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</si>
  <si>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</si>
  <si>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</si>
  <si>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</si>
  <si>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</si>
  <si>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</si>
  <si>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</si>
  <si>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</si>
  <si>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</si>
  <si>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</si>
  <si>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</si>
  <si>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</si>
  <si>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</si>
  <si>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</si>
  <si>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</si>
  <si>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</si>
  <si>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</si>
  <si>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</si>
  <si>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</si>
  <si>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</si>
  <si>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</si>
  <si>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</si>
  <si>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</si>
  <si>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</si>
  <si>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</si>
  <si>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</si>
  <si>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</si>
  <si>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</si>
  <si>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</si>
  <si>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</si>
  <si>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</si>
  <si>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</si>
  <si>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</si>
  <si>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</si>
  <si>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</si>
  <si>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</si>
  <si>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</si>
  <si>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</si>
  <si>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</si>
  <si>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</si>
  <si>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</si>
  <si>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</si>
  <si>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</si>
  <si>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</si>
  <si>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</si>
  <si>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</si>
  <si>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</si>
  <si>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</si>
  <si>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</si>
  <si>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</si>
  <si>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</si>
  <si>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</si>
  <si>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</si>
  <si>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</si>
  <si>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</si>
  <si>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</si>
  <si>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</si>
  <si>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</si>
  <si>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</si>
  <si>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</si>
  <si>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</si>
  <si>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</si>
  <si>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</si>
  <si>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</si>
  <si>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</si>
  <si>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</si>
  <si>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</si>
  <si>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</si>
  <si>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</si>
  <si>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</si>
  <si>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</si>
  <si>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</si>
  <si>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</si>
  <si>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</si>
  <si>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</si>
  <si>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</si>
  <si>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</si>
  <si>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</si>
  <si>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</si>
  <si>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</si>
  <si>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</si>
  <si>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</si>
  <si>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</si>
  <si>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</si>
  <si>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</si>
  <si>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</si>
  <si>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</si>
  <si>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</si>
  <si>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</si>
  <si>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</si>
  <si>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</si>
  <si>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</si>
  <si>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</si>
  <si>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</si>
  <si>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</si>
  <si>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</si>
  <si>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</si>
  <si>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</si>
  <si>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</si>
  <si>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</si>
  <si>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</si>
  <si>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</si>
  <si>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</si>
  <si>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</si>
  <si>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</si>
  <si>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</si>
  <si>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</si>
  <si>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</si>
  <si>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</si>
  <si>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</si>
  <si>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</si>
  <si>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</si>
  <si>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</si>
  <si>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</si>
  <si>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</si>
  <si>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</si>
  <si>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</si>
  <si>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</si>
  <si>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</si>
  <si>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</si>
  <si>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</si>
  <si>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</si>
  <si>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</si>
  <si>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</si>
  <si>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</si>
  <si>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</si>
  <si>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</si>
  <si>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</si>
  <si>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</si>
  <si>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</si>
  <si>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</si>
  <si>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</si>
  <si>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</si>
  <si>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</si>
  <si>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</si>
  <si>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</si>
  <si>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</si>
  <si>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</si>
  <si>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</si>
  <si>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</si>
  <si>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</si>
  <si>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</si>
  <si>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</si>
  <si>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</si>
  <si>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</si>
  <si>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</si>
  <si>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</si>
  <si>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</si>
  <si>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</si>
  <si>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</si>
  <si>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</si>
  <si>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</si>
  <si>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</si>
  <si>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</si>
  <si>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</si>
  <si>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</si>
  <si>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</si>
  <si>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</si>
  <si>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</si>
  <si>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</si>
  <si>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</si>
  <si>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</si>
  <si>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</si>
  <si>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</si>
  <si>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</si>
  <si>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</si>
  <si>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</si>
  <si>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</si>
  <si>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</si>
  <si>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</si>
  <si>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</si>
  <si>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</si>
  <si>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</si>
  <si>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</si>
  <si>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</si>
  <si>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</si>
  <si>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</si>
  <si>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</si>
  <si>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</si>
  <si>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</si>
  <si>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</si>
  <si>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</si>
  <si>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</si>
  <si>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</si>
  <si>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</si>
  <si>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</si>
  <si>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</si>
  <si>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</si>
  <si>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</si>
  <si>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</si>
  <si>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</si>
  <si>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</si>
  <si>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</si>
  <si>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</si>
  <si>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</si>
  <si>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</si>
  <si>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</si>
  <si>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</si>
  <si>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</si>
  <si>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</si>
  <si>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</si>
  <si>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</si>
  <si>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</si>
  <si>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</si>
  <si>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</si>
  <si>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</si>
  <si>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</si>
  <si>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</si>
  <si>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</si>
  <si>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</si>
  <si>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</si>
  <si>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</si>
  <si>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</si>
  <si>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</si>
  <si>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</si>
  <si>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</si>
  <si>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</si>
  <si>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</si>
  <si>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</si>
  <si>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</si>
  <si>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</si>
  <si>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</si>
  <si>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</si>
  <si>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</si>
  <si>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</si>
  <si>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</si>
  <si>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</si>
  <si>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</si>
  <si>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</si>
  <si>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</si>
  <si>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</si>
  <si>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</si>
  <si>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</si>
  <si>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</si>
  <si>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</si>
  <si>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</si>
  <si>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</si>
  <si>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</si>
  <si>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</si>
  <si>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</si>
  <si>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</si>
  <si>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</si>
  <si>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</si>
  <si>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</si>
  <si>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</si>
  <si>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</si>
  <si>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</si>
  <si>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</si>
  <si>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</si>
  <si>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</si>
  <si>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</si>
  <si>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</si>
  <si>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</si>
  <si>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</si>
  <si>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</si>
  <si>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</si>
  <si>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</si>
  <si>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</si>
  <si>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</si>
  <si>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</si>
  <si>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</si>
  <si>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</si>
  <si>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</si>
  <si>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</si>
  <si>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</si>
  <si>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</si>
  <si>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</si>
  <si>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</si>
  <si>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</si>
  <si>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</si>
  <si>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</si>
  <si>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</si>
  <si>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</si>
  <si>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</si>
  <si>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</si>
  <si>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</si>
  <si>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</si>
  <si>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</si>
  <si>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</si>
  <si>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</si>
  <si>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</si>
  <si>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</si>
  <si>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</si>
  <si>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</si>
  <si>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</si>
  <si>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</si>
  <si>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</si>
  <si>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</si>
  <si>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</si>
  <si>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</si>
  <si>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</si>
  <si>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</si>
  <si>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</si>
  <si>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</si>
  <si>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</si>
  <si>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</si>
  <si>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</si>
  <si>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</si>
  <si>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</si>
  <si>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</si>
  <si>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</si>
  <si>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</si>
  <si>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</si>
  <si>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</si>
  <si>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</si>
  <si>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</si>
  <si>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</si>
  <si>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</si>
  <si>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</si>
  <si>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</si>
  <si>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</si>
  <si>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</si>
  <si>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</si>
  <si>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</si>
  <si>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朝阳区朝阳门外大街18号</t>
    <phoneticPr fontId="3" type="noConversion"/>
  </si>
  <si>
    <t>地上</t>
  </si>
  <si>
    <t>办公楼</t>
  </si>
  <si>
    <t>是</t>
  </si>
  <si>
    <t>成新度</t>
  </si>
  <si>
    <t>竣工时间</t>
    <phoneticPr fontId="3" type="noConversion"/>
  </si>
  <si>
    <t>直线</t>
    <phoneticPr fontId="3" type="noConversion"/>
  </si>
  <si>
    <t>观察</t>
    <phoneticPr fontId="3" type="noConversion"/>
  </si>
  <si>
    <t>收益法 (元)</t>
  </si>
  <si>
    <t>估价对象位于朝阳门商圈，周边办公楼项目较多，有联合大厦、华普国际大厦等写字楼，入驻率高，办公集聚程度较好</t>
    <phoneticPr fontId="3" type="noConversion"/>
  </si>
  <si>
    <t>周边有75、110、420路及地铁2号、6号线，周边道路密集，停车便捷程度，综合评价交通便捷度较好</t>
    <phoneticPr fontId="3" type="noConversion"/>
  </si>
  <si>
    <t>估价对象所在区域银行、购物场所、学校等公共配套设施齐备，综合评价公共配套设施水平较好</t>
    <phoneticPr fontId="3" type="noConversion"/>
  </si>
  <si>
    <t>估价对象所在区域基础设施水平“七通一平</t>
    <phoneticPr fontId="3" type="noConversion"/>
  </si>
  <si>
    <t>区域内有东城职业大学、日坛公园、富国海底世界等自然及人文环境，综合评价自然及人文环境状况较好。</t>
    <phoneticPr fontId="3" type="noConversion"/>
  </si>
  <si>
    <t>城市主干道——朝阳门外大街</t>
    <phoneticPr fontId="3" type="noConversion"/>
  </si>
  <si>
    <t>与级别开发程度不一致</t>
  </si>
  <si>
    <t>通路</t>
  </si>
  <si>
    <t>通电</t>
  </si>
  <si>
    <t>通讯</t>
  </si>
  <si>
    <t>通上水</t>
  </si>
  <si>
    <t>通下水</t>
  </si>
  <si>
    <t>平整</t>
  </si>
  <si>
    <t>较好</t>
  </si>
  <si>
    <t>好</t>
  </si>
  <si>
    <t>未包含在土地购买价格中</t>
  </si>
  <si>
    <t>已包含在土地取得成本中</t>
  </si>
  <si>
    <t>押一</t>
  </si>
  <si>
    <t>钢混</t>
  </si>
  <si>
    <t>非生产用房</t>
  </si>
  <si>
    <t>现房</t>
  </si>
  <si>
    <t>项目局部</t>
  </si>
  <si>
    <t>成本法 (元)</t>
  </si>
  <si>
    <t>楼面单价</t>
  </si>
  <si>
    <t>成本比率</t>
  </si>
  <si>
    <t>否</t>
  </si>
  <si>
    <t>自然人</t>
  </si>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</sst>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164" fillId="22" borderId="0" xfId="0" applyFont="1" applyFill="1" applyProtection="1">
      <alignmen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北京市朝阳区朝阳门外大街18号房地产抵押价值预评估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受贵公司委托，我公司对北京市朝阳区朝阳门外大街18号房地产抵押价值进行了预评估。</v>
      </c>
    </row>
    <row r="7" spans="1:2">
      <c r="A7" s="1118" t="s">
        <v>566</v>
      </c>
      <c r="B7" s="1119" t="str">
        <f>'预评函-1'!A7</f>
        <v>估价对象为北京市朝阳区朝阳门外大街18号房地产，为所有。根据《国有土地使用证》[]，估价对象（分摊）出让国有建设用地使用权面积为22.89平方米，建筑面积为195.79平方米。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朝阳门外大街18号房地产,属开发建设的，该项目尚在开发建设中。根据《国有土地使用证》[]，估价对象（分摊）出让国有建设用地使用权面积为22.89平方米，规划建筑面积为195.79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2025年8月8日（评估专业人员实地查勘之日）</v>
      </c>
    </row>
    <row r="13" spans="1:2">
      <c r="A13" s="1118" t="s">
        <v>529</v>
      </c>
      <c r="B13" s="1119"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648</v>
      </c>
    </row>
    <row r="21" spans="1:2">
      <c r="A21" s="1118" t="s">
        <v>537</v>
      </c>
      <c r="B21" s="1119">
        <f ca="1">'预评函-2'!D7</f>
        <v>33097</v>
      </c>
    </row>
    <row r="22" spans="1:2">
      <c r="A22" s="1118" t="s">
        <v>538</v>
      </c>
      <c r="B22" s="1119" t="str">
        <f ca="1">'预评函-2'!D6</f>
        <v>陆佰肆拾捌万元整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648</v>
      </c>
    </row>
    <row r="31" spans="1:2">
      <c r="A31" s="1118" t="s">
        <v>576</v>
      </c>
      <c r="B31" s="1119">
        <f ca="1">'预评函-2'!D15</f>
        <v>33097</v>
      </c>
    </row>
    <row r="32" spans="1:2">
      <c r="A32" s="1118" t="s">
        <v>543</v>
      </c>
      <c r="B32" s="1119" t="str">
        <f ca="1">'预评函-2'!D14</f>
        <v>陆佰肆拾捌万元整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北京市朝阳区朝阳门外大街18号房地产</v>
      </c>
    </row>
    <row r="42" spans="1:2" ht="31.2">
      <c r="A42" s="1118" t="s">
        <v>590</v>
      </c>
      <c r="B42" s="1119" t="str">
        <f>'预评函-3'!B2</f>
        <v>建筑面积</v>
      </c>
    </row>
    <row r="43" spans="1:2">
      <c r="A43" s="1118" t="s">
        <v>591</v>
      </c>
      <c r="B43" s="1119">
        <f>'预评函-3'!B4</f>
        <v>195.79</v>
      </c>
    </row>
    <row r="44" spans="1:2" ht="31.2">
      <c r="A44" s="1118" t="s">
        <v>575</v>
      </c>
      <c r="B44" s="1119" t="str">
        <f>'预评函-3'!C2</f>
        <v>(分摊)土地面积</v>
      </c>
    </row>
    <row r="45" spans="1:2">
      <c r="A45" s="1118" t="s">
        <v>547</v>
      </c>
      <c r="B45" s="1119">
        <f>'预评函-3'!C4</f>
        <v>22.89</v>
      </c>
    </row>
    <row r="46" spans="1:2">
      <c r="A46" s="1118" t="s">
        <v>573</v>
      </c>
      <c r="B46" s="1119" t="str">
        <f>'预评函-3'!D2</f>
        <v>出让国有建设用地使用权价值</v>
      </c>
    </row>
    <row r="47" spans="1:2">
      <c r="A47" s="1118" t="s">
        <v>548</v>
      </c>
      <c r="B47" s="1119">
        <f ca="1">'预评函-3'!D4</f>
        <v>542</v>
      </c>
    </row>
    <row r="48" spans="1:2">
      <c r="A48" s="1118" t="s">
        <v>549</v>
      </c>
      <c r="B48" s="1119">
        <f ca="1">'预评函-3'!E4</f>
        <v>27702</v>
      </c>
    </row>
    <row r="49" spans="1:2">
      <c r="A49" s="1118" t="s">
        <v>550</v>
      </c>
      <c r="B49" s="1119" t="str">
        <f ca="1">'预评函-3'!D5</f>
        <v>伍佰肆拾贰万元整</v>
      </c>
    </row>
    <row r="50" spans="1:2">
      <c r="A50" s="1118" t="s">
        <v>574</v>
      </c>
      <c r="B50" s="1119" t="str">
        <f>'预评函-3'!F2</f>
        <v>在建建筑物价值</v>
      </c>
    </row>
    <row r="51" spans="1:2">
      <c r="A51" s="1118" t="s">
        <v>551</v>
      </c>
      <c r="B51" s="1119">
        <f ca="1">'预评函-3'!F4</f>
        <v>106</v>
      </c>
    </row>
    <row r="52" spans="1:2">
      <c r="A52" s="1118" t="s">
        <v>552</v>
      </c>
      <c r="B52" s="1119">
        <f ca="1">'预评函-3'!G4</f>
        <v>5395</v>
      </c>
    </row>
    <row r="53" spans="1:2">
      <c r="A53" s="1118" t="s">
        <v>580</v>
      </c>
      <c r="B53" s="1119" t="str">
        <f ca="1">'预评函-3'!F5</f>
        <v>壹佰零陆万元整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Y21" sqref="Y2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3398</v>
      </c>
      <c r="AA1" s="1437" t="s">
        <v>3397</v>
      </c>
      <c r="AB1" s="1437" t="s">
        <v>3</v>
      </c>
    </row>
    <row r="2" spans="1:28">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3405</v>
      </c>
      <c r="Z2" s="1444" t="s">
        <v>2443</v>
      </c>
      <c r="AA2" s="1444" t="s">
        <v>3406</v>
      </c>
      <c r="AB2" s="1444" t="s">
        <v>2470</v>
      </c>
    </row>
    <row r="3" spans="1:28">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3407</v>
      </c>
    </row>
    <row r="6" spans="1:28">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3333</v>
      </c>
      <c r="X7" s="1444" t="s">
        <v>2440</v>
      </c>
      <c r="Z7" s="1444" t="s">
        <v>2453</v>
      </c>
      <c r="AB7" s="1444" t="s">
        <v>2479</v>
      </c>
    </row>
    <row r="8" spans="1:28">
      <c r="A8" s="1440" t="s">
        <v>1026</v>
      </c>
      <c r="B8" s="1440" t="s">
        <v>1027</v>
      </c>
      <c r="C8" s="1441" t="s">
        <v>319</v>
      </c>
      <c r="F8" s="1442" t="s">
        <v>1028</v>
      </c>
      <c r="H8" s="1442" t="s">
        <v>2568</v>
      </c>
      <c r="I8" s="1442" t="s">
        <v>3334</v>
      </c>
      <c r="X8" s="1444" t="s">
        <v>3408</v>
      </c>
      <c r="Z8" s="1444" t="s">
        <v>2455</v>
      </c>
      <c r="AB8" s="1444" t="s">
        <v>2481</v>
      </c>
    </row>
    <row r="9" spans="1:28">
      <c r="A9" s="1440" t="s">
        <v>1029</v>
      </c>
      <c r="B9" s="1440" t="s">
        <v>1030</v>
      </c>
      <c r="C9" s="1441" t="s">
        <v>320</v>
      </c>
      <c r="F9" s="1442" t="s">
        <v>1031</v>
      </c>
      <c r="H9" s="1442"/>
      <c r="I9" s="1444" t="s">
        <v>3335</v>
      </c>
      <c r="X9" s="1444" t="s">
        <v>3409</v>
      </c>
      <c r="Z9" s="1444" t="s">
        <v>2457</v>
      </c>
      <c r="AB9" s="1444" t="s">
        <v>2483</v>
      </c>
    </row>
    <row r="10" spans="1:28">
      <c r="A10" s="1440" t="s">
        <v>1032</v>
      </c>
      <c r="B10" s="1440" t="s">
        <v>1033</v>
      </c>
      <c r="C10" s="1441" t="s">
        <v>321</v>
      </c>
      <c r="F10" s="1442" t="s">
        <v>2569</v>
      </c>
      <c r="I10" s="1444" t="s">
        <v>3336</v>
      </c>
      <c r="Z10" s="1444" t="s">
        <v>2459</v>
      </c>
      <c r="AB10" s="1444" t="s">
        <v>2485</v>
      </c>
    </row>
    <row r="11" spans="1:28">
      <c r="A11" s="1440" t="s">
        <v>1034</v>
      </c>
      <c r="B11" s="1440" t="s">
        <v>1035</v>
      </c>
      <c r="C11" s="1441" t="s">
        <v>322</v>
      </c>
      <c r="F11" s="1442" t="s">
        <v>13</v>
      </c>
      <c r="I11" s="1444" t="s">
        <v>3337</v>
      </c>
      <c r="Z11" s="1444" t="s">
        <v>2461</v>
      </c>
      <c r="AB11" s="1444" t="s">
        <v>2487</v>
      </c>
    </row>
    <row r="12" spans="1:28">
      <c r="A12" s="1440" t="s">
        <v>1036</v>
      </c>
      <c r="B12" s="1440" t="s">
        <v>1037</v>
      </c>
      <c r="C12" s="1441" t="s">
        <v>323</v>
      </c>
      <c r="I12" s="1444" t="s">
        <v>3338</v>
      </c>
      <c r="Z12" s="1444" t="s">
        <v>2463</v>
      </c>
      <c r="AB12" s="1444" t="s">
        <v>2489</v>
      </c>
    </row>
    <row r="13" spans="1:28">
      <c r="A13" s="1440" t="s">
        <v>1038</v>
      </c>
      <c r="B13" s="1440" t="s">
        <v>1039</v>
      </c>
      <c r="C13" s="1441" t="s">
        <v>324</v>
      </c>
      <c r="I13" s="1444" t="s">
        <v>3339</v>
      </c>
      <c r="Z13" s="1444" t="s">
        <v>2465</v>
      </c>
    </row>
    <row r="14" spans="1:28">
      <c r="A14" s="1440" t="s">
        <v>1040</v>
      </c>
      <c r="B14" s="1440" t="s">
        <v>1041</v>
      </c>
      <c r="C14" s="1442" t="s">
        <v>13</v>
      </c>
      <c r="I14" s="1444" t="s">
        <v>3340</v>
      </c>
      <c r="Z14" s="1444" t="s">
        <v>2467</v>
      </c>
    </row>
    <row r="15" spans="1:28">
      <c r="A15" s="1440" t="s">
        <v>1042</v>
      </c>
      <c r="B15" s="1440" t="s">
        <v>1043</v>
      </c>
      <c r="C15" s="1441"/>
      <c r="I15" s="1444" t="s">
        <v>3341</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11" t="s">
        <v>2571</v>
      </c>
      <c r="J2" s="3211"/>
      <c r="K2" s="3211"/>
      <c r="L2" s="3211"/>
      <c r="M2" s="3211"/>
      <c r="N2" s="3211"/>
      <c r="O2" s="3211"/>
      <c r="P2" s="3211"/>
      <c r="Q2" s="3211"/>
      <c r="R2" s="3211"/>
    </row>
    <row r="3" spans="1:18">
      <c r="A3" s="2760" t="s">
        <v>2492</v>
      </c>
      <c r="B3" s="2761">
        <f>项目基本情况!D3</f>
        <v>45877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1.36</v>
      </c>
      <c r="D5" s="2765">
        <f>IF(ISERROR(ROUND(POWER(1+E5,A5-C5)*(POWER(1+E5,C5)-1)/(POWER(1+E5,A5)-1),3)),0,ROUND(POWER(1+E5,A5-C5)*(POWER(1+E5,C5)-1)/(POWER(1+E5,A5)-1),4))</f>
        <v>6.5600000000000006E-2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11.37</v>
      </c>
      <c r="D6" s="2765">
        <f>IF(ISERROR(ROUND(POWER(1+E6,A6-C6)*(POWER(1+E6,C6)-1)/(POWER(1+E6,A6)-1),3)),0,ROUND(POWER(1+E6,A6-C6)*(POWER(1+E6,C6)-1)/(POWER(1+E6,A6)-1),4))</f>
        <v>0.41870000000000002</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31.38</v>
      </c>
      <c r="D7" s="2765">
        <f>IF(ISERROR(ROUND(POWER(1+E7,A7-C7)*(POWER(1+E7,C7)-1)/(POWER(1+E7,A7)-1),3)),0,ROUND(POWER(1+E7,A7-C7)*(POWER(1+E7,C7)-1)/(POWER(1+E7,A7)-1),4))</f>
        <v>0.75649999999999995</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5" thickBot="1">
      <c r="A18" s="2770" t="s">
        <v>2507</v>
      </c>
      <c r="B18" s="2771">
        <f>ROUND(B17*F11/F12,2)</f>
        <v>5541.87</v>
      </c>
      <c r="C18" s="2771">
        <f>ROUND(F11/F12,4)</f>
        <v>1.1521999999999999</v>
      </c>
      <c r="D18" s="2772"/>
      <c r="E18" s="2772"/>
      <c r="F18" s="2773"/>
    </row>
    <row r="19" spans="1:14" ht="15" thickBot="1"/>
    <row r="20" spans="1:14" s="2806" customFormat="1" ht="1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3378</v>
      </c>
    </row>
    <row r="50" spans="1:4">
      <c r="A50" s="3142" t="s">
        <v>3379</v>
      </c>
      <c r="B50" s="3142" t="s">
        <v>3380</v>
      </c>
      <c r="C50" s="3142" t="s">
        <v>3381</v>
      </c>
      <c r="D50" s="3142" t="s">
        <v>3382</v>
      </c>
    </row>
    <row r="51" spans="1:4">
      <c r="A51" s="3142" t="s">
        <v>3383</v>
      </c>
      <c r="B51" s="2762">
        <f>B52+B53</f>
        <v>15000</v>
      </c>
      <c r="C51" s="3143">
        <f>D51/B51</f>
        <v>2666.6666666666665</v>
      </c>
      <c r="D51" s="2762">
        <f>D52+D53</f>
        <v>40000000</v>
      </c>
    </row>
    <row r="52" spans="1:4">
      <c r="A52" s="3144" t="s">
        <v>3384</v>
      </c>
      <c r="B52" s="3145">
        <v>10000</v>
      </c>
      <c r="C52" s="3145">
        <v>1500</v>
      </c>
      <c r="D52" s="3146">
        <f>C52*B52</f>
        <v>15000000</v>
      </c>
    </row>
    <row r="53" spans="1:4">
      <c r="A53" s="3144" t="s">
        <v>3385</v>
      </c>
      <c r="B53" s="3145">
        <v>5000</v>
      </c>
      <c r="C53" s="3145">
        <v>5000</v>
      </c>
      <c r="D53" s="3146">
        <f>C53*B53</f>
        <v>25000000</v>
      </c>
    </row>
    <row r="54" spans="1:4">
      <c r="A54" s="3142" t="s">
        <v>3386</v>
      </c>
      <c r="B54" s="2762">
        <f>B51</f>
        <v>15000</v>
      </c>
      <c r="C54" s="2768">
        <v>700</v>
      </c>
      <c r="D54" s="2762">
        <f t="shared" ref="D54:D55" si="5">C54*B54</f>
        <v>10500000</v>
      </c>
    </row>
    <row r="55" spans="1:4">
      <c r="A55" s="3142" t="s">
        <v>3387</v>
      </c>
      <c r="B55" s="2762">
        <f>B51</f>
        <v>15000</v>
      </c>
      <c r="C55" s="2768">
        <v>1500</v>
      </c>
      <c r="D55" s="2762">
        <f t="shared" si="5"/>
        <v>22500000</v>
      </c>
    </row>
    <row r="56" spans="1:4">
      <c r="A56" s="3142" t="s">
        <v>3388</v>
      </c>
      <c r="B56" s="2762">
        <f>B51</f>
        <v>15000</v>
      </c>
      <c r="C56" s="3147">
        <f>C51+C54+C55</f>
        <v>4866.6666666666661</v>
      </c>
      <c r="D56" s="2762">
        <f>D51+D54+D55</f>
        <v>73000000</v>
      </c>
    </row>
    <row r="58" spans="1:4">
      <c r="A58" s="3142" t="s">
        <v>3389</v>
      </c>
      <c r="B58" s="3148">
        <v>0.05</v>
      </c>
      <c r="C58" s="2762">
        <f>C56*(1+B58)</f>
        <v>5110</v>
      </c>
      <c r="D58" s="2762">
        <f>D56*B58</f>
        <v>3650000</v>
      </c>
    </row>
    <row r="60" spans="1:4">
      <c r="A60" s="3142" t="s">
        <v>3390</v>
      </c>
      <c r="B60" s="2768">
        <v>3500</v>
      </c>
      <c r="C60" s="2768">
        <f>C53</f>
        <v>5000</v>
      </c>
      <c r="D60" s="2762">
        <f>C60*B60</f>
        <v>17500000</v>
      </c>
    </row>
    <row r="62" spans="1:4">
      <c r="A62" s="3142" t="s">
        <v>3391</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9" t="str">
        <f>IF(B10="北京市","北京市",C10)&amp;F10&amp;IF(结果表!G1="在建","出让国有建设用地使用权及在建建筑物",IF(结果表!G1="土地","出让国有建设用地使用权",))&amp;B9&amp;"预评估"</f>
        <v>北京市朝阳区朝阳门外大街18号房地产抵押价值预评估</v>
      </c>
      <c r="C1" s="3220"/>
      <c r="D1" s="3220"/>
      <c r="E1" s="3220"/>
      <c r="F1" s="3220"/>
      <c r="G1" s="3220"/>
      <c r="H1" s="3220"/>
      <c r="I1" s="322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北京市朝阳区朝阳门外大街18号房地产抵押价值</v>
      </c>
      <c r="T1" s="1617"/>
      <c r="U1" s="1617"/>
      <c r="V1" s="1617"/>
      <c r="W1" s="1617"/>
      <c r="X1" s="1617"/>
      <c r="Y1" s="1617"/>
      <c r="Z1" s="1617"/>
      <c r="AA1" s="1617"/>
      <c r="AB1" s="1617"/>
    </row>
    <row r="2" spans="1:30">
      <c r="A2" s="2181" t="s">
        <v>2169</v>
      </c>
      <c r="B2" s="121"/>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北京市朝阳区朝阳门外大街18号房地产</v>
      </c>
      <c r="T2" s="1617"/>
      <c r="U2" s="1617"/>
      <c r="V2" s="1617"/>
      <c r="W2" s="1617"/>
      <c r="X2" s="1617"/>
      <c r="Y2" s="1617"/>
      <c r="Z2" s="1617"/>
      <c r="AA2" s="1617"/>
      <c r="AB2" s="1617"/>
    </row>
    <row r="3" spans="1:30">
      <c r="A3" s="293" t="s">
        <v>2170</v>
      </c>
      <c r="B3" s="2184">
        <v>45877</v>
      </c>
      <c r="C3" s="2185" t="s">
        <v>2171</v>
      </c>
      <c r="D3" s="2184">
        <f>B3</f>
        <v>45877</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3410</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2175</v>
      </c>
      <c r="B7" s="2197"/>
      <c r="C7" s="2195"/>
      <c r="D7" s="2196"/>
      <c r="E7" s="2439"/>
      <c r="F7" s="2440"/>
      <c r="G7" s="2440"/>
      <c r="H7" s="2440"/>
      <c r="I7" s="2440"/>
      <c r="J7" s="2244"/>
      <c r="K7" s="2400"/>
      <c r="L7" s="2397"/>
      <c r="M7" s="2397"/>
      <c r="N7" s="2244"/>
      <c r="O7" s="1669"/>
      <c r="P7" s="2244"/>
      <c r="Q7" s="2244"/>
      <c r="R7" s="2244"/>
    </row>
    <row r="8" spans="1:30">
      <c r="A8" s="2198" t="s">
        <v>2176</v>
      </c>
      <c r="B8" s="2199" t="s">
        <v>3411</v>
      </c>
      <c r="C8" s="2200"/>
      <c r="D8" s="3222" t="s">
        <v>2177</v>
      </c>
      <c r="E8" s="2201" t="s">
        <v>3412</v>
      </c>
      <c r="F8" s="2202"/>
      <c r="G8" s="2440"/>
      <c r="H8" s="2440"/>
      <c r="I8" s="2440"/>
      <c r="J8" s="2244"/>
      <c r="K8" s="2398"/>
      <c r="L8" s="2397"/>
      <c r="M8" s="2397"/>
      <c r="N8" s="2244"/>
      <c r="O8" s="1669"/>
      <c r="P8" s="2244"/>
      <c r="Q8" s="2244"/>
      <c r="R8" s="2244"/>
    </row>
    <row r="9" spans="1:30" ht="13.8" thickBot="1">
      <c r="A9" s="2203" t="s">
        <v>2178</v>
      </c>
      <c r="B9" s="2204" t="s">
        <v>3412</v>
      </c>
      <c r="C9" s="2205"/>
      <c r="D9" s="3223"/>
      <c r="E9" s="2204"/>
      <c r="F9" s="2206"/>
      <c r="G9" s="2441"/>
      <c r="H9" s="2441"/>
      <c r="I9" s="2441"/>
      <c r="J9" s="2244"/>
      <c r="K9" s="2400"/>
      <c r="L9" s="2397"/>
      <c r="M9" s="2397"/>
      <c r="N9" s="2244"/>
      <c r="O9" s="1669"/>
      <c r="P9" s="2244"/>
      <c r="Q9" s="2244"/>
      <c r="R9" s="2244"/>
    </row>
    <row r="10" spans="1:30" ht="13.8" thickTop="1">
      <c r="A10" s="2207" t="s">
        <v>2179</v>
      </c>
      <c r="B10" s="2208" t="s">
        <v>3413</v>
      </c>
      <c r="C10" s="2209"/>
      <c r="D10" s="2192"/>
      <c r="E10" s="2210" t="s">
        <v>2180</v>
      </c>
      <c r="F10" s="3167" t="s">
        <v>3414</v>
      </c>
      <c r="G10" s="2442"/>
      <c r="H10" s="2443"/>
      <c r="I10" s="2444"/>
      <c r="J10" s="2244"/>
      <c r="K10" s="2400"/>
      <c r="L10" s="2397"/>
      <c r="M10" s="2397"/>
      <c r="N10" s="2244"/>
      <c r="O10" s="1669"/>
      <c r="P10" s="2244"/>
      <c r="Q10" s="2244"/>
      <c r="R10" s="2244"/>
    </row>
    <row r="11" spans="1:30">
      <c r="A11" s="2211" t="s">
        <v>2181</v>
      </c>
      <c r="B11" s="2212" t="s">
        <v>3449</v>
      </c>
      <c r="C11" s="2213"/>
      <c r="D11" s="2214"/>
      <c r="E11" s="2181"/>
      <c r="F11" s="2181"/>
      <c r="G11" s="2181"/>
      <c r="H11" s="2181"/>
      <c r="I11" s="2181"/>
      <c r="J11" s="2799"/>
      <c r="K11" s="2397"/>
      <c r="L11" s="2397"/>
      <c r="M11" s="2397"/>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8" t="s">
        <v>2567</v>
      </c>
      <c r="J12" s="2800"/>
      <c r="K12" s="2397"/>
      <c r="L12" s="2397"/>
      <c r="M12" s="2244"/>
      <c r="N12" s="1669"/>
      <c r="O12" s="2244"/>
      <c r="P12" s="2244"/>
      <c r="Q12" s="2244"/>
      <c r="AD12" s="1617"/>
    </row>
    <row r="13" spans="1:30">
      <c r="A13" s="3119" t="s">
        <v>3323</v>
      </c>
      <c r="B13" s="2217" t="s">
        <v>2190</v>
      </c>
      <c r="C13" s="802"/>
      <c r="D13" s="802"/>
      <c r="E13" s="802">
        <v>52629</v>
      </c>
      <c r="F13" s="802"/>
      <c r="G13" s="802"/>
      <c r="H13" s="802"/>
      <c r="I13" s="802"/>
      <c r="J13" s="2800"/>
      <c r="K13" s="2397"/>
      <c r="L13" s="2397"/>
      <c r="M13" s="2244"/>
      <c r="N13" s="1669"/>
      <c r="O13" s="2244"/>
      <c r="P13" s="2244"/>
      <c r="Q13" s="2244"/>
      <c r="AD13" s="1617"/>
    </row>
    <row r="14" spans="1:30">
      <c r="A14" s="1017"/>
      <c r="B14" s="2217" t="s">
        <v>2191</v>
      </c>
      <c r="C14" s="2218"/>
      <c r="D14" s="2218"/>
      <c r="E14" s="2218">
        <v>50</v>
      </c>
      <c r="F14" s="2218"/>
      <c r="G14" s="2218"/>
      <c r="H14" s="2218"/>
      <c r="I14" s="2218"/>
      <c r="J14" s="2801"/>
      <c r="K14" s="2397"/>
      <c r="L14" s="2397"/>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f>IF(A13="出让",IF(E13="","",ROUNDDOWN(MIN((E13-$D$3)/365,E14),2)),E14)</f>
        <v>18.489999999999998</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2193</v>
      </c>
      <c r="B16" s="3229"/>
      <c r="C16" s="3230"/>
      <c r="D16" s="3231"/>
      <c r="E16" s="2221" t="s">
        <v>2194</v>
      </c>
      <c r="F16" s="3232"/>
      <c r="G16" s="3233"/>
      <c r="H16" s="3233"/>
      <c r="I16" s="3234"/>
      <c r="J16" s="2244"/>
      <c r="K16" s="2401"/>
      <c r="L16" s="1669"/>
      <c r="M16" s="1669"/>
      <c r="N16" s="2244"/>
      <c r="O16" s="1669"/>
      <c r="P16" s="2244"/>
      <c r="Q16" s="2244"/>
      <c r="R16" s="2244"/>
    </row>
    <row r="17" spans="1:28">
      <c r="A17" s="304" t="s">
        <v>2195</v>
      </c>
      <c r="B17" s="293" t="s">
        <v>2196</v>
      </c>
      <c r="C17" s="8">
        <f>'数据-汇总表'!E3</f>
        <v>195.79</v>
      </c>
      <c r="D17" s="1255" t="s">
        <v>2197</v>
      </c>
      <c r="E17" s="3235" t="s">
        <v>2198</v>
      </c>
      <c r="F17" s="3236"/>
      <c r="G17" s="3236"/>
      <c r="H17" s="3236"/>
      <c r="I17" s="3237"/>
      <c r="J17" s="2244"/>
      <c r="K17" s="2402"/>
      <c r="L17" s="1669"/>
      <c r="M17" s="1669"/>
      <c r="N17" s="2244"/>
      <c r="O17" s="1669"/>
      <c r="P17" s="2244"/>
      <c r="Q17" s="2244"/>
      <c r="R17" s="2244"/>
      <c r="S17" s="2244"/>
      <c r="T17" s="2244"/>
      <c r="U17" s="2244"/>
      <c r="V17" s="2244"/>
    </row>
    <row r="18" spans="1:28" ht="24.6" thickBot="1">
      <c r="A18" s="2222" t="s">
        <v>2199</v>
      </c>
      <c r="B18" s="1026" t="s">
        <v>2200</v>
      </c>
      <c r="C18" s="2223">
        <f>'数据-汇总表'!D3</f>
        <v>22.89</v>
      </c>
      <c r="D18" s="1028" t="s">
        <v>2201</v>
      </c>
      <c r="E18" s="3238" t="s">
        <v>2202</v>
      </c>
      <c r="F18" s="3239"/>
      <c r="G18" s="3239"/>
      <c r="H18" s="3239"/>
      <c r="I18" s="3240"/>
      <c r="J18" s="2244"/>
      <c r="K18" s="2402"/>
      <c r="L18" s="1669"/>
      <c r="M18" s="1669"/>
      <c r="N18" s="2244"/>
      <c r="O18" s="1669"/>
      <c r="P18" s="2244"/>
      <c r="Q18" s="2244"/>
      <c r="R18" s="2244"/>
      <c r="S18" s="2244"/>
      <c r="T18" s="2244"/>
      <c r="U18" s="2244"/>
      <c r="V18" s="2244"/>
    </row>
    <row r="19" spans="1:28" ht="37.200000000000003" thickTop="1" thickBot="1">
      <c r="A19" s="318" t="s">
        <v>1055</v>
      </c>
      <c r="B19" s="298" t="s">
        <v>2203</v>
      </c>
      <c r="C19" s="1454"/>
      <c r="D19" s="1455" t="s">
        <v>2204</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2205</v>
      </c>
      <c r="B20" s="3225" t="s">
        <v>2206</v>
      </c>
      <c r="C20" s="3226"/>
      <c r="D20" s="3227" t="s">
        <v>2207</v>
      </c>
      <c r="E20" s="3228"/>
      <c r="F20" s="2428" t="s">
        <v>1056</v>
      </c>
      <c r="G20" s="2440"/>
      <c r="H20" s="2440"/>
      <c r="I20" s="2440"/>
      <c r="J20" s="2244"/>
      <c r="K20" s="3224"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4"/>
      <c r="K21" s="322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4"/>
      <c r="K22" s="322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4"/>
      <c r="K23" s="2399"/>
      <c r="L23" s="120"/>
      <c r="M23" s="2397"/>
      <c r="N23" s="2244"/>
      <c r="O23" s="1669"/>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0"/>
      <c r="M24" s="2397"/>
      <c r="N24" s="2244"/>
      <c r="O24" s="1669"/>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13" t="s">
        <v>2214</v>
      </c>
      <c r="B27" s="311" t="s">
        <v>2215</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13"/>
      <c r="B28" s="293" t="s">
        <v>2216</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13"/>
      <c r="B29" s="293" t="s">
        <v>2217</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14"/>
      <c r="B30" s="293" t="s">
        <v>2218</v>
      </c>
      <c r="C30" s="3215"/>
      <c r="D30" s="3216"/>
      <c r="E30" s="2440"/>
      <c r="F30" s="2440"/>
      <c r="G30" s="2440"/>
      <c r="H30" s="2440"/>
      <c r="I30" s="2440"/>
      <c r="J30" s="2244"/>
      <c r="K30" s="2400"/>
      <c r="L30" s="2397"/>
      <c r="M30" s="2397"/>
      <c r="N30" s="2244"/>
      <c r="O30" s="1669"/>
      <c r="P30" s="2244"/>
      <c r="Q30" s="2244"/>
      <c r="R30" s="2244"/>
      <c r="S30" s="2244"/>
      <c r="T30" s="2244"/>
      <c r="U30" s="2244"/>
      <c r="V30" s="2244"/>
    </row>
    <row r="31" spans="1:28">
      <c r="A31" s="3217" t="s">
        <v>2219</v>
      </c>
      <c r="B31" s="2230"/>
      <c r="C31" s="11"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18"/>
      <c r="B32" s="2230"/>
      <c r="C32" s="11"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18"/>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3" t="s">
        <v>2220</v>
      </c>
      <c r="B34" s="1869"/>
      <c r="C34" s="1869"/>
      <c r="D34" s="1869"/>
      <c r="E34" s="1869"/>
      <c r="F34" s="1869"/>
      <c r="G34" s="1869"/>
      <c r="H34" s="1869"/>
      <c r="I34" s="2440"/>
      <c r="J34" s="2244"/>
      <c r="K34" s="8">
        <f>COUNTIF(B34:H34,"——")</f>
        <v>0</v>
      </c>
      <c r="L34" s="314" t="s">
        <v>2221</v>
      </c>
      <c r="M34" s="314" t="s">
        <v>2222</v>
      </c>
      <c r="N34" s="314" t="s">
        <v>2223</v>
      </c>
      <c r="O34" s="314" t="s">
        <v>2224</v>
      </c>
      <c r="P34" s="314" t="s">
        <v>2225</v>
      </c>
      <c r="Q34" s="314" t="s">
        <v>2226</v>
      </c>
      <c r="R34" s="314" t="s">
        <v>2227</v>
      </c>
      <c r="S34" s="3212" t="s">
        <v>2228</v>
      </c>
      <c r="T34" s="314" t="str">
        <f>NUMBERSTRING(7-K34,1)&amp;"通"</f>
        <v>七通</v>
      </c>
      <c r="U34" s="2244"/>
      <c r="V34" s="2244"/>
    </row>
    <row r="35" spans="1:30">
      <c r="A35" s="2235"/>
      <c r="B35" s="3212" t="s">
        <v>2229</v>
      </c>
      <c r="C35" s="3212"/>
      <c r="D35" s="3212"/>
      <c r="E35" s="3212"/>
      <c r="F35" s="8">
        <f>C10</f>
        <v>0</v>
      </c>
      <c r="G35" s="2440"/>
      <c r="H35" s="2440"/>
      <c r="I35" s="2440"/>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2"/>
      <c r="T35" s="137" t="str">
        <f>IF(T34="一通",L35,IF(T34="二通",M35,IF(T34="三通",N35,IF(T34="四通",O35,IF(T34="五通",P35,IF(T34="六通",Q35,R35))))))</f>
        <v>、、、、、、</v>
      </c>
      <c r="U35" s="2244"/>
      <c r="V35" s="2244"/>
    </row>
    <row r="36" spans="1:30">
      <c r="A36" s="2182"/>
      <c r="B36" s="8" t="s">
        <v>2185</v>
      </c>
      <c r="C36" s="8" t="s">
        <v>2186</v>
      </c>
      <c r="D36" s="8" t="s">
        <v>2184</v>
      </c>
      <c r="E36" s="8" t="s">
        <v>2189</v>
      </c>
      <c r="F36" s="2798" t="s">
        <v>2570</v>
      </c>
      <c r="G36" s="2440"/>
      <c r="H36" s="2440"/>
      <c r="I36" s="2440"/>
      <c r="J36" s="2244"/>
      <c r="K36" s="2400"/>
      <c r="L36" s="2397"/>
      <c r="M36" s="2397"/>
      <c r="N36" s="2244"/>
      <c r="O36" s="1669"/>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2231</v>
      </c>
      <c r="B38" s="2237"/>
      <c r="C38" s="2237" t="s">
        <v>145</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c r="A3" s="30">
        <v>22.89</v>
      </c>
      <c r="B3" s="10">
        <f>IF(C3="否",G5-AT5,G5)</f>
        <v>195.79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1" t="s">
        <v>1071</v>
      </c>
      <c r="B5" s="1258"/>
      <c r="C5" s="1258"/>
      <c r="D5" s="1259"/>
      <c r="E5" s="12" t="s">
        <v>0</v>
      </c>
      <c r="F5" s="12">
        <f>SUM(F13:F587)</f>
        <v>0</v>
      </c>
      <c r="G5" s="12">
        <f>SUM(G13:G587)</f>
        <v>195.79</v>
      </c>
      <c r="H5" s="12">
        <f t="shared" ref="H5:AT5" si="0">SUM(H13:H656)</f>
        <v>195.79</v>
      </c>
      <c r="I5" s="12">
        <f t="shared" si="0"/>
        <v>195.79</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195.79</v>
      </c>
      <c r="BA5" s="14">
        <f t="shared" si="1"/>
        <v>195.79</v>
      </c>
      <c r="BB5" s="14">
        <f t="shared" si="1"/>
        <v>195.79</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3.2">
      <c r="A6" s="11" t="s">
        <v>1072</v>
      </c>
      <c r="B6" s="1473"/>
      <c r="C6" s="1473"/>
      <c r="D6" s="1474"/>
      <c r="E6" s="12">
        <f>H6+AC6+AT6</f>
        <v>22.89</v>
      </c>
      <c r="F6" s="12" t="s">
        <v>0</v>
      </c>
      <c r="G6" s="12" t="s">
        <v>1</v>
      </c>
      <c r="H6" s="16">
        <f>SUMIF(I$12:AB$12,"总值",I6:AB6)</f>
        <v>22.89</v>
      </c>
      <c r="I6" s="12">
        <f t="shared" ref="I6:AB6" si="2">ROUND($A$3*I5/$B$3,2)</f>
        <v>22.89</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22.89</v>
      </c>
      <c r="AZ6" s="12" t="s">
        <v>2</v>
      </c>
      <c r="BA6" s="12">
        <f>ROUND($AY$6*BA5/$AZ$5,2)</f>
        <v>22.89</v>
      </c>
      <c r="BB6" s="12">
        <f>ROUND($AY$6*BB5/$AZ$5,2)</f>
        <v>22.89</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3.2">
      <c r="A10" s="1481"/>
      <c r="B10" s="1481"/>
      <c r="C10" s="1481"/>
      <c r="D10" s="1481"/>
      <c r="E10" s="1481"/>
      <c r="F10" s="1481"/>
      <c r="G10" s="1006"/>
      <c r="H10" s="24"/>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3.2">
      <c r="A11" s="1481"/>
      <c r="B11" s="1481"/>
      <c r="C11" s="1481"/>
      <c r="D11" s="1481"/>
      <c r="E11" s="1481"/>
      <c r="F11" s="1481"/>
      <c r="G11" s="1006"/>
      <c r="H11" s="1498"/>
      <c r="I11" s="1501" t="s">
        <v>3416</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3.2">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t="str">
        <f>I11</f>
        <v>办公楼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c r="A13" s="627"/>
      <c r="B13" s="30">
        <v>22.44</v>
      </c>
      <c r="C13" s="1461">
        <v>1016</v>
      </c>
      <c r="D13" s="1512" t="s">
        <v>3417</v>
      </c>
      <c r="E13" s="12">
        <f>IF($C$3="是",ROUND($A$3*G13/$B$3,2),ROUND($A$3*(G13-AT13)/$B$3,2))</f>
        <v>22.89</v>
      </c>
      <c r="F13" s="28"/>
      <c r="G13" s="29">
        <f>H13+AC13+AT13</f>
        <v>195.79</v>
      </c>
      <c r="H13" s="16">
        <f>SUMIF(I$12:AB$12,"总值",I13:AB13)</f>
        <v>195.79</v>
      </c>
      <c r="I13" s="3168">
        <v>195.79</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22.44</v>
      </c>
      <c r="AX13" s="8">
        <f t="shared" si="6"/>
        <v>1016</v>
      </c>
      <c r="AY13" s="1259">
        <f>ROUND($AY$6*AZ13/$AZ$5,2)</f>
        <v>22.89</v>
      </c>
      <c r="AZ13" s="12">
        <f>BA13+BL13</f>
        <v>195.79</v>
      </c>
      <c r="BA13" s="12">
        <f>SUM(BB13:BK13)</f>
        <v>195.79</v>
      </c>
      <c r="BB13" s="12">
        <f>IF($D13="是",I13-J13,0)</f>
        <v>195.79</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3.2">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3.2">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3.2">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3.2">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0" t="s">
        <v>1131</v>
      </c>
      <c r="B2" s="3250"/>
      <c r="C2" s="3250"/>
      <c r="D2" s="747" t="s">
        <v>1107</v>
      </c>
      <c r="E2" s="1522" t="s">
        <v>1108</v>
      </c>
      <c r="F2" s="2437"/>
      <c r="G2" s="2430"/>
      <c r="H2" s="2431"/>
      <c r="I2" s="2145" t="s">
        <v>1132</v>
      </c>
      <c r="J2" s="2437"/>
      <c r="K2" s="2437"/>
      <c r="L2" s="2437"/>
      <c r="M2" s="2437"/>
      <c r="N2" s="2438"/>
      <c r="O2" s="2437"/>
      <c r="P2" s="2437"/>
    </row>
    <row r="3" spans="1:16" ht="15" thickBot="1">
      <c r="A3" s="3251" t="s">
        <v>1105</v>
      </c>
      <c r="B3" s="3251"/>
      <c r="C3" s="3251"/>
      <c r="D3" s="40">
        <f>'数据-基础表'!AY6</f>
        <v>22.89</v>
      </c>
      <c r="E3" s="40">
        <f>'数据-基础表'!AZ5</f>
        <v>195.79</v>
      </c>
      <c r="F3" s="2437"/>
      <c r="G3" s="41"/>
      <c r="H3" s="42" t="s">
        <v>1106</v>
      </c>
      <c r="I3" s="801">
        <f>ROUND('数据-基础表'!B3/'数据-基础表'!A3,2)</f>
        <v>8.5500000000000007</v>
      </c>
      <c r="J3" s="2437"/>
      <c r="K3" s="2437"/>
      <c r="L3" s="2437"/>
      <c r="M3" s="2437"/>
      <c r="N3" s="2438"/>
      <c r="O3" s="2437"/>
      <c r="P3" s="2437"/>
    </row>
    <row r="4" spans="1:16" ht="14.4">
      <c r="A4" s="3252"/>
      <c r="B4" s="3253"/>
      <c r="C4" s="3254"/>
      <c r="D4" s="1523" t="s">
        <v>1107</v>
      </c>
      <c r="E4" s="1524" t="s">
        <v>1108</v>
      </c>
      <c r="F4" s="2437"/>
      <c r="G4" s="2432" t="s">
        <v>1133</v>
      </c>
      <c r="H4" s="42" t="s">
        <v>1113</v>
      </c>
      <c r="I4" s="801">
        <f>ROUND(SUMIF('数据-基础表'!I9:AS9,"地上",'数据-基础表'!I5:AS5)/'数据-基础表'!A3,2)</f>
        <v>8.5500000000000007</v>
      </c>
      <c r="J4" s="2437"/>
      <c r="K4" s="2437"/>
      <c r="L4" s="2437"/>
      <c r="M4" s="2437"/>
      <c r="N4" s="2438"/>
      <c r="O4" s="2437"/>
      <c r="P4" s="2437"/>
    </row>
    <row r="5" spans="1:16" ht="14.4">
      <c r="A5" s="41" t="s">
        <v>1109</v>
      </c>
      <c r="B5" s="3255" t="s">
        <v>1110</v>
      </c>
      <c r="C5" s="3255"/>
      <c r="D5" s="42">
        <f>ROUND($D$3*E5/$E$3,2)</f>
        <v>0</v>
      </c>
      <c r="E5" s="43">
        <f>SUMIF('数据-基础表'!$11:$11,"住宅",'数据-基础表'!$5:$5)</f>
        <v>0</v>
      </c>
      <c r="F5" s="2437"/>
      <c r="G5" s="41"/>
      <c r="H5" s="42" t="s">
        <v>1106</v>
      </c>
      <c r="I5" s="801">
        <f>ROUND(E31/D31,2)</f>
        <v>8.5500000000000007</v>
      </c>
      <c r="J5" s="2437"/>
      <c r="K5" s="2437"/>
      <c r="L5" s="2437"/>
      <c r="M5" s="2437"/>
      <c r="N5" s="2437"/>
      <c r="O5" s="2437"/>
      <c r="P5" s="2437"/>
    </row>
    <row r="6" spans="1:16" ht="15" thickBot="1">
      <c r="A6" s="1526"/>
      <c r="B6" s="3255" t="s">
        <v>1111</v>
      </c>
      <c r="C6" s="3255"/>
      <c r="D6" s="42">
        <f>ROUND($D$3*E6/$E$3,2)</f>
        <v>22.89</v>
      </c>
      <c r="E6" s="43">
        <f>E3-E5</f>
        <v>195.79</v>
      </c>
      <c r="F6" s="2437"/>
      <c r="G6" s="1528" t="s">
        <v>1112</v>
      </c>
      <c r="H6" s="44" t="s">
        <v>1113</v>
      </c>
      <c r="I6" s="2433">
        <f>ROUND(F31/D31,2)</f>
        <v>8.5500000000000007</v>
      </c>
      <c r="J6" s="2437"/>
      <c r="K6" s="2437"/>
      <c r="L6" s="2437"/>
      <c r="M6" s="2437"/>
      <c r="N6" s="2437"/>
      <c r="O6" s="2437"/>
      <c r="P6" s="2437"/>
    </row>
    <row r="7" spans="1:16" ht="15" thickBot="1">
      <c r="A7" s="3247"/>
      <c r="B7" s="3248"/>
      <c r="C7" s="3249"/>
      <c r="D7" s="1523" t="s">
        <v>1107</v>
      </c>
      <c r="E7" s="1527" t="s">
        <v>1114</v>
      </c>
      <c r="F7" s="2437"/>
      <c r="G7" s="2434" t="s">
        <v>1115</v>
      </c>
      <c r="H7" s="94"/>
      <c r="I7" s="2435">
        <v>8.73</v>
      </c>
      <c r="J7" s="2437"/>
      <c r="K7" s="2437"/>
      <c r="L7" s="2437"/>
      <c r="M7" s="2437"/>
      <c r="N7" s="2437"/>
      <c r="O7" s="2437"/>
      <c r="P7" s="2437"/>
    </row>
    <row r="8" spans="1:16" ht="14.4">
      <c r="A8" s="41" t="s">
        <v>1116</v>
      </c>
      <c r="B8" s="44" t="s">
        <v>1117</v>
      </c>
      <c r="C8" s="42" t="s">
        <v>1118</v>
      </c>
      <c r="D8" s="42">
        <f t="shared" ref="D8:D15" si="0">ROUND($D$3*E8/$E$3,2)</f>
        <v>22.89</v>
      </c>
      <c r="E8" s="45">
        <f>SUMIF('数据-基础表'!BB10:BK10,"地上",'数据-基础表'!BB5:BK5)</f>
        <v>195.79</v>
      </c>
      <c r="F8" s="2437"/>
      <c r="G8" s="2437"/>
      <c r="H8" s="2437"/>
      <c r="I8" s="2437"/>
      <c r="J8" s="2437"/>
      <c r="K8" s="2437"/>
      <c r="L8" s="2437"/>
      <c r="M8" s="2437"/>
      <c r="N8" s="2437"/>
      <c r="O8" s="2437"/>
      <c r="P8" s="2437"/>
    </row>
    <row r="9" spans="1:16" ht="14.4">
      <c r="A9" s="1528"/>
      <c r="B9" s="1529"/>
      <c r="C9" s="42" t="s">
        <v>1119</v>
      </c>
      <c r="D9" s="42">
        <f t="shared" si="0"/>
        <v>0</v>
      </c>
      <c r="E9" s="46">
        <v>0</v>
      </c>
      <c r="F9" s="2437"/>
      <c r="G9" s="2437"/>
      <c r="H9" s="2437"/>
      <c r="I9" s="2437"/>
      <c r="J9" s="2437"/>
      <c r="K9" s="2437"/>
      <c r="L9" s="2437"/>
      <c r="M9" s="2437"/>
      <c r="N9" s="2437"/>
      <c r="O9" s="2437"/>
      <c r="P9" s="2437"/>
    </row>
    <row r="10" spans="1:16" ht="14.4">
      <c r="A10" s="1528"/>
      <c r="B10" s="1529"/>
      <c r="C10" s="42" t="s">
        <v>1128</v>
      </c>
      <c r="D10" s="42">
        <f t="shared" si="0"/>
        <v>0</v>
      </c>
      <c r="E10" s="45">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2" t="s">
        <v>1120</v>
      </c>
      <c r="D11" s="42">
        <f t="shared" si="0"/>
        <v>0</v>
      </c>
      <c r="E11" s="45">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2" t="s">
        <v>1121</v>
      </c>
      <c r="D12" s="42">
        <f t="shared" si="0"/>
        <v>0</v>
      </c>
      <c r="E12" s="45">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2" t="s">
        <v>1122</v>
      </c>
      <c r="D13" s="42">
        <f t="shared" si="0"/>
        <v>0</v>
      </c>
      <c r="E13" s="45">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2" t="s">
        <v>1134</v>
      </c>
      <c r="D14" s="42">
        <f t="shared" si="0"/>
        <v>0</v>
      </c>
      <c r="E14" s="45">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2" t="s">
        <v>1129</v>
      </c>
      <c r="D15" s="42">
        <f t="shared" si="0"/>
        <v>0</v>
      </c>
      <c r="E15" s="45">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4" t="s">
        <v>1123</v>
      </c>
      <c r="D16" s="44">
        <f>SUM(D8:D15)</f>
        <v>22.89</v>
      </c>
      <c r="E16" s="47">
        <f>SUM(E8:E15)</f>
        <v>195.79</v>
      </c>
      <c r="F16" s="2437"/>
      <c r="G16" s="2437"/>
      <c r="H16" s="1530" t="s">
        <v>1135</v>
      </c>
      <c r="I16" s="1531"/>
      <c r="J16" s="1070"/>
      <c r="K16" s="3244" t="s">
        <v>1135</v>
      </c>
      <c r="L16" s="3245"/>
      <c r="M16" s="3245"/>
      <c r="N16" s="3245"/>
      <c r="O16" s="3245"/>
      <c r="P16" s="3246"/>
    </row>
    <row r="17" spans="1:19" ht="14.4">
      <c r="A17" s="1532" t="s">
        <v>1136</v>
      </c>
      <c r="B17" s="1533" t="s">
        <v>1137</v>
      </c>
      <c r="C17" s="1534" t="s">
        <v>1138</v>
      </c>
      <c r="D17" s="1535" t="s">
        <v>1126</v>
      </c>
      <c r="E17" s="1536" t="s">
        <v>1127</v>
      </c>
      <c r="F17" s="1537"/>
      <c r="G17" s="1538"/>
      <c r="H17" s="1539" t="s">
        <v>1139</v>
      </c>
      <c r="I17" s="1540" t="s">
        <v>1124</v>
      </c>
      <c r="J17" s="1070"/>
      <c r="K17" s="3241" t="s">
        <v>1140</v>
      </c>
      <c r="L17" s="3242"/>
      <c r="M17" s="3243"/>
      <c r="N17" s="3241" t="s">
        <v>1141</v>
      </c>
      <c r="O17" s="3242"/>
      <c r="P17" s="3243"/>
      <c r="R17" s="768" t="s">
        <v>1142</v>
      </c>
      <c r="S17" s="53"/>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ht="14.4">
      <c r="A19" s="1548"/>
      <c r="B19" s="44" t="s">
        <v>1125</v>
      </c>
      <c r="C19" s="3113" t="s">
        <v>460</v>
      </c>
      <c r="D19" s="42">
        <f>ROUND($D$3*E19/$E$3,2)</f>
        <v>22.89</v>
      </c>
      <c r="E19" s="50">
        <f t="shared" ref="E19:E26" si="1">SUM(F19:G19)</f>
        <v>195.79</v>
      </c>
      <c r="F19" s="2555">
        <f>'数据-基础表'!I13</f>
        <v>195.79</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22.89</v>
      </c>
      <c r="S19" s="50">
        <f t="shared" si="5"/>
        <v>195.79</v>
      </c>
    </row>
    <row r="20" spans="1:19" ht="14.4">
      <c r="A20" s="1548"/>
      <c r="B20" s="44" t="s">
        <v>1153</v>
      </c>
      <c r="C20" s="3113"/>
      <c r="D20" s="42">
        <f t="shared" ref="D20:D26" si="6">ROUND($D$3*E20/$E$3,2)</f>
        <v>0</v>
      </c>
      <c r="E20" s="50">
        <f t="shared" si="1"/>
        <v>0</v>
      </c>
      <c r="F20" s="2555"/>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ht="14.4">
      <c r="A21" s="1548"/>
      <c r="B21" s="44" t="s">
        <v>1153</v>
      </c>
      <c r="C21" s="3113"/>
      <c r="D21" s="42">
        <f t="shared" si="6"/>
        <v>0</v>
      </c>
      <c r="E21" s="50">
        <f t="shared" si="1"/>
        <v>0</v>
      </c>
      <c r="F21" s="2555"/>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ht="14.4">
      <c r="A22" s="1548"/>
      <c r="B22" s="44" t="s">
        <v>1153</v>
      </c>
      <c r="C22" s="3114"/>
      <c r="D22" s="42">
        <f t="shared" si="6"/>
        <v>0</v>
      </c>
      <c r="E22" s="50">
        <f t="shared" si="1"/>
        <v>0</v>
      </c>
      <c r="F22" s="2556"/>
      <c r="G22" s="2557"/>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ht="14.4">
      <c r="A23" s="1548"/>
      <c r="B23" s="44" t="s">
        <v>1153</v>
      </c>
      <c r="C23" s="3114"/>
      <c r="D23" s="42">
        <f>ROUND($D$3*E23/$E$3,2)</f>
        <v>0</v>
      </c>
      <c r="E23" s="50">
        <f>SUM(F23:G23)</f>
        <v>0</v>
      </c>
      <c r="F23" s="2556"/>
      <c r="G23" s="2557"/>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ht="14.4">
      <c r="A24" s="1548"/>
      <c r="B24" s="44" t="s">
        <v>1153</v>
      </c>
      <c r="C24" s="3114"/>
      <c r="D24" s="42">
        <f>ROUND($D$3*E24/$E$3,2)</f>
        <v>0</v>
      </c>
      <c r="E24" s="50">
        <f>SUM(F24:G24)</f>
        <v>0</v>
      </c>
      <c r="F24" s="2556"/>
      <c r="G24" s="2557"/>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ht="14.4">
      <c r="A25" s="1548"/>
      <c r="B25" s="44" t="s">
        <v>1153</v>
      </c>
      <c r="C25" s="3114"/>
      <c r="D25" s="42">
        <f t="shared" si="6"/>
        <v>0</v>
      </c>
      <c r="E25" s="50">
        <f t="shared" si="1"/>
        <v>0</v>
      </c>
      <c r="F25" s="2556"/>
      <c r="G25" s="2557"/>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ht="14.4">
      <c r="A26" s="1548"/>
      <c r="B26" s="44" t="s">
        <v>1153</v>
      </c>
      <c r="C26" s="52"/>
      <c r="D26" s="42">
        <f t="shared" si="6"/>
        <v>0</v>
      </c>
      <c r="E26" s="50">
        <f t="shared" si="1"/>
        <v>0</v>
      </c>
      <c r="F26" s="2556"/>
      <c r="G26" s="2557"/>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 thickBot="1">
      <c r="A27" s="1548"/>
      <c r="B27" s="42"/>
      <c r="C27" s="1553" t="s">
        <v>1154</v>
      </c>
      <c r="D27" s="1071">
        <f>SUM(D19:D26)</f>
        <v>22.89</v>
      </c>
      <c r="E27" s="1072">
        <f>IF(SUM(E19:E26)='数据-基础表'!BA5,SUM(E19:E26),IF(F27="地上面积有误","面积有误","地下面积有误"))</f>
        <v>195.79</v>
      </c>
      <c r="F27" s="1071">
        <f>IF(SUM(F19:F26)=E8,SUM(F19:F26),"地上面积有误")</f>
        <v>195.79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22.89</v>
      </c>
      <c r="S27" s="42">
        <f>IF(SUM(S19:S26)=$E$3,SUM(S19:S26),SUM(S19:S26)&amp;"误差"&amp;ROUND(SUM(S19:S26)-E3,2))</f>
        <v>195.79</v>
      </c>
    </row>
    <row r="28" spans="1:19" ht="14.4">
      <c r="A28" s="1548"/>
      <c r="B28" s="44" t="s">
        <v>1155</v>
      </c>
      <c r="C28" s="53" t="s">
        <v>1156</v>
      </c>
      <c r="D28" s="42">
        <f>ROUND($D$3*E28/$E$3,2)</f>
        <v>0</v>
      </c>
      <c r="E28" s="50">
        <f>SUM(F28:G28)</f>
        <v>0</v>
      </c>
      <c r="F28" s="53">
        <f>'数据-基础表'!BQ5+'数据-基础表'!BS5</f>
        <v>0</v>
      </c>
      <c r="G28" s="54">
        <f>'数据-基础表'!BR5+'数据-基础表'!BT5</f>
        <v>0</v>
      </c>
      <c r="H28" s="2437"/>
      <c r="I28" s="2437"/>
      <c r="J28" s="2437"/>
      <c r="K28" s="2437"/>
      <c r="L28" s="2437"/>
      <c r="M28" s="2437"/>
      <c r="N28" s="2437"/>
      <c r="O28" s="2437"/>
      <c r="P28" s="2437"/>
    </row>
    <row r="29" spans="1:19" ht="14.4">
      <c r="A29" s="1548"/>
      <c r="B29" s="44" t="s">
        <v>1155</v>
      </c>
      <c r="C29" s="1554" t="s">
        <v>1157</v>
      </c>
      <c r="D29" s="42">
        <f>ROUND($D$3*E29/$E$3,2)</f>
        <v>0</v>
      </c>
      <c r="E29" s="50">
        <f>SUM(F29:G29)</f>
        <v>0</v>
      </c>
      <c r="F29" s="55">
        <f>'数据-基础表'!BM5+'数据-基础表'!BO5</f>
        <v>0</v>
      </c>
      <c r="G29" s="47">
        <f>'数据-基础表'!BN5+'数据-基础表'!BP5</f>
        <v>0</v>
      </c>
      <c r="H29" s="2437"/>
      <c r="I29" s="2437"/>
      <c r="J29" s="2437"/>
      <c r="K29" s="2437"/>
      <c r="L29" s="2437"/>
      <c r="M29" s="2437"/>
      <c r="N29" s="2437"/>
      <c r="O29" s="2437"/>
      <c r="P29" s="2437"/>
    </row>
    <row r="30" spans="1:19" ht="14.4">
      <c r="A30" s="1548"/>
      <c r="B30" s="44"/>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5"/>
      <c r="C31" s="784" t="s">
        <v>1158</v>
      </c>
      <c r="D31" s="642">
        <f>D27+D30</f>
        <v>22.89</v>
      </c>
      <c r="E31" s="642">
        <f>E27+E30</f>
        <v>195.79</v>
      </c>
      <c r="F31" s="643">
        <f>F27+F30</f>
        <v>195.79</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23" sqref="Q2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45877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3418</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办公</v>
      </c>
      <c r="B6" s="1586" t="str">
        <f>IF(A6=0,"","经营性")</f>
        <v>经营性</v>
      </c>
      <c r="C6" s="1587" t="s">
        <v>21</v>
      </c>
      <c r="D6" s="804">
        <f>SUMIF(项目基本情况!C$12:I$12,C6,项目基本情况!C$14:I$14)</f>
        <v>50</v>
      </c>
      <c r="E6" s="803">
        <f>IF(B6="","",SUMIF(项目基本情况!C$12:I$12,C6,项目基本情况!C$13:I$13))</f>
        <v>52629</v>
      </c>
      <c r="F6" s="60">
        <f>SUMIF(项目基本情况!C$12:I$12,C6,项目基本情况!C$15:I$15)</f>
        <v>18.489999999999998</v>
      </c>
      <c r="G6" s="61">
        <f>IF(ISERROR(ROUND(POWER(1+H6,D6-F6)*(POWER(1+H6,F6)-1)/(POWER(1+H6,D6)-1),3)),0,ROUND(POWER(1+H6,D6-F6)*(POWER(1+H6,F6)-1)/(POWER(1+H6,D6)-1),3))</f>
        <v>0.65100000000000002</v>
      </c>
      <c r="H6" s="690">
        <v>0.05</v>
      </c>
      <c r="I6" s="690">
        <v>5.5E-2</v>
      </c>
      <c r="J6" s="62">
        <v>7.0000000000000007E-2</v>
      </c>
      <c r="K6" s="969">
        <f>SUMIF('数据-汇总表'!C$19:C$33,A6,'数据-汇总表'!E$19:E$33)</f>
        <v>195.79</v>
      </c>
      <c r="L6" s="691">
        <v>5500</v>
      </c>
      <c r="M6" s="63">
        <f t="shared" ref="M6:M14" si="0">ROUND(K6*L6/10000,0)</f>
        <v>108</v>
      </c>
      <c r="N6" s="689">
        <f>N20</f>
        <v>0.69</v>
      </c>
      <c r="O6" s="63" t="str">
        <f>IF($N$5="成新度","——",ROUND(M6*N6,0))</f>
        <v>——</v>
      </c>
      <c r="P6" s="64" t="str">
        <f>IF($N$5="成新度","——",M6-O6)</f>
        <v>——</v>
      </c>
      <c r="Q6" s="692">
        <v>0.2</v>
      </c>
      <c r="R6" s="65">
        <f ca="1">SUMIF('数据-汇总表'!C$19:C$33,A6,'数据-汇总表'!R$19:R$27)</f>
        <v>22.89</v>
      </c>
      <c r="S6" s="48">
        <f>IF('数据-汇总表'!$I$17="按面积比例",SUMIF('数据-汇总表'!C$19:C$33,A6,'数据-汇总表'!K$19:K$33),SUMIF('数据-汇总表'!C$19:C$33,A6,'数据-汇总表'!N$19:N$33))</f>
        <v>0</v>
      </c>
      <c r="T6" s="1091">
        <f>ROUND($L$14*S6/10000,0)</f>
        <v>0</v>
      </c>
      <c r="U6" s="3124">
        <v>5.8</v>
      </c>
      <c r="V6" s="66">
        <v>0.02</v>
      </c>
      <c r="W6" s="66">
        <v>0.1</v>
      </c>
      <c r="X6" s="978"/>
      <c r="Y6" s="67">
        <f>N6</f>
        <v>0.69</v>
      </c>
      <c r="Z6" s="68"/>
      <c r="AA6" s="62"/>
      <c r="AB6" s="62"/>
      <c r="AC6" s="978"/>
      <c r="AD6" s="69"/>
      <c r="AE6" s="979">
        <f ca="1">IF(AN6="",0,SUMIF(INDIRECT("'"&amp;AN6&amp;"'"&amp;"!E:E"),$AE$5,INDIRECT("'"&amp;AN6&amp;"'"&amp;"!F:F")))</f>
        <v>18.489999999999998</v>
      </c>
      <c r="AF6" s="73"/>
      <c r="AG6" s="129">
        <f>IF(AF6="",0,AE6-AF6)</f>
        <v>0</v>
      </c>
      <c r="AH6" s="70"/>
      <c r="AI6" s="72">
        <v>365</v>
      </c>
      <c r="AJ6" s="73"/>
      <c r="AK6" s="74">
        <v>5.0000000000000001E-3</v>
      </c>
      <c r="AL6" s="75">
        <v>1E-3</v>
      </c>
      <c r="AM6" s="76">
        <v>5.0000000000000001E-3</v>
      </c>
      <c r="AN6" s="1588" t="s">
        <v>3422</v>
      </c>
      <c r="AO6" s="49">
        <f ca="1">SUMIF(INDIRECT("'"&amp;AN6&amp;"'"&amp;"!A:A"),"总价",INDIRECT("'"&amp;AN6&amp;"'"&amp;"!B:B"))</f>
        <v>466.51119999999997</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4"/>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5"/>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4"/>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4"/>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4"/>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4"/>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6"/>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1"/>
      <c r="C16" s="782"/>
      <c r="D16" s="1593"/>
      <c r="E16" s="81"/>
      <c r="F16" s="81"/>
      <c r="G16" s="82">
        <f>ROUND(SUMPRODUCT(G6:G13,K6:K13)/SUMPRODUCT((G6:G13&gt;0)*(K6:K13)),3)</f>
        <v>0.65100000000000002</v>
      </c>
      <c r="H16" s="83">
        <f>ROUND(SUMPRODUCT(H6:H13,K6:K13)/SUMPRODUCT((H6:H13&gt;0)*(K6:K13)),3)</f>
        <v>0.05</v>
      </c>
      <c r="I16" s="84"/>
      <c r="J16" s="84"/>
      <c r="K16" s="85">
        <f>SUM(K6:K15)</f>
        <v>195.79</v>
      </c>
      <c r="L16" s="86">
        <f>ROUND(M16*10000/SUM(K6:K14),0)</f>
        <v>5516</v>
      </c>
      <c r="M16" s="86">
        <f>SUM(M6:M14)</f>
        <v>108</v>
      </c>
      <c r="N16" s="87">
        <f>ROUND(SUMPRODUCT(M6:M14,N6:N14)/M16,3)</f>
        <v>0.69</v>
      </c>
      <c r="O16" s="86">
        <f>SUM(O6:O14)</f>
        <v>0</v>
      </c>
      <c r="P16" s="86">
        <f>SUM(P6:P14)</f>
        <v>0</v>
      </c>
      <c r="Q16" s="88">
        <f>ROUND(SUMPRODUCT(Q6:Q13,K6:K13)/SUMPRODUCT((Q6:Q13&gt;0)*(K6:K13)),2)</f>
        <v>0.2</v>
      </c>
      <c r="R16" s="973">
        <f ca="1">SUM(R6:R13)</f>
        <v>22.89</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3169" t="s">
        <v>3419</v>
      </c>
      <c r="N17" s="2446">
        <v>1996</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6" t="s">
        <v>1210</v>
      </c>
      <c r="B18" s="2458"/>
      <c r="C18" s="2437"/>
      <c r="D18" s="2449"/>
      <c r="E18" s="2437"/>
      <c r="F18" s="2437"/>
      <c r="G18" s="2437"/>
      <c r="H18" s="2437"/>
      <c r="I18" s="2437"/>
      <c r="J18" s="2437"/>
      <c r="K18" s="2447"/>
      <c r="L18" s="2447"/>
      <c r="M18" s="3169" t="s">
        <v>3420</v>
      </c>
      <c r="N18" s="2446">
        <f>ROUND(1-(1-0)*(2025-N17)/60,2)</f>
        <v>0.52</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6">
        <v>0</v>
      </c>
      <c r="C19" s="2558" t="s">
        <v>2293</v>
      </c>
      <c r="D19" s="2449"/>
      <c r="E19" s="2437"/>
      <c r="F19" s="2437"/>
      <c r="G19" s="2437"/>
      <c r="H19" s="2437"/>
      <c r="I19" s="2437"/>
      <c r="J19" s="2437"/>
      <c r="K19" s="2447"/>
      <c r="L19" s="2447"/>
      <c r="M19" s="3169" t="s">
        <v>3421</v>
      </c>
      <c r="N19" s="2446">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7">
        <v>3</v>
      </c>
      <c r="C20" s="2559" t="s">
        <v>2291</v>
      </c>
      <c r="D20" s="2449"/>
      <c r="E20" s="2437"/>
      <c r="F20" s="2437"/>
      <c r="G20" s="2437"/>
      <c r="H20" s="2437"/>
      <c r="I20" s="2437"/>
      <c r="J20" s="2437"/>
      <c r="K20" s="2447"/>
      <c r="L20" s="2447"/>
      <c r="M20" s="3169" t="s">
        <v>458</v>
      </c>
      <c r="N20" s="2446">
        <f>ROUND((N19+N18)/2,2)</f>
        <v>0.69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7">
        <f>B20</f>
        <v>3</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v>160</v>
      </c>
      <c r="C27" s="2560" t="s">
        <v>2295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f>ROUND(B28*K16/10000,0)</f>
        <v>4</v>
      </c>
      <c r="C29" s="2561" t="s">
        <v>2285</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0.08</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2286</v>
      </c>
      <c r="D34" s="2457" t="s">
        <v>2292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2287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3392</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0.03</v>
      </c>
      <c r="C37" s="2562" t="s">
        <v>3375</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2.5000000000000001E-2</v>
      </c>
      <c r="C38" s="2562" t="s">
        <v>3376</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2301</v>
      </c>
      <c r="B40" s="1014">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7.0000000000000007E-2</v>
      </c>
      <c r="C44" s="2562" t="s">
        <v>3377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2288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2289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2296</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2288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144</v>
      </c>
      <c r="C53" s="2438" t="s">
        <v>1246</v>
      </c>
      <c r="D53" s="2563" t="s">
        <v>2294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1">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1">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1">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1">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1">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1">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1"/>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1"/>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1"/>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3" type="noConversion"/>
  <dataValidations count="8">
    <dataValidation type="list" allowBlank="1" showInputMessage="1" showErrorMessage="1" sqref="B44" xr:uid="{82753304-542F-4ED0-9C0D-95B7D1D10996}">
      <formula1>"7%,5%,1%"</formula1>
    </dataValidation>
    <dataValidation type="list" allowBlank="1" showInputMessage="1" showErrorMessage="1" sqref="B53" xr:uid="{61256C1C-0954-4823-990B-A65D545FE47C}">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8" customFormat="1" ht="18" thickBot="1">
      <c r="A1" s="3256" t="s">
        <v>2277</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ht="14.4" thickBot="1">
      <c r="A4" s="2247"/>
      <c r="B4" s="314" t="s">
        <v>2254</v>
      </c>
      <c r="C4" s="2268"/>
      <c r="D4" s="2265"/>
      <c r="E4" s="2269"/>
      <c r="F4" s="1280" t="s">
        <v>2255</v>
      </c>
      <c r="G4" s="2270"/>
      <c r="H4" s="750"/>
      <c r="I4" s="750"/>
      <c r="J4" s="750"/>
      <c r="K4" s="750"/>
      <c r="L4" s="750"/>
      <c r="M4" s="750"/>
      <c r="N4" s="750"/>
      <c r="O4" s="750"/>
      <c r="P4" s="750"/>
      <c r="Q4" s="750"/>
    </row>
    <row r="5" spans="1:29" ht="66.599999999999994" thickBot="1">
      <c r="A5" s="2247"/>
      <c r="B5" s="314" t="s">
        <v>2256</v>
      </c>
      <c r="C5" s="2264" t="s">
        <v>3423</v>
      </c>
      <c r="D5" s="2265"/>
      <c r="E5" s="2269"/>
      <c r="F5" s="314" t="s">
        <v>2257</v>
      </c>
      <c r="G5" s="2270"/>
      <c r="H5" s="750"/>
      <c r="I5" s="750"/>
      <c r="J5" s="750"/>
      <c r="K5" s="750"/>
      <c r="L5" s="750"/>
      <c r="M5" s="750"/>
      <c r="N5" s="750"/>
      <c r="O5" s="750"/>
      <c r="P5" s="750"/>
      <c r="Q5" s="750"/>
    </row>
    <row r="6" spans="1:29" ht="53.4" thickBot="1">
      <c r="A6" s="2247"/>
      <c r="B6" s="314" t="s">
        <v>2258</v>
      </c>
      <c r="C6" s="2264" t="s">
        <v>3424</v>
      </c>
      <c r="D6" s="2265"/>
      <c r="E6" s="2269"/>
      <c r="F6" s="314" t="s">
        <v>2259</v>
      </c>
      <c r="G6" s="2270"/>
      <c r="H6" s="750"/>
      <c r="I6" s="750"/>
      <c r="J6" s="750"/>
      <c r="K6" s="750"/>
      <c r="L6" s="750"/>
      <c r="M6" s="750"/>
      <c r="N6" s="750"/>
      <c r="O6" s="750"/>
      <c r="P6" s="750"/>
      <c r="Q6" s="750"/>
    </row>
    <row r="7" spans="1:29" ht="53.4" thickBot="1">
      <c r="A7" s="2247"/>
      <c r="B7" s="314" t="s">
        <v>2257</v>
      </c>
      <c r="C7" s="2264" t="s">
        <v>3425</v>
      </c>
      <c r="D7" s="2244"/>
      <c r="E7" s="2271"/>
      <c r="F7" s="2272" t="s">
        <v>2260</v>
      </c>
      <c r="G7" s="2273"/>
      <c r="H7" s="750"/>
      <c r="I7" s="750"/>
      <c r="J7" s="750"/>
      <c r="K7" s="750"/>
      <c r="L7" s="750"/>
      <c r="M7" s="750"/>
      <c r="N7" s="750"/>
      <c r="O7" s="750"/>
      <c r="P7" s="750"/>
      <c r="Q7" s="750"/>
    </row>
    <row r="8" spans="1:29" ht="27" thickBot="1">
      <c r="A8" s="2247"/>
      <c r="B8" s="314" t="s">
        <v>2259</v>
      </c>
      <c r="C8" s="2264" t="s">
        <v>3426</v>
      </c>
      <c r="D8" s="2244"/>
      <c r="E8" s="2244"/>
      <c r="F8" s="120"/>
      <c r="G8" s="120"/>
      <c r="H8" s="750"/>
      <c r="I8" s="750"/>
      <c r="J8" s="750"/>
      <c r="K8" s="750"/>
      <c r="L8" s="750"/>
      <c r="M8" s="750"/>
      <c r="N8" s="750"/>
      <c r="O8" s="750"/>
      <c r="P8" s="750"/>
      <c r="Q8" s="750"/>
    </row>
    <row r="9" spans="1:29" ht="53.4" thickBot="1">
      <c r="A9" s="2247"/>
      <c r="B9" s="314" t="s">
        <v>2261</v>
      </c>
      <c r="C9" s="2264" t="s">
        <v>3427</v>
      </c>
      <c r="D9" s="2265"/>
      <c r="E9" s="2244"/>
      <c r="F9" s="120"/>
      <c r="G9" s="120"/>
      <c r="H9" s="750"/>
      <c r="I9" s="750"/>
      <c r="J9" s="750"/>
      <c r="K9" s="750"/>
      <c r="L9" s="750"/>
      <c r="M9" s="750"/>
      <c r="N9" s="750"/>
      <c r="O9" s="750"/>
      <c r="P9" s="750"/>
      <c r="Q9" s="750"/>
    </row>
    <row r="10" spans="1:29" ht="27" thickBot="1">
      <c r="A10" s="2248"/>
      <c r="B10" s="2274" t="s">
        <v>2262</v>
      </c>
      <c r="C10" s="2264" t="s">
        <v>3428</v>
      </c>
      <c r="D10" s="2265"/>
      <c r="E10" s="2265"/>
      <c r="F10" s="120"/>
      <c r="G10" s="120"/>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2278</v>
      </c>
      <c r="B13" s="2278"/>
      <c r="C13" s="2278"/>
      <c r="D13" s="2277"/>
      <c r="E13" s="2278"/>
      <c r="F13" s="2278"/>
      <c r="G13" s="2278"/>
    </row>
    <row r="14" spans="1:29" ht="14.4" thickBot="1">
      <c r="A14" s="2283"/>
      <c r="B14" s="2283"/>
      <c r="C14" s="2284" t="s">
        <v>2263</v>
      </c>
      <c r="D14" s="2265"/>
      <c r="E14" s="2285"/>
      <c r="F14" s="2285"/>
      <c r="G14" s="2261" t="s">
        <v>2264</v>
      </c>
    </row>
    <row r="15" spans="1:29" ht="24">
      <c r="A15" s="2249" t="s">
        <v>2265</v>
      </c>
      <c r="B15" s="2286" t="s">
        <v>2252</v>
      </c>
      <c r="C15" s="2287">
        <f>C3</f>
        <v>0</v>
      </c>
      <c r="D15" s="2265"/>
      <c r="E15" s="2250" t="s">
        <v>2266</v>
      </c>
      <c r="F15" s="2286" t="s">
        <v>2267</v>
      </c>
      <c r="G15" s="2288">
        <f>G3</f>
        <v>0</v>
      </c>
    </row>
    <row r="16" spans="1:29">
      <c r="A16" s="2251"/>
      <c r="B16" s="2289" t="s">
        <v>2254</v>
      </c>
      <c r="C16" s="2290">
        <f>C4</f>
        <v>0</v>
      </c>
      <c r="D16" s="2265"/>
      <c r="E16" s="2252"/>
      <c r="F16" s="2291" t="s">
        <v>2255</v>
      </c>
      <c r="G16" s="2292">
        <f>G4</f>
        <v>0</v>
      </c>
    </row>
    <row r="17" spans="1:17" ht="66">
      <c r="A17" s="2251"/>
      <c r="B17" s="2289" t="s">
        <v>2256</v>
      </c>
      <c r="C17" s="2290" t="str">
        <f>C5</f>
        <v>估价对象位于朝阳门商圈，周边办公楼项目较多，有联合大厦、华普国际大厦等写字楼，入驻率高，办公集聚程度较好</v>
      </c>
      <c r="D17" s="2244"/>
      <c r="E17" s="2252"/>
      <c r="F17" s="2291" t="s">
        <v>2268</v>
      </c>
      <c r="G17" s="2293"/>
    </row>
    <row r="18" spans="1:17" ht="52.8">
      <c r="A18" s="2251"/>
      <c r="B18" s="2291" t="s">
        <v>2258</v>
      </c>
      <c r="C18" s="2292" t="str">
        <f>C6</f>
        <v>周边有75、110、420路及地铁2号、6号线，周边道路密集，停车便捷程度，综合评价交通便捷度较好</v>
      </c>
      <c r="D18" s="2244"/>
      <c r="E18" s="2252"/>
      <c r="F18" s="2291" t="s">
        <v>2260</v>
      </c>
      <c r="G18" s="2292">
        <f>G7</f>
        <v>0</v>
      </c>
    </row>
    <row r="19" spans="1:17">
      <c r="A19" s="2251"/>
      <c r="B19" s="2291" t="s">
        <v>2269</v>
      </c>
      <c r="C19" s="2293"/>
      <c r="D19" s="2265"/>
      <c r="E19" s="2252"/>
      <c r="F19" s="314" t="s">
        <v>2257</v>
      </c>
      <c r="G19" s="2292">
        <f>G5</f>
        <v>0</v>
      </c>
    </row>
    <row r="20" spans="1:17" ht="52.8">
      <c r="A20" s="2251"/>
      <c r="B20" s="2291" t="s">
        <v>2270</v>
      </c>
      <c r="C20" s="2290" t="str">
        <f>C9</f>
        <v>区域内有东城职业大学、日坛公园、富国海底世界等自然及人文环境，综合评价自然及人文环境状况较好。</v>
      </c>
      <c r="D20" s="2244"/>
      <c r="E20" s="2252"/>
      <c r="F20" s="314" t="s">
        <v>2259</v>
      </c>
      <c r="G20" s="2292">
        <f>G6</f>
        <v>0</v>
      </c>
    </row>
    <row r="21" spans="1:17" ht="52.8">
      <c r="A21" s="2251"/>
      <c r="B21" s="314" t="s">
        <v>2257</v>
      </c>
      <c r="C21" s="2292" t="str">
        <f>C7</f>
        <v>估价对象所在区域银行、购物场所、学校等公共配套设施齐备，综合评价公共配套设施水平较好</v>
      </c>
      <c r="D21" s="2265"/>
      <c r="E21" s="2252"/>
      <c r="F21" s="2291" t="s">
        <v>2271</v>
      </c>
      <c r="G21" s="2294"/>
    </row>
    <row r="22" spans="1:17" ht="13.5" customHeight="1">
      <c r="A22" s="2251"/>
      <c r="B22" s="314" t="s">
        <v>2259</v>
      </c>
      <c r="C22" s="2292" t="str">
        <f>C8</f>
        <v>估价对象所在区域基础设施水平“七通一平</v>
      </c>
      <c r="D22" s="2265"/>
      <c r="E22" s="2252"/>
      <c r="F22" s="2291" t="s">
        <v>2262</v>
      </c>
      <c r="G22" s="2293"/>
    </row>
    <row r="23" spans="1:17" s="750" customFormat="1" ht="14.4" thickBot="1">
      <c r="A23" s="2251"/>
      <c r="B23" s="2291" t="s">
        <v>2271</v>
      </c>
      <c r="C23" s="2294"/>
      <c r="D23" s="1613"/>
      <c r="E23" s="2253"/>
      <c r="F23" s="2295" t="s">
        <v>2272</v>
      </c>
      <c r="G23" s="2296"/>
      <c r="H23" s="2275"/>
      <c r="I23" s="2275"/>
      <c r="J23" s="2275"/>
      <c r="K23" s="2275"/>
      <c r="L23" s="2275"/>
      <c r="M23" s="2275"/>
      <c r="N23" s="2275"/>
      <c r="O23" s="2275"/>
      <c r="P23" s="2275"/>
      <c r="Q23" s="2275"/>
    </row>
    <row r="24" spans="1:17" s="750" customFormat="1" ht="27" thickBot="1">
      <c r="A24" s="2254"/>
      <c r="B24" s="2295" t="s">
        <v>2273</v>
      </c>
      <c r="C24" s="2297" t="str">
        <f>C10</f>
        <v>城市主干道——朝阳门外大街</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5" sqref="E5:F5"/>
    </sheetView>
  </sheetViews>
  <sheetFormatPr defaultColWidth="9" defaultRowHeight="14.4"/>
  <cols>
    <col min="1" max="1" width="25" style="2299" customWidth="1"/>
    <col min="2" max="5" width="15.77734375" style="2299" customWidth="1"/>
    <col min="6" max="6" width="17.21875" style="2299" customWidth="1"/>
    <col min="7" max="9" width="15.77734375" style="2299" customWidth="1"/>
    <col min="10" max="16384" width="9" style="2299"/>
  </cols>
  <sheetData>
    <row r="1" spans="1:11" ht="16.2">
      <c r="A1" s="2298" t="s">
        <v>665</v>
      </c>
      <c r="B1" s="2298">
        <f>SUM(B14:B23)</f>
        <v>195.79</v>
      </c>
      <c r="C1" s="2459"/>
      <c r="D1" s="2459"/>
      <c r="E1" s="2459"/>
      <c r="F1" s="2459"/>
      <c r="G1" s="2460"/>
      <c r="H1" s="2460"/>
      <c r="I1" s="2460"/>
      <c r="J1" s="2460"/>
      <c r="K1" s="2460"/>
    </row>
    <row r="2" spans="1:11" ht="16.2">
      <c r="A2" s="2298" t="s">
        <v>653</v>
      </c>
      <c r="B2" s="2298">
        <f>SUM(C14:C23)</f>
        <v>22.89</v>
      </c>
      <c r="C2" s="2459"/>
      <c r="D2" s="2459"/>
      <c r="E2" s="2459"/>
      <c r="F2" s="2459"/>
      <c r="G2" s="2460"/>
      <c r="H2" s="2460"/>
      <c r="I2" s="2460"/>
      <c r="J2" s="2460"/>
      <c r="K2" s="2460"/>
    </row>
    <row r="3" spans="1:11" ht="15.6">
      <c r="A3" s="2298" t="s">
        <v>662</v>
      </c>
      <c r="B3" s="2300">
        <f>项目基本情况!D3</f>
        <v>45877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648.00620000000004</v>
      </c>
      <c r="C5" s="2298">
        <f ca="1">IF(B5=D14,结果表!H102,ROUND(B5*10000/$B$1,0))</f>
        <v>33097</v>
      </c>
      <c r="D5" s="2298">
        <f ca="1">ROUND(B5*10000/$B$2,0)</f>
        <v>283096</v>
      </c>
      <c r="E5" s="3258" t="str">
        <f ca="1">NUMBERSTRING(INT(B5*10000),2)&amp;"元整"</f>
        <v>陆佰肆拾捌万零陆拾贰元整</v>
      </c>
      <c r="F5" s="3259"/>
      <c r="G5" s="2460"/>
      <c r="H5" s="2460"/>
      <c r="I5" s="2460"/>
      <c r="J5" s="2460"/>
      <c r="K5" s="2460"/>
    </row>
    <row r="6" spans="1:11" ht="15.6">
      <c r="A6" s="2298" t="s">
        <v>656</v>
      </c>
      <c r="B6" s="2298">
        <f>SUM(G14:G23)</f>
        <v>0</v>
      </c>
      <c r="C6" s="2298">
        <f ca="1">IF(B6=G14,结果表!H108,ROUND(B6*10000/$B$1,0))</f>
        <v>33097</v>
      </c>
      <c r="D6" s="2298">
        <f>ROUND(B6*10000/$B$2,0)</f>
        <v>0</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3347</v>
      </c>
      <c r="D10" s="2298" t="s">
        <v>3348</v>
      </c>
      <c r="E10" s="3134"/>
      <c r="F10" s="3138" t="s">
        <v>3349</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195.79</v>
      </c>
      <c r="C14" s="2304">
        <f>结果表!C118</f>
        <v>22.89</v>
      </c>
      <c r="D14" s="2304">
        <f ca="1">ROUND(E14*B14/10000,4)</f>
        <v>648.00620000000004</v>
      </c>
      <c r="E14" s="2304">
        <f ca="1">结果表!I118</f>
        <v>33097</v>
      </c>
      <c r="F14" s="2304">
        <f ca="1">ROUND(D14*10000/C14,0)</f>
        <v>283096</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1">
    <mergeCell ref="E5:F5"/>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21</v>
      </c>
      <c r="D1" s="645"/>
      <c r="E1" s="645"/>
      <c r="F1" s="1620" t="s">
        <v>1263</v>
      </c>
      <c r="G1" s="1452" t="s">
        <v>3443</v>
      </c>
      <c r="H1" s="1620" t="str">
        <f>IF(G1="现房","——","估价对象范围")</f>
        <v>——</v>
      </c>
      <c r="I1" s="1621" t="s">
        <v>3444</v>
      </c>
    </row>
    <row r="2" spans="1:12" ht="21.75" customHeight="1" thickBot="1">
      <c r="A2" s="3294" t="str">
        <f>项目基本情况!S2</f>
        <v>北京市朝阳区朝阳门外大街18号房地产</v>
      </c>
      <c r="B2" s="3295"/>
      <c r="C2" s="3295"/>
      <c r="D2" s="3295"/>
      <c r="E2" s="3295"/>
      <c r="F2" s="3295"/>
      <c r="G2" s="3295"/>
      <c r="H2" s="3295"/>
      <c r="I2" s="3296"/>
    </row>
    <row r="3" spans="1:12" ht="13.2">
      <c r="A3" s="3298" t="s">
        <v>1264</v>
      </c>
      <c r="B3" s="3299"/>
      <c r="C3" s="3299"/>
      <c r="D3" s="3299"/>
      <c r="E3" s="3299"/>
      <c r="F3" s="3299"/>
      <c r="G3" s="3299"/>
      <c r="H3" s="3299"/>
      <c r="I3" s="3299"/>
    </row>
    <row r="4" spans="1:12" ht="14.4">
      <c r="A4" s="1623" t="s">
        <v>1265</v>
      </c>
      <c r="B4" s="1624" t="s">
        <v>1266</v>
      </c>
      <c r="C4" s="1625" t="s">
        <v>3445</v>
      </c>
      <c r="D4" s="1625" t="s">
        <v>3422</v>
      </c>
      <c r="E4" s="3300" t="s">
        <v>1267</v>
      </c>
      <c r="F4" s="3301"/>
      <c r="G4" s="3301"/>
      <c r="H4" s="3301"/>
      <c r="I4" s="330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261">
        <v>25</v>
      </c>
      <c r="C5" s="3277"/>
      <c r="D5" s="3297"/>
      <c r="E5" s="122" t="s">
        <v>1269</v>
      </c>
      <c r="F5" s="1626"/>
      <c r="G5" s="1626"/>
      <c r="H5" s="1626"/>
      <c r="I5" s="1280"/>
    </row>
    <row r="6" spans="1:12" ht="13.2">
      <c r="A6" s="3274"/>
      <c r="B6" s="3261"/>
      <c r="C6" s="3278"/>
      <c r="D6" s="3297"/>
      <c r="E6" s="122" t="s">
        <v>1270</v>
      </c>
      <c r="F6" s="1626"/>
      <c r="G6" s="1626"/>
      <c r="H6" s="1626"/>
      <c r="I6" s="1280"/>
    </row>
    <row r="7" spans="1:12" ht="13.2">
      <c r="A7" s="3274"/>
      <c r="B7" s="3261"/>
      <c r="C7" s="3279"/>
      <c r="D7" s="3297"/>
      <c r="E7" s="122" t="s">
        <v>1271</v>
      </c>
      <c r="F7" s="1626"/>
      <c r="G7" s="1626"/>
      <c r="H7" s="1626"/>
      <c r="I7" s="1280"/>
    </row>
    <row r="8" spans="1:12" ht="13.2">
      <c r="A8" s="3274" t="s">
        <v>1272</v>
      </c>
      <c r="B8" s="3261">
        <v>15</v>
      </c>
      <c r="C8" s="3277"/>
      <c r="D8" s="3297"/>
      <c r="E8" s="122" t="s">
        <v>1273</v>
      </c>
      <c r="F8" s="1626"/>
      <c r="G8" s="1626"/>
      <c r="H8" s="1626"/>
      <c r="I8" s="1280"/>
    </row>
    <row r="9" spans="1:12" ht="13.2">
      <c r="A9" s="3274"/>
      <c r="B9" s="3261"/>
      <c r="C9" s="3279"/>
      <c r="D9" s="3297"/>
      <c r="E9" s="122" t="s">
        <v>1274</v>
      </c>
      <c r="F9" s="1626"/>
      <c r="G9" s="1626"/>
      <c r="H9" s="1626"/>
      <c r="I9" s="1280"/>
    </row>
    <row r="10" spans="1:12" ht="13.2">
      <c r="A10" s="3274" t="s">
        <v>1275</v>
      </c>
      <c r="B10" s="3261">
        <v>15</v>
      </c>
      <c r="C10" s="3277"/>
      <c r="D10" s="3297"/>
      <c r="E10" s="122" t="s">
        <v>1276</v>
      </c>
      <c r="F10" s="1626"/>
      <c r="G10" s="1626"/>
      <c r="H10" s="1626"/>
      <c r="I10" s="1280"/>
    </row>
    <row r="11" spans="1:12" ht="13.2">
      <c r="A11" s="3274"/>
      <c r="B11" s="3261"/>
      <c r="C11" s="3279"/>
      <c r="D11" s="3297"/>
      <c r="E11" s="122" t="s">
        <v>1277</v>
      </c>
      <c r="F11" s="1626"/>
      <c r="G11" s="1626"/>
      <c r="H11" s="1626"/>
      <c r="I11" s="1280"/>
    </row>
    <row r="12" spans="1:12" ht="13.2">
      <c r="A12" s="3274" t="s">
        <v>1278</v>
      </c>
      <c r="B12" s="3261">
        <v>15</v>
      </c>
      <c r="C12" s="3277"/>
      <c r="D12" s="3297"/>
      <c r="E12" s="122" t="s">
        <v>1279</v>
      </c>
      <c r="F12" s="1626"/>
      <c r="G12" s="1626"/>
      <c r="H12" s="1626"/>
      <c r="I12" s="1280"/>
    </row>
    <row r="13" spans="1:12" ht="13.2">
      <c r="A13" s="3274"/>
      <c r="B13" s="3261"/>
      <c r="C13" s="3279"/>
      <c r="D13" s="3297"/>
      <c r="E13" s="122" t="s">
        <v>1280</v>
      </c>
      <c r="F13" s="1626"/>
      <c r="G13" s="1626"/>
      <c r="H13" s="1626"/>
      <c r="I13" s="1280"/>
    </row>
    <row r="14" spans="1:12" ht="13.2">
      <c r="A14" s="3274" t="s">
        <v>1281</v>
      </c>
      <c r="B14" s="3261">
        <v>30</v>
      </c>
      <c r="C14" s="3277">
        <v>7</v>
      </c>
      <c r="D14" s="3297">
        <v>3</v>
      </c>
      <c r="E14" s="122" t="s">
        <v>1282</v>
      </c>
      <c r="F14" s="1626"/>
      <c r="G14" s="1626"/>
      <c r="H14" s="1626"/>
      <c r="I14" s="1280"/>
    </row>
    <row r="15" spans="1:12" ht="13.2">
      <c r="A15" s="3274"/>
      <c r="B15" s="3261"/>
      <c r="C15" s="3278"/>
      <c r="D15" s="3297"/>
      <c r="E15" s="122" t="s">
        <v>1283</v>
      </c>
      <c r="F15" s="1626"/>
      <c r="G15" s="1626"/>
      <c r="H15" s="1626"/>
      <c r="I15" s="1280"/>
    </row>
    <row r="16" spans="1:12" ht="13.2">
      <c r="A16" s="3274"/>
      <c r="B16" s="3261"/>
      <c r="C16" s="3279"/>
      <c r="D16" s="3297"/>
      <c r="E16" s="122" t="s">
        <v>1284</v>
      </c>
      <c r="F16" s="1626"/>
      <c r="G16" s="1626"/>
      <c r="H16" s="1626"/>
      <c r="I16" s="1280"/>
    </row>
    <row r="17" spans="1:36" ht="14.4">
      <c r="A17" s="1627" t="s">
        <v>1285</v>
      </c>
      <c r="B17" s="53"/>
      <c r="C17" s="123">
        <f>SUM(C5:C16)</f>
        <v>7</v>
      </c>
      <c r="D17" s="123">
        <f>SUM(D5:D16)</f>
        <v>3</v>
      </c>
      <c r="E17" s="120"/>
      <c r="F17" s="120"/>
      <c r="G17" s="120"/>
      <c r="H17" s="120"/>
      <c r="I17" s="120"/>
      <c r="K17" s="293"/>
      <c r="L17" s="293" t="s">
        <v>1286</v>
      </c>
      <c r="M17" s="293" t="s">
        <v>1287</v>
      </c>
    </row>
    <row r="18" spans="1:36" ht="31.95" customHeight="1" thickBot="1">
      <c r="A18" s="1628" t="s">
        <v>1288</v>
      </c>
      <c r="B18" s="1541"/>
      <c r="C18" s="124">
        <f>ROUND(C17/SUM(C17:D17),2)</f>
        <v>0.7</v>
      </c>
      <c r="D18" s="124">
        <f>1-C18</f>
        <v>0.30000000000000004</v>
      </c>
      <c r="E18" s="3284" t="s">
        <v>2131</v>
      </c>
      <c r="F18" s="3285"/>
      <c r="G18" s="3285"/>
      <c r="H18" s="3285"/>
      <c r="I18" s="3285"/>
      <c r="K18" s="293" t="s">
        <v>1289</v>
      </c>
      <c r="L18" s="293">
        <f>IF(C1="",'数据-汇总表'!E3,SUMIF(项目类型,C1,'数据-汇总表'!E17:E26)+SUMIF(项目类型,C1,'数据-汇总表'!I17:I26))</f>
        <v>195.79</v>
      </c>
      <c r="M18" s="293">
        <f>IF(C1="",'数据-汇总表'!E3,SUMIF(项目类型,C1,'数据-汇总表'!E17:E26))</f>
        <v>195.79</v>
      </c>
    </row>
    <row r="19" spans="1:36" ht="14.4">
      <c r="A19" s="1629" t="s">
        <v>1290</v>
      </c>
      <c r="B19" s="1630" t="s">
        <v>1291</v>
      </c>
      <c r="C19" s="125">
        <f ca="1">SUMIF(INDIRECT("'"&amp;C4&amp;"'"&amp;"!A:A"),结果表!B19,INDIRECT("'"&amp;C4&amp;"'"&amp;"!B:B"))</f>
        <v>725.79390000000001</v>
      </c>
      <c r="D19" s="126">
        <f ca="1">SUMIF(INDIRECT("'"&amp;D4&amp;"'"&amp;"!A:A"),结果表!B19,INDIRECT("'"&amp;D4&amp;"'"&amp;"!B:B"))</f>
        <v>466.51119999999997</v>
      </c>
      <c r="E19" s="1629" t="s">
        <v>1292</v>
      </c>
      <c r="F19" s="1630" t="s">
        <v>1291</v>
      </c>
      <c r="G19" s="127">
        <f ca="1">ROUND(C19*$C$18+D19*$D$18,0)</f>
        <v>648</v>
      </c>
      <c r="H19" s="1631" t="s">
        <v>1293</v>
      </c>
      <c r="I19" s="120"/>
      <c r="K19" s="293" t="s">
        <v>1294</v>
      </c>
      <c r="L19" s="293">
        <f>IF(C1="",'数据-汇总表'!D3,SUMIF(项目类型,C1,'数据-汇总表'!D17:D26)+SUMIF(项目类型,C1,'数据-汇总表'!H17:H27))</f>
        <v>22.89</v>
      </c>
      <c r="M19" s="293">
        <f>IF(C1="",'数据-汇总表'!D3,SUMIF(项目类型,C1,'数据-汇总表'!D17:D26))</f>
        <v>22.89</v>
      </c>
    </row>
    <row r="20" spans="1:36" ht="14.4">
      <c r="A20" s="1632"/>
      <c r="B20" s="42" t="s">
        <v>1295</v>
      </c>
      <c r="C20" s="128">
        <f ca="1">SUMIF(INDIRECT("'"&amp;C4&amp;"'"&amp;"!A:A"),结果表!B20,INDIRECT("'"&amp;C4&amp;"'"&amp;"!B:B"))</f>
        <v>37070</v>
      </c>
      <c r="D20" s="129">
        <f ca="1">SUMIF(INDIRECT("'"&amp;D4&amp;"'"&amp;"!A:A"),结果表!B20,INDIRECT("'"&amp;D4&amp;"'"&amp;"!B:B"))</f>
        <v>23827</v>
      </c>
      <c r="E20" s="1632"/>
      <c r="F20" s="42" t="s">
        <v>1295</v>
      </c>
      <c r="G20" s="130">
        <f ca="1">ROUND(C20*$C$18+D20*$D$18,0)</f>
        <v>33097</v>
      </c>
      <c r="H20" s="759" t="s">
        <v>1296</v>
      </c>
      <c r="I20" s="120"/>
    </row>
    <row r="21" spans="1:36" ht="15" customHeight="1" thickBot="1">
      <c r="A21" s="448"/>
      <c r="B21" s="92" t="s">
        <v>1297</v>
      </c>
      <c r="C21" s="677">
        <f ca="1">ROUND(C19*10000/L19,0)</f>
        <v>317079</v>
      </c>
      <c r="D21" s="678">
        <f ca="1">ROUND(D19*10000/L19,0)</f>
        <v>203806</v>
      </c>
      <c r="E21" s="448"/>
      <c r="F21" s="92" t="s">
        <v>1297</v>
      </c>
      <c r="G21" s="131">
        <f ca="1">ROUND(G19*10000/L19,0)</f>
        <v>283093</v>
      </c>
      <c r="H21" s="1633" t="s">
        <v>1296</v>
      </c>
      <c r="I21" s="120"/>
    </row>
    <row r="22" spans="1:36" ht="15" thickBot="1">
      <c r="A22" s="1563" t="s">
        <v>1298</v>
      </c>
      <c r="B22" s="1634"/>
      <c r="C22" s="1635"/>
      <c r="D22" s="679">
        <f ca="1">IF(C19&lt;D19,D19/C19-1,C19/D19-1)</f>
        <v>0.55579094349717661</v>
      </c>
      <c r="E22" s="120"/>
      <c r="F22" s="120"/>
      <c r="G22" s="120"/>
      <c r="H22" s="120"/>
      <c r="I22" s="120"/>
    </row>
    <row r="23" spans="1:36" ht="13.8" thickBot="1">
      <c r="A23" s="645"/>
      <c r="B23" s="645"/>
      <c r="C23" s="645"/>
      <c r="D23" s="645"/>
      <c r="E23" s="120"/>
      <c r="F23" s="120"/>
      <c r="G23" s="120"/>
      <c r="H23" s="120"/>
      <c r="I23" s="120"/>
    </row>
    <row r="24" spans="1:36" ht="14.4">
      <c r="A24" s="3268" t="s">
        <v>1299</v>
      </c>
      <c r="B24" s="1630" t="s">
        <v>1291</v>
      </c>
      <c r="C24" s="127">
        <f>IF(B30=0,0,D30)</f>
        <v>0</v>
      </c>
      <c r="D24" s="1636"/>
      <c r="E24" s="120"/>
      <c r="F24" s="120"/>
      <c r="G24" s="120"/>
      <c r="H24" s="120"/>
      <c r="I24" s="120"/>
    </row>
    <row r="25" spans="1:36" ht="14.4">
      <c r="A25" s="3269"/>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33097</v>
      </c>
      <c r="D32" s="1640" t="s">
        <v>3446</v>
      </c>
      <c r="E32" s="120"/>
      <c r="F32" s="120"/>
      <c r="G32" s="120"/>
      <c r="H32" s="120"/>
      <c r="I32" s="120"/>
    </row>
    <row r="33" spans="1:15" ht="14.4">
      <c r="A33" s="739" t="s">
        <v>1306</v>
      </c>
      <c r="B33" s="122"/>
      <c r="C33" s="1641" t="s">
        <v>3447</v>
      </c>
      <c r="D33" s="1642" t="s">
        <v>3445</v>
      </c>
      <c r="E33" s="1643" t="s">
        <v>1307</v>
      </c>
      <c r="F33" s="1644" t="str">
        <f>IF(D32="楼面单价","取值（单价）","取值（总价）")</f>
        <v>取值（单价）</v>
      </c>
      <c r="G33" s="120"/>
      <c r="H33" s="120"/>
      <c r="I33" s="120"/>
    </row>
    <row r="34" spans="1:15" ht="14.4">
      <c r="A34" s="1645"/>
      <c r="B34" s="1646" t="s">
        <v>1308</v>
      </c>
      <c r="C34" s="139">
        <f ca="1">IF(C33="自定义",F34,C32-C35)</f>
        <v>27702</v>
      </c>
      <c r="D34" s="807">
        <f ca="1">IF(C33="自定义",ROUND(C34/C32,3),IF(C33="收益比率",SUMIF(INDIRECT("'"&amp;D33&amp;"'"&amp;"!b:b"),"土地收益比率",INDIRECT("'"&amp;D33&amp;"'"&amp;"!c:c")),SUMIF(INDIRECT("'"&amp;D33&amp;"'"&amp;"!b:b"),"土地成本比率",INDIRECT("'"&amp;D33&amp;"'"&amp;"!c:c"))))</f>
        <v>0.83699999999999997</v>
      </c>
      <c r="E34" s="1647" t="s">
        <v>1309</v>
      </c>
      <c r="F34" s="1242"/>
      <c r="G34" s="120"/>
      <c r="H34" s="120"/>
      <c r="I34" s="120"/>
    </row>
    <row r="35" spans="1:15" ht="15" thickBot="1">
      <c r="A35" s="1648"/>
      <c r="B35" s="1649" t="s">
        <v>1310</v>
      </c>
      <c r="C35" s="1089">
        <f ca="1">IF(C33="自定义",F35,ROUND(C32*D35,0))</f>
        <v>5395</v>
      </c>
      <c r="D35" s="1090">
        <f ca="1">IF(C33="自定义",ROUND(C35/C32,3),IF(C33="收益比率",SUMIF(INDIRECT("'"&amp;D33&amp;"'"&amp;"!b:b"),"建筑物收益比率",INDIRECT("'"&amp;D33&amp;"'"&amp;"!c:c")),SUMIF(INDIRECT("'"&amp;D33&amp;"'"&amp;"!b:b"),"建筑物成本比率",INDIRECT("'"&amp;D33&amp;"'"&amp;"!c:c"))))</f>
        <v>0.16300000000000001</v>
      </c>
      <c r="E35" s="1650" t="s">
        <v>1311</v>
      </c>
      <c r="F35" s="145"/>
      <c r="G35" s="120"/>
      <c r="H35" s="120"/>
      <c r="I35" s="120"/>
    </row>
    <row r="36" spans="1:15" ht="15" thickBot="1">
      <c r="A36" s="3288" t="s">
        <v>1312</v>
      </c>
      <c r="B36" s="1651" t="s">
        <v>1313</v>
      </c>
      <c r="C36" s="136"/>
      <c r="D36" s="1652"/>
      <c r="E36" s="1566"/>
      <c r="F36" s="1653"/>
      <c r="G36" s="120"/>
      <c r="H36" s="120"/>
      <c r="I36" s="120"/>
    </row>
    <row r="37" spans="1:15" ht="15" thickBot="1">
      <c r="A37" s="3289"/>
      <c r="B37" s="1554" t="s">
        <v>1314</v>
      </c>
      <c r="C37" s="138"/>
      <c r="D37" s="1070"/>
      <c r="E37" s="1070"/>
      <c r="F37" s="1653"/>
      <c r="G37" s="120"/>
      <c r="H37" s="120"/>
      <c r="I37" s="120"/>
    </row>
    <row r="38" spans="1:15" ht="15" thickBot="1">
      <c r="A38" s="3290"/>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5" t="s">
        <v>1326</v>
      </c>
      <c r="B45" s="3266"/>
      <c r="C45" s="3267"/>
      <c r="D45" s="146">
        <f ca="1">ROUND(H101*F45,0)</f>
        <v>648</v>
      </c>
      <c r="E45" s="147" t="s">
        <v>1327</v>
      </c>
      <c r="F45" s="148">
        <v>1</v>
      </c>
      <c r="G45" s="149" t="s">
        <v>1328</v>
      </c>
      <c r="H45" s="120"/>
      <c r="I45" s="120"/>
      <c r="J45" s="3343" t="s">
        <v>1329</v>
      </c>
      <c r="K45" s="3343"/>
      <c r="L45" s="3343"/>
      <c r="M45" s="3343"/>
      <c r="N45" s="3343"/>
      <c r="O45" s="3343"/>
    </row>
    <row r="46" spans="1:15" ht="14.25" customHeight="1">
      <c r="A46" s="3262" t="s">
        <v>1330</v>
      </c>
      <c r="B46" s="3263"/>
      <c r="C46" s="3263"/>
      <c r="D46" s="3263"/>
      <c r="E46" s="3263"/>
      <c r="F46" s="3263"/>
      <c r="G46" s="3264"/>
      <c r="H46" s="1667"/>
      <c r="I46" s="150"/>
      <c r="J46" s="2308">
        <v>1</v>
      </c>
      <c r="K46" s="3324" t="s">
        <v>1331</v>
      </c>
      <c r="L46" s="3324"/>
      <c r="M46" s="3344"/>
      <c r="N46" s="3344"/>
      <c r="O46" s="3344"/>
    </row>
    <row r="47" spans="1:15" ht="12" customHeight="1">
      <c r="A47" s="151" t="s">
        <v>1332</v>
      </c>
      <c r="B47" s="152"/>
      <c r="C47" s="153"/>
      <c r="D47" s="1023" t="s">
        <v>1333</v>
      </c>
      <c r="E47" s="293" t="s">
        <v>1334</v>
      </c>
      <c r="F47" s="154" t="s">
        <v>1335</v>
      </c>
      <c r="G47" s="2331" t="s">
        <v>1336</v>
      </c>
      <c r="H47" s="2332"/>
      <c r="I47" s="150"/>
      <c r="J47" s="2308">
        <v>2</v>
      </c>
      <c r="K47" s="3324" t="s">
        <v>1337</v>
      </c>
      <c r="L47" s="3324"/>
      <c r="M47" s="3345">
        <f>'数据-取费表'!B2</f>
        <v>45877</v>
      </c>
      <c r="N47" s="3345"/>
      <c r="O47" s="3345"/>
    </row>
    <row r="48" spans="1:15" ht="26.4">
      <c r="A48" s="3293" t="s">
        <v>1338</v>
      </c>
      <c r="B48" s="3276"/>
      <c r="C48" s="3276"/>
      <c r="D48" s="11"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24" t="s">
        <v>1340</v>
      </c>
      <c r="L48" s="3324"/>
      <c r="M48" s="3346">
        <f ca="1">H101</f>
        <v>648</v>
      </c>
      <c r="N48" s="3346"/>
      <c r="O48" s="3346"/>
    </row>
    <row r="49" spans="1:35" ht="25.5" customHeight="1">
      <c r="A49" s="2151" t="s">
        <v>1341</v>
      </c>
      <c r="B49" s="3260" t="s">
        <v>1342</v>
      </c>
      <c r="C49" s="3260"/>
      <c r="D49" s="1477">
        <v>0</v>
      </c>
      <c r="E49" s="315" t="s">
        <v>1343</v>
      </c>
      <c r="F49" s="2232" t="s">
        <v>28</v>
      </c>
      <c r="G49" s="3330"/>
      <c r="H49" s="2133" t="s">
        <v>2134</v>
      </c>
      <c r="I49" s="2134"/>
      <c r="J49" s="2308">
        <v>4</v>
      </c>
      <c r="K49" s="3324" t="str">
        <f>IF(项目基本情况!E8="房地产抵押价值","房地产抵押价值","抵押担保权已注销时的房地产抵押价值")</f>
        <v>房地产抵押价值</v>
      </c>
      <c r="L49" s="3324"/>
      <c r="M49" s="3346">
        <f ca="1">IF(项目基本情况!E8="房地产抵押价值",H107,H109)</f>
        <v>648</v>
      </c>
      <c r="N49" s="3346"/>
      <c r="O49" s="3346"/>
    </row>
    <row r="50" spans="1:35" ht="25.5" customHeight="1">
      <c r="A50" s="2336"/>
      <c r="B50" s="3260" t="s">
        <v>1344</v>
      </c>
      <c r="C50" s="3260"/>
      <c r="D50" s="2188"/>
      <c r="E50" s="322"/>
      <c r="F50" s="2232"/>
      <c r="G50" s="3331"/>
      <c r="H50" s="2135" t="s">
        <v>2135</v>
      </c>
      <c r="I50" s="2134"/>
      <c r="J50" s="3343" t="s">
        <v>1345</v>
      </c>
      <c r="K50" s="3343"/>
      <c r="L50" s="3343"/>
      <c r="M50" s="3343"/>
      <c r="N50" s="3343"/>
      <c r="O50" s="3343"/>
    </row>
    <row r="51" spans="1:35" ht="20.399999999999999" customHeight="1">
      <c r="A51" s="2337"/>
      <c r="B51" s="3260" t="s">
        <v>1346</v>
      </c>
      <c r="C51" s="3260"/>
      <c r="D51" s="1023"/>
      <c r="E51" s="318"/>
      <c r="F51" s="2232"/>
      <c r="G51" s="3332"/>
      <c r="H51" s="2135" t="s">
        <v>2136</v>
      </c>
      <c r="I51" s="2134"/>
      <c r="J51" s="2309" t="s">
        <v>1347</v>
      </c>
      <c r="K51" s="3324" t="s">
        <v>1348</v>
      </c>
      <c r="L51" s="3324"/>
      <c r="M51" s="2309" t="s">
        <v>1349</v>
      </c>
      <c r="N51" s="2309" t="s">
        <v>1350</v>
      </c>
      <c r="O51" s="2309" t="s">
        <v>1351</v>
      </c>
    </row>
    <row r="52" spans="1:35" ht="24" customHeight="1">
      <c r="A52" s="2152" t="s">
        <v>1352</v>
      </c>
      <c r="B52" s="3260" t="s">
        <v>1353</v>
      </c>
      <c r="C52" s="3260"/>
      <c r="D52" s="1023">
        <f ca="1">ROUND(D45*'数据-取费表'!B41/(1+'数据-取费表'!C42),0)</f>
        <v>35</v>
      </c>
      <c r="E52" s="1255" t="s">
        <v>1354</v>
      </c>
      <c r="F52" s="2338">
        <f>'数据-取费表'!B41</f>
        <v>5.6000000000000001E-2</v>
      </c>
      <c r="G52" s="2339"/>
      <c r="H52" s="2329"/>
      <c r="I52" s="1668"/>
      <c r="J52" s="2308">
        <v>1</v>
      </c>
      <c r="K52" s="3325" t="s">
        <v>1355</v>
      </c>
      <c r="L52" s="3325"/>
      <c r="M52" s="2310" t="b">
        <f>D48</f>
        <v>0</v>
      </c>
      <c r="N52" s="2308" t="str">
        <f>E48</f>
        <v>销售额×税（费）率</v>
      </c>
      <c r="O52" s="2311">
        <f>F48</f>
        <v>5.6000000000000001E-2</v>
      </c>
    </row>
    <row r="53" spans="1:35" ht="12" customHeight="1">
      <c r="A53" s="2152" t="s">
        <v>1356</v>
      </c>
      <c r="B53" s="3286" t="s">
        <v>2282</v>
      </c>
      <c r="C53" s="3287"/>
      <c r="D53" s="1023">
        <f ca="1">ROUND(D45*'数据-取费表'!B41/(1+'数据-取费表'!C42),0)</f>
        <v>35</v>
      </c>
      <c r="E53" s="1255" t="s">
        <v>1354</v>
      </c>
      <c r="F53" s="2338">
        <f>'数据-取费表'!B41</f>
        <v>5.6000000000000001E-2</v>
      </c>
      <c r="G53" s="2339"/>
      <c r="H53" s="2329"/>
      <c r="I53" s="1668"/>
      <c r="J53" s="2308">
        <v>2</v>
      </c>
      <c r="K53" s="3325" t="s">
        <v>1357</v>
      </c>
      <c r="L53" s="3325"/>
      <c r="M53" s="2310">
        <f t="shared" ref="M53:O54" ca="1" si="0">D55</f>
        <v>0</v>
      </c>
      <c r="N53" s="2308" t="str">
        <f t="shared" si="0"/>
        <v>销售额×税（费）率</v>
      </c>
      <c r="O53" s="2311" t="str">
        <f t="shared" si="0"/>
        <v>免征</v>
      </c>
    </row>
    <row r="54" spans="1:35" ht="12" customHeight="1">
      <c r="A54" s="2152" t="s">
        <v>1358</v>
      </c>
      <c r="B54" s="3286" t="s">
        <v>2283</v>
      </c>
      <c r="C54" s="3287"/>
      <c r="D54" s="1023">
        <f ca="1">C68</f>
        <v>35</v>
      </c>
      <c r="E54" s="318" t="s">
        <v>1359</v>
      </c>
      <c r="F54" s="2338">
        <f>'数据-取费表'!B41</f>
        <v>5.6000000000000001E-2</v>
      </c>
      <c r="G54" s="2339"/>
      <c r="H54" s="2340"/>
      <c r="I54" s="1668"/>
      <c r="J54" s="2308">
        <v>3</v>
      </c>
      <c r="K54" s="3325" t="s">
        <v>1360</v>
      </c>
      <c r="L54" s="3325"/>
      <c r="M54" s="2310">
        <f t="shared" ca="1" si="0"/>
        <v>366</v>
      </c>
      <c r="N54" s="2308" t="str">
        <f t="shared" si="0"/>
        <v>增值额×税（费）率</v>
      </c>
      <c r="O54" s="2312" t="str">
        <f t="shared" si="0"/>
        <v>免征</v>
      </c>
    </row>
    <row r="55" spans="1:35" ht="24" customHeight="1">
      <c r="A55" s="3275" t="s">
        <v>1361</v>
      </c>
      <c r="B55" s="3276"/>
      <c r="C55" s="3276"/>
      <c r="D55" s="11">
        <f ca="1">IF(H55="个人住宅",0,ROUND(D45*I55,0))</f>
        <v>0</v>
      </c>
      <c r="E55" s="1255" t="s">
        <v>1362</v>
      </c>
      <c r="F55" s="2338" t="str">
        <f>IF(H55="正常",I55,"免征")</f>
        <v>免征</v>
      </c>
      <c r="G55" s="2339"/>
      <c r="H55" s="2335"/>
      <c r="I55" s="156">
        <f>'数据-取费表'!B49</f>
        <v>5.0000000000000001E-4</v>
      </c>
      <c r="J55" s="2308">
        <f>IF(H59="非个人房产","",4)</f>
        <v>4</v>
      </c>
      <c r="K55" s="3325" t="str">
        <f>IF(H59="非个人房产","——","个人所得税")</f>
        <v>个人所得税</v>
      </c>
      <c r="L55" s="3325"/>
      <c r="M55" s="2313">
        <f ca="1">D59</f>
        <v>6</v>
      </c>
      <c r="N55" s="1882" t="str">
        <f>E59</f>
        <v>差额计税</v>
      </c>
      <c r="O55" s="2314">
        <f>F59</f>
        <v>0.01</v>
      </c>
    </row>
    <row r="56" spans="1:35" ht="25.2">
      <c r="A56" s="3275" t="s">
        <v>1363</v>
      </c>
      <c r="B56" s="3276"/>
      <c r="C56" s="3276"/>
      <c r="D56" s="11">
        <f ca="1">IF(H56="个人住宅",D57,D58)</f>
        <v>366</v>
      </c>
      <c r="E56" s="1255" t="s">
        <v>1364</v>
      </c>
      <c r="F56" s="2338" t="str">
        <f>IF(H56="正常",F58,"免征")</f>
        <v>免征</v>
      </c>
      <c r="G56" s="2341" t="s">
        <v>1365</v>
      </c>
      <c r="H56" s="2342"/>
      <c r="I56" s="1669"/>
      <c r="J56" s="2308" t="str">
        <f>IF(项目基本情况!K6="上海银行",IF(J55="",4,J55+1),"")</f>
        <v/>
      </c>
      <c r="K56" s="3348" t="str">
        <f>IF(项目基本情况!K6="上海银行","其他处置费用","")</f>
        <v/>
      </c>
      <c r="L56" s="3349"/>
      <c r="M56" s="2310" t="str">
        <f>IF(项目基本情况!K6="上海银行",M69,"")</f>
        <v/>
      </c>
      <c r="N56" s="3348" t="str">
        <f>IF(项目基本情况!K6="上海银行","包含处置中涉及的律师、诉讼、拍卖、评估等费用","")</f>
        <v/>
      </c>
      <c r="O56" s="3351"/>
    </row>
    <row r="57" spans="1:35" ht="13.2">
      <c r="A57" s="2152" t="s">
        <v>1341</v>
      </c>
      <c r="B57" s="3286" t="s">
        <v>1366</v>
      </c>
      <c r="C57" s="3287"/>
      <c r="D57" s="1477">
        <v>0</v>
      </c>
      <c r="E57" s="315" t="s">
        <v>1343</v>
      </c>
      <c r="F57" s="293"/>
      <c r="G57" s="2339"/>
      <c r="H57" s="2343"/>
      <c r="I57" s="1669"/>
      <c r="J57" s="3325">
        <f>IF(AND(J55="",J56=""),4,IF(项目基本情况!K6="上海银行",结果表!J56+1,结果表!J55+1))</f>
        <v>5</v>
      </c>
      <c r="K57" s="3325" t="s">
        <v>1367</v>
      </c>
      <c r="L57" s="2315" t="s">
        <v>1368</v>
      </c>
      <c r="M57" s="2316"/>
      <c r="N57" s="2317">
        <f ca="1">SUMIF(M52:M56,"&lt;9e307")</f>
        <v>372</v>
      </c>
      <c r="O57" s="2318"/>
      <c r="P57" s="2462">
        <f ca="1">N57/M49</f>
        <v>0.57407407407407407</v>
      </c>
    </row>
    <row r="58" spans="1:35" ht="25.2">
      <c r="A58" s="2152" t="s">
        <v>1352</v>
      </c>
      <c r="B58" s="3286" t="s">
        <v>1369</v>
      </c>
      <c r="C58" s="3260"/>
      <c r="D58" s="11">
        <f ca="1">IF(H58="转让取得",C81,C97)</f>
        <v>366</v>
      </c>
      <c r="E58" s="1255" t="s">
        <v>1364</v>
      </c>
      <c r="F58" s="293" t="s">
        <v>28</v>
      </c>
      <c r="G58" s="2339"/>
      <c r="H58" s="2342"/>
      <c r="I58" s="1669"/>
      <c r="J58" s="3325"/>
      <c r="K58" s="3325"/>
      <c r="L58" s="2315" t="s">
        <v>1370</v>
      </c>
      <c r="M58" s="2319"/>
      <c r="N58" s="2320" t="str">
        <f ca="1">NUMBERSTRING(INT(N57*10000),2)&amp;"元整"</f>
        <v>叁佰柒拾贰万元整</v>
      </c>
      <c r="O58" s="2321"/>
    </row>
    <row r="59" spans="1:35" ht="24.6" thickBot="1">
      <c r="A59" s="3328" t="s">
        <v>1371</v>
      </c>
      <c r="B59" s="3329"/>
      <c r="C59" s="3329"/>
      <c r="D59" s="2344">
        <f ca="1">IF(H59="非个人房产","——",IF(H59="个人住宅（满五唯一有凭证）",0,IF(H59="个人其他（无凭证）",ROUND(D45*F59,0),ROUND(C67*F59,0))))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6">
        <f>J57+1</f>
        <v>6</v>
      </c>
      <c r="K59" s="3325" t="s">
        <v>1372</v>
      </c>
      <c r="L59" s="2308" t="s">
        <v>1368</v>
      </c>
      <c r="M59" s="2322"/>
      <c r="N59" s="2323">
        <f ca="1">M49-N57</f>
        <v>276</v>
      </c>
      <c r="O59" s="2324"/>
    </row>
    <row r="60" spans="1:35" ht="12" customHeight="1">
      <c r="A60" s="1670"/>
      <c r="B60" s="645"/>
      <c r="C60" s="645"/>
      <c r="D60" s="645"/>
      <c r="E60" s="1465"/>
      <c r="F60" s="1669"/>
      <c r="G60" s="1669"/>
      <c r="H60" s="150"/>
      <c r="I60" s="120"/>
      <c r="J60" s="3327"/>
      <c r="K60" s="3325"/>
      <c r="L60" s="2315" t="s">
        <v>1370</v>
      </c>
      <c r="M60" s="2319"/>
      <c r="N60" s="2320" t="str">
        <f ca="1">NUMBERSTRING(INT(N59*10000),2)&amp;"元整"</f>
        <v>贰佰柒拾陆万元整</v>
      </c>
      <c r="O60" s="2321"/>
    </row>
    <row r="61" spans="1:35" ht="13.8" thickBot="1">
      <c r="A61" s="3273" t="s">
        <v>1373</v>
      </c>
      <c r="B61" s="3273"/>
      <c r="C61" s="3273"/>
      <c r="D61" s="3273"/>
      <c r="E61" s="3273"/>
      <c r="F61" s="1669"/>
      <c r="G61" s="1669"/>
      <c r="H61" s="150"/>
      <c r="I61" s="120"/>
      <c r="J61" s="2308">
        <f>J59+1</f>
        <v>7</v>
      </c>
      <c r="K61" s="3325" t="s">
        <v>1374</v>
      </c>
      <c r="L61" s="3325"/>
      <c r="M61" s="2325"/>
      <c r="N61" s="2326">
        <f ca="1">ROUND(N59*10000/'数据-汇总表'!E3,0)</f>
        <v>14097</v>
      </c>
      <c r="O61" s="2327"/>
    </row>
    <row r="62" spans="1:35" ht="13.2">
      <c r="A62" s="3291" t="s">
        <v>1375</v>
      </c>
      <c r="B62" s="3292"/>
      <c r="C62" s="1864"/>
      <c r="D62" s="1864" t="s">
        <v>1376</v>
      </c>
      <c r="E62" s="157" t="s">
        <v>1377</v>
      </c>
      <c r="F62" s="1669"/>
      <c r="G62" s="1669"/>
      <c r="H62" s="150"/>
      <c r="I62" s="120"/>
    </row>
    <row r="63" spans="1:35" ht="13.2">
      <c r="A63" s="164" t="s">
        <v>330</v>
      </c>
      <c r="B63" s="158" t="s">
        <v>1378</v>
      </c>
      <c r="C63" s="2348">
        <f ca="1">ROUND((C64+C65)/(1+'数据-取费表'!C42),0)</f>
        <v>617</v>
      </c>
      <c r="D63" s="158"/>
      <c r="E63" s="159"/>
      <c r="F63" s="1669"/>
      <c r="G63" s="1669"/>
      <c r="H63" s="150"/>
      <c r="I63" s="120"/>
      <c r="J63" s="3350" t="s">
        <v>1379</v>
      </c>
      <c r="K63" s="1244" t="s">
        <v>1380</v>
      </c>
      <c r="L63" s="1244">
        <f ca="1">IF(M49&gt;10000,M49*0.5%,IF(AND(M49&gt;1000,M49&lt;=10000),M49*1%,IF(AND(M49&gt;100,M49&lt;=1000),M49*3%,IF(AND(M49&gt;10,M49&lt;=100),M49*5%,M49*8%))))</f>
        <v>19.439999999999998</v>
      </c>
      <c r="M63" s="293">
        <f ca="1">ROUND(L63,1)</f>
        <v>19.399999999999999</v>
      </c>
      <c r="N63" s="2328"/>
      <c r="Z63" s="1622"/>
      <c r="AI63" s="1560"/>
    </row>
    <row r="64" spans="1:35" ht="14.25" customHeight="1">
      <c r="A64" s="160" t="s">
        <v>325</v>
      </c>
      <c r="B64" s="161" t="s">
        <v>1381</v>
      </c>
      <c r="C64" s="2349">
        <f ca="1">D45</f>
        <v>648</v>
      </c>
      <c r="D64" s="161" t="s">
        <v>26</v>
      </c>
      <c r="E64" s="163"/>
      <c r="F64" s="1669"/>
      <c r="G64" s="1669"/>
      <c r="H64" s="150"/>
      <c r="I64" s="120"/>
      <c r="J64" s="3350"/>
      <c r="K64" s="1244" t="s">
        <v>1382</v>
      </c>
      <c r="L64" s="1244">
        <f ca="1">IF(M49&gt;2000,M49*0.5%,IF(AND(M49&gt;1000,M49&lt;=2000),M49*0.6%,IF(AND(M49&gt;500,M49&lt;=1000),M49*0.7%,IF(AND(M49&gt;200,M49&lt;=500),M49*0.8%,IF(AND(M49&gt;100,M49&lt;=200),M49*0.9%,IF(AND(M49&gt;50,M49&lt;=100),M49*1%,IF(AND(M49&gt;20,M49&lt;=50),M49*1.5%,IF(AND(M49&gt;10,M49&lt;=20),M49*2%,IF(AND(M49&gt;1,M49&lt;=10),M49*2.5%)))))))))</f>
        <v>4.5359999999999996</v>
      </c>
      <c r="M64" s="293">
        <f t="shared" ref="M64:M65" ca="1" si="1">ROUND(L64,1)</f>
        <v>4.5</v>
      </c>
      <c r="N64" s="2329" t="s">
        <v>1383</v>
      </c>
      <c r="Z64" s="1622"/>
      <c r="AI64" s="1560"/>
    </row>
    <row r="65" spans="1:35" ht="14.25" customHeight="1">
      <c r="A65" s="160" t="s">
        <v>326</v>
      </c>
      <c r="B65" s="161" t="s">
        <v>1384</v>
      </c>
      <c r="C65" s="2350"/>
      <c r="D65" s="161"/>
      <c r="E65" s="163"/>
      <c r="F65" s="1669"/>
      <c r="G65" s="1669"/>
      <c r="H65" s="150"/>
      <c r="I65" s="120"/>
      <c r="J65" s="3350"/>
      <c r="K65" s="1244" t="s">
        <v>1385</v>
      </c>
      <c r="L65" s="1244">
        <f ca="1">IF(M49&gt;1000,M49*0.1%,IF(AND(M49&gt;500,M49&lt;=1000),M49*0.5%,IF(AND(M49&gt;50,M49&lt;=500),M49*1%,IF(AND(M49&gt;1,M49&lt;=50),M49*1.5%))))</f>
        <v>3.24</v>
      </c>
      <c r="M65" s="293">
        <f t="shared" ca="1" si="1"/>
        <v>3.2</v>
      </c>
      <c r="N65" s="2329" t="s">
        <v>1383</v>
      </c>
      <c r="Z65" s="1622"/>
      <c r="AI65" s="1560"/>
    </row>
    <row r="66" spans="1:35" ht="14.25" customHeight="1">
      <c r="A66" s="164" t="s">
        <v>327</v>
      </c>
      <c r="B66" s="165" t="s">
        <v>1386</v>
      </c>
      <c r="C66" s="2351"/>
      <c r="D66" s="165" t="s">
        <v>26</v>
      </c>
      <c r="E66" s="1250" t="s">
        <v>671</v>
      </c>
      <c r="F66" s="1669"/>
      <c r="G66" s="1669"/>
      <c r="H66" s="150"/>
      <c r="I66" s="120"/>
      <c r="J66" s="3350"/>
      <c r="K66" s="1244" t="s">
        <v>1387</v>
      </c>
      <c r="L66" s="1244">
        <f ca="1">M49*0.5%</f>
        <v>3.24</v>
      </c>
      <c r="M66" s="293">
        <f ca="1">IF(L66&gt;0.5,0.5,ROUND(L66,0))</f>
        <v>0.5</v>
      </c>
      <c r="N66" s="2329" t="s">
        <v>1388</v>
      </c>
      <c r="Z66" s="1622"/>
      <c r="AI66" s="1560"/>
    </row>
    <row r="67" spans="1:35" ht="14.25" customHeight="1">
      <c r="A67" s="164" t="s">
        <v>328</v>
      </c>
      <c r="B67" s="165" t="s">
        <v>1389</v>
      </c>
      <c r="C67" s="2352">
        <f ca="1">C63-C66</f>
        <v>617</v>
      </c>
      <c r="D67" s="161" t="s">
        <v>26</v>
      </c>
      <c r="E67" s="163"/>
      <c r="F67" s="1669"/>
      <c r="G67" s="1669"/>
      <c r="H67" s="150"/>
      <c r="I67" s="120"/>
      <c r="J67" s="3350"/>
      <c r="K67" s="1244" t="s">
        <v>1390</v>
      </c>
      <c r="L67" s="1244">
        <f ca="1">IF(M49&gt;=10000,(8.25+(M49-10000)*0.01%),IF(AND(M49&gt;=8000,M49&lt;10000),(7.85+(M49-8000)*0.02%),IF(AND(M49&gt;=5000,M49&lt;8000),(6.65+(M49-5000)*0.04%),IF(AND(M49&gt;=2000,M49&lt;5000),(4.25+(PM49-2000)*0.08%),IF(AND(M49&gt;=1000,M49&lt;2000),(2.75+(M49-1000)*0.15%),IF(AND(M49&gt;=100,M49&lt;1000),(0.5+(M49-100)*0.25%),IF(AND(M49&gt;0,M49&lt;100),M49*0.5%)))))))</f>
        <v>1.87</v>
      </c>
      <c r="M67" s="293">
        <f ca="1">ROUND(L67*0.9,1)</f>
        <v>1.7</v>
      </c>
      <c r="N67" s="2328"/>
      <c r="Z67" s="1622"/>
      <c r="AI67" s="1560"/>
    </row>
    <row r="68" spans="1:35" ht="14.25" customHeight="1" thickBot="1">
      <c r="A68" s="167" t="s">
        <v>329</v>
      </c>
      <c r="B68" s="168" t="s">
        <v>1391</v>
      </c>
      <c r="C68" s="2353">
        <f ca="1">IF(C67&lt;=0,0,ROUND(C67*D68,0))</f>
        <v>35</v>
      </c>
      <c r="D68" s="2354">
        <f>'数据-取费表'!B41</f>
        <v>5.6000000000000001E-2</v>
      </c>
      <c r="E68" s="169"/>
      <c r="F68" s="1669"/>
      <c r="G68" s="1669"/>
      <c r="H68" s="150"/>
      <c r="I68" s="120"/>
      <c r="J68" s="3350"/>
      <c r="K68" s="1244" t="s">
        <v>1392</v>
      </c>
      <c r="L68" s="1244">
        <f ca="1">IF(M49&gt;10000,M49*0.5%,IF(AND(M49&gt;5000,M49&lt;=10000),M49*1%,IF(AND(M49&gt;1000,M49&lt;=5000),M49*2%,IF(AND(M49&gt;200,M49&lt;=1000),M49*3%,M49*5%))))</f>
        <v>19.439999999999998</v>
      </c>
      <c r="M68" s="293">
        <f ca="1">ROUND(L68,1)</f>
        <v>19.399999999999999</v>
      </c>
      <c r="N68" s="2328"/>
      <c r="Z68" s="1622"/>
      <c r="AI68" s="1560"/>
    </row>
    <row r="69" spans="1:35" ht="16.5" customHeight="1">
      <c r="A69" s="1671"/>
      <c r="B69" s="1672"/>
      <c r="C69" s="1673"/>
      <c r="D69" s="1674"/>
      <c r="E69" s="1675"/>
      <c r="F69" s="1465"/>
      <c r="G69" s="1465"/>
      <c r="H69" s="1466"/>
      <c r="I69" s="645"/>
      <c r="J69" s="3350"/>
      <c r="K69" s="1244" t="s">
        <v>1393</v>
      </c>
      <c r="L69" s="1244"/>
      <c r="M69" s="293">
        <f ca="1">ROUND(SUM(M63:M68),0)</f>
        <v>49</v>
      </c>
      <c r="N69" s="2330">
        <f ca="1">M69/M49</f>
        <v>7.5617283950617287E-2</v>
      </c>
      <c r="Z69" s="1622"/>
      <c r="AI69" s="1560"/>
    </row>
    <row r="70" spans="1:35" s="641" customFormat="1" ht="14.4" thickBot="1">
      <c r="A70" s="3312" t="s">
        <v>1394</v>
      </c>
      <c r="B70" s="3313"/>
      <c r="C70" s="3313"/>
      <c r="D70" s="3313"/>
      <c r="E70" s="3313"/>
      <c r="F70" s="3313"/>
      <c r="G70" s="3313"/>
      <c r="H70" s="331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1" t="s">
        <v>1375</v>
      </c>
      <c r="B71" s="329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617</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286" t="s">
        <v>1402</v>
      </c>
      <c r="F76" s="3260"/>
      <c r="G76" s="3260"/>
      <c r="H76" s="331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4</v>
      </c>
      <c r="D78" s="2361">
        <f>'数据-取费表'!B43</f>
        <v>6.000000000000001E-3</v>
      </c>
      <c r="E78" s="3270" t="s">
        <v>1406</v>
      </c>
      <c r="F78" s="3271"/>
      <c r="G78" s="3271"/>
      <c r="H78" s="328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613</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153.25</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366</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2" t="s">
        <v>1410</v>
      </c>
      <c r="B83" s="3313"/>
      <c r="C83" s="3313"/>
      <c r="D83" s="3313"/>
      <c r="E83" s="3313"/>
      <c r="F83" s="3313"/>
      <c r="G83" s="3313"/>
      <c r="H83" s="331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1" t="s">
        <v>1375</v>
      </c>
      <c r="B84" s="329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617</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4</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52" t="s">
        <v>2129</v>
      </c>
      <c r="H90" s="3353"/>
      <c r="I90" s="1680"/>
      <c r="J90" s="2306"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70" t="s">
        <v>1419</v>
      </c>
      <c r="F91" s="3271"/>
      <c r="G91" s="327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70" t="s">
        <v>1422</v>
      </c>
      <c r="F92" s="3271"/>
      <c r="G92" s="3271"/>
      <c r="H92" s="3280"/>
      <c r="I92" s="1680"/>
      <c r="J92" s="2307"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4</v>
      </c>
      <c r="D93" s="2361">
        <f>'数据-取费表'!B43</f>
        <v>6.000000000000001E-3</v>
      </c>
      <c r="E93" s="3270" t="s">
        <v>1406</v>
      </c>
      <c r="F93" s="3271"/>
      <c r="G93" s="3271"/>
      <c r="H93" s="328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281" t="s">
        <v>1426</v>
      </c>
      <c r="F94" s="3282"/>
      <c r="G94" s="3282"/>
      <c r="H94" s="328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613</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153.25</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366</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2" t="s">
        <v>1428</v>
      </c>
      <c r="B100" s="3253"/>
      <c r="C100" s="3253"/>
      <c r="D100" s="3272"/>
      <c r="E100" s="3253" t="s">
        <v>1429</v>
      </c>
      <c r="F100" s="3253"/>
      <c r="G100" s="3253"/>
      <c r="H100" s="3272"/>
      <c r="I100" s="120"/>
    </row>
    <row r="101" spans="1:35" ht="18.75" customHeight="1">
      <c r="A101" s="3333" t="s">
        <v>1430</v>
      </c>
      <c r="B101" s="3334"/>
      <c r="C101" s="2369" t="str">
        <f>C4</f>
        <v>成本法 (元)</v>
      </c>
      <c r="D101" s="2370" t="str">
        <f>D4</f>
        <v>收益法 (元)</v>
      </c>
      <c r="E101" s="3347" t="s">
        <v>1431</v>
      </c>
      <c r="F101" s="3304"/>
      <c r="G101" s="1686" t="s">
        <v>1432</v>
      </c>
      <c r="H101" s="2379">
        <f ca="1">H118</f>
        <v>648</v>
      </c>
      <c r="I101" s="120"/>
    </row>
    <row r="102" spans="1:35" ht="18.75" customHeight="1">
      <c r="A102" s="3306" t="s">
        <v>1433</v>
      </c>
      <c r="B102" s="2368" t="s">
        <v>1432</v>
      </c>
      <c r="C102" s="2369">
        <f ca="1">IF(D32="楼面单价",ROUND(C19,0),C19)</f>
        <v>726</v>
      </c>
      <c r="D102" s="2370">
        <f ca="1">IF(D32="楼面单价",ROUND(D19,0),D19)</f>
        <v>467</v>
      </c>
      <c r="E102" s="3347"/>
      <c r="F102" s="3304"/>
      <c r="G102" s="1686" t="s">
        <v>1434</v>
      </c>
      <c r="H102" s="2339">
        <f ca="1">I118</f>
        <v>33097</v>
      </c>
      <c r="I102" s="120"/>
    </row>
    <row r="103" spans="1:35" ht="42.75" customHeight="1">
      <c r="A103" s="3306"/>
      <c r="B103" s="2368" t="s">
        <v>1434</v>
      </c>
      <c r="C103" s="2371">
        <f ca="1">C20</f>
        <v>37070</v>
      </c>
      <c r="D103" s="2372">
        <f ca="1">D20</f>
        <v>23827</v>
      </c>
      <c r="E103" s="3341" t="s">
        <v>1435</v>
      </c>
      <c r="F103" s="3342"/>
      <c r="G103" s="1687" t="s">
        <v>1436</v>
      </c>
      <c r="H103" s="2379">
        <f>IF(D36="正常操作",H104+H105+H106,H105+H106)</f>
        <v>0</v>
      </c>
      <c r="I103" s="120"/>
    </row>
    <row r="104" spans="1:35" ht="18.75" customHeight="1">
      <c r="A104" s="3306" t="s">
        <v>1437</v>
      </c>
      <c r="B104" s="2373" t="s">
        <v>1432</v>
      </c>
      <c r="C104" s="2374">
        <f ca="1">H118</f>
        <v>648</v>
      </c>
      <c r="D104" s="2375"/>
      <c r="E104" s="1554" t="s">
        <v>1438</v>
      </c>
      <c r="F104" s="1547"/>
      <c r="G104" s="1687" t="s">
        <v>1436</v>
      </c>
      <c r="H104" s="2380">
        <f>IF(D36="同一抵押权人同一抵押物续贷",C36&amp;"（续贷，未扣减，详见特别提示）",C36)</f>
        <v>0</v>
      </c>
      <c r="I104" s="120"/>
    </row>
    <row r="105" spans="1:35" ht="18.75" customHeight="1" thickBot="1">
      <c r="A105" s="3307"/>
      <c r="B105" s="2376" t="s">
        <v>1434</v>
      </c>
      <c r="C105" s="2377">
        <f ca="1">I118</f>
        <v>33097</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03" t="str">
        <f>IF(项目基本情况!E8="已注销","——","3.房地产抵押价值")</f>
        <v>3.房地产抵押价值</v>
      </c>
      <c r="F107" s="3304"/>
      <c r="G107" s="1686" t="s">
        <v>1432</v>
      </c>
      <c r="H107" s="2379">
        <f ca="1">IF(E107="——","——",H101-H103)</f>
        <v>648</v>
      </c>
      <c r="I107" s="120"/>
    </row>
    <row r="108" spans="1:35" ht="18.75" customHeight="1">
      <c r="A108" s="120"/>
      <c r="B108" s="120"/>
      <c r="C108" s="120"/>
      <c r="D108" s="120"/>
      <c r="E108" s="3303"/>
      <c r="F108" s="3304"/>
      <c r="G108" s="1686" t="s">
        <v>1434</v>
      </c>
      <c r="H108" s="2339">
        <f ca="1">IF(H107=H101,H102,ROUND(H107*10000/'数据-汇总表'!E3,0))</f>
        <v>33097</v>
      </c>
      <c r="I108" s="120"/>
    </row>
    <row r="109" spans="1:35" ht="18.75" customHeight="1">
      <c r="A109" s="120"/>
      <c r="B109" s="120"/>
      <c r="C109" s="120"/>
      <c r="D109" s="120"/>
      <c r="E109" s="3303" t="str">
        <f>IF(项目基本情况!E8="已注销及未注销","4.抵押担保权已注销时的房地产抵押价值",IF(项目基本情况!E8="已注销","3.抵押担保权已注销时的房地产抵押价值","——"))</f>
        <v>——</v>
      </c>
      <c r="F109" s="3304"/>
      <c r="G109" s="1686" t="s">
        <v>1432</v>
      </c>
      <c r="H109" s="2382" t="str">
        <f>IF(E109="——","——",H101-H105-H106)</f>
        <v>——</v>
      </c>
      <c r="I109" s="120"/>
    </row>
    <row r="110" spans="1:35" ht="18.75" customHeight="1">
      <c r="A110" s="120"/>
      <c r="B110" s="120"/>
      <c r="C110" s="120"/>
      <c r="D110" s="120"/>
      <c r="E110" s="3303"/>
      <c r="F110" s="3304"/>
      <c r="G110" s="1686" t="s">
        <v>1434</v>
      </c>
      <c r="H110" s="2339" t="str">
        <f>IF(H109="——","——",ROUND(H109*10000/'数据-汇总表'!E3,0))</f>
        <v>——</v>
      </c>
      <c r="I110" s="120"/>
    </row>
    <row r="111" spans="1:35" ht="18.75" customHeight="1">
      <c r="A111" s="120"/>
      <c r="B111" s="120"/>
      <c r="C111" s="120"/>
      <c r="D111" s="120"/>
      <c r="E111" s="3335" t="str">
        <f>IF(项目基本情况!E9="抵押净值",IF(OR(项目基本情况!E8="已注销",项目基本情况!E8="房地产抵押价值"),"4.抵押净值","5.抵押净值"),"——")</f>
        <v>——</v>
      </c>
      <c r="F111" s="3305"/>
      <c r="G111" s="1686" t="s">
        <v>1432</v>
      </c>
      <c r="H111" s="2379" t="str">
        <f>IF(E111="——","——",N59)</f>
        <v>——</v>
      </c>
      <c r="I111" s="120"/>
    </row>
    <row r="112" spans="1:35" ht="18.75" customHeight="1" thickBot="1">
      <c r="A112" s="120"/>
      <c r="B112" s="120"/>
      <c r="C112" s="120"/>
      <c r="D112" s="120"/>
      <c r="E112" s="3336"/>
      <c r="F112" s="3337"/>
      <c r="G112" s="1689" t="s">
        <v>1434</v>
      </c>
      <c r="H112" s="2383" t="str">
        <f>IF(E111="——","——",N61)</f>
        <v>——</v>
      </c>
      <c r="I112" s="120"/>
    </row>
    <row r="113" spans="1:27" ht="18.75" customHeight="1">
      <c r="A113" s="120"/>
      <c r="B113" s="120"/>
      <c r="C113" s="120"/>
      <c r="D113" s="120"/>
      <c r="E113" s="3308" t="s">
        <v>1440</v>
      </c>
      <c r="F113" s="3308"/>
      <c r="G113" s="3308"/>
      <c r="H113" s="3308"/>
      <c r="I113" s="120"/>
    </row>
    <row r="114" spans="1:27" ht="3.75" customHeight="1">
      <c r="A114" s="645"/>
      <c r="B114" s="645"/>
      <c r="C114" s="645"/>
      <c r="D114" s="645"/>
      <c r="E114" s="1670"/>
      <c r="F114" s="1670"/>
      <c r="G114" s="1670"/>
      <c r="H114" s="1670"/>
      <c r="I114" s="645"/>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49" t="s">
        <v>1449</v>
      </c>
      <c r="E117" s="2149" t="s">
        <v>1450</v>
      </c>
      <c r="F117" s="2149" t="s">
        <v>1449</v>
      </c>
      <c r="G117" s="2149" t="s">
        <v>1451</v>
      </c>
      <c r="H117" s="2149" t="s">
        <v>1449</v>
      </c>
      <c r="I117" s="2149" t="s">
        <v>1451</v>
      </c>
    </row>
    <row r="118" spans="1:27" ht="24.75" customHeight="1">
      <c r="A118" s="2384" t="str">
        <f>项目基本情况!S2</f>
        <v>北京市朝阳区朝阳门外大街18号房地产</v>
      </c>
      <c r="B118" s="2149">
        <f>M18</f>
        <v>195.79</v>
      </c>
      <c r="C118" s="2149">
        <f>M19</f>
        <v>22.89</v>
      </c>
      <c r="D118" s="2149">
        <f ca="1">ROUND(IF(D32="总价",C34,E118*B118/10000),0)</f>
        <v>542</v>
      </c>
      <c r="E118" s="2149">
        <f ca="1">ROUND(IF(C33="自定义",IF(D32="楼面单价",C34,D118*10000/B118),I118-G118),0)</f>
        <v>27702</v>
      </c>
      <c r="F118" s="2149">
        <f ca="1">ROUND(IF(D32="总价",C35,G118*B118/10000),0)</f>
        <v>106</v>
      </c>
      <c r="G118" s="2149">
        <f ca="1">ROUND(IF(D32="楼面单价",C35,F118*10000/B118),0)</f>
        <v>5395</v>
      </c>
      <c r="H118" s="2149">
        <f ca="1">ROUND(IF(D32="总价",C32,I118*B118/10000),0)</f>
        <v>648</v>
      </c>
      <c r="I118" s="2149">
        <f ca="1">ROUND(IF(D32="楼面单价",C32,H118*10000/B118),0)</f>
        <v>33097</v>
      </c>
    </row>
    <row r="119" spans="1:27" ht="18.75" customHeight="1">
      <c r="A119" s="3274" t="s">
        <v>1452</v>
      </c>
      <c r="B119" s="3274"/>
      <c r="C119" s="3274"/>
      <c r="D119" s="3314" t="str">
        <f ca="1">NUMBERSTRING(INT(D118*10000),2)&amp;"元整"</f>
        <v>伍佰肆拾贰万元整</v>
      </c>
      <c r="E119" s="3316"/>
      <c r="F119" s="3314" t="str">
        <f ca="1">NUMBERSTRING(INT(F118*10000),2)&amp;"元整"</f>
        <v>壹佰零陆万元整</v>
      </c>
      <c r="G119" s="3316"/>
      <c r="H119" s="3314" t="str">
        <f ca="1">NUMBERSTRING(INT(H118*10000),2)&amp;"元整"</f>
        <v>陆佰肆拾捌万元整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4" t="s">
        <v>1452</v>
      </c>
      <c r="B121" s="3315"/>
      <c r="C121" s="3316"/>
      <c r="D121" s="3314" t="str">
        <f>IF(D120=0,"零元整",NUMBERSTRING(INT(D120*10000),2)&amp;"元整")</f>
        <v>零元整</v>
      </c>
      <c r="E121" s="3315"/>
      <c r="F121" s="3315"/>
      <c r="G121" s="3315"/>
      <c r="H121" s="3315"/>
      <c r="I121" s="3316"/>
      <c r="AA121" s="683"/>
    </row>
    <row r="122" spans="1:27" ht="18.75" customHeight="1">
      <c r="A122" s="3305" t="str">
        <f>IF(项目基本情况!B9="房地产市场价值","",MID(E107,3,LEN(E107)-2))</f>
        <v>房地产抵押价值</v>
      </c>
      <c r="B122" s="3305"/>
      <c r="C122" s="3305"/>
      <c r="D122" s="3338">
        <f ca="1">H107</f>
        <v>648</v>
      </c>
      <c r="E122" s="3339"/>
      <c r="F122" s="3339"/>
      <c r="G122" s="3339"/>
      <c r="H122" s="3339"/>
      <c r="I122" s="3340"/>
      <c r="AA122" s="683"/>
    </row>
    <row r="123" spans="1:27" ht="18.75" customHeight="1">
      <c r="A123" s="3274" t="s">
        <v>1452</v>
      </c>
      <c r="B123" s="3274"/>
      <c r="C123" s="3274"/>
      <c r="D123" s="3314" t="str">
        <f ca="1">NUMBERSTRING(INT(D122*10000),2)&amp;"元整"</f>
        <v>陆佰肆拾捌万元整</v>
      </c>
      <c r="E123" s="3315"/>
      <c r="F123" s="3315"/>
      <c r="G123" s="3315"/>
      <c r="H123" s="3315"/>
      <c r="I123" s="3316"/>
      <c r="AA123" s="683"/>
    </row>
    <row r="124" spans="1:27" ht="18.75" customHeight="1">
      <c r="A124" s="3305" t="str">
        <f>IF(项目基本情况!B9="房地产市场价值","",MID(E109,3,LEN(E109)-2))</f>
        <v/>
      </c>
      <c r="B124" s="3305"/>
      <c r="C124" s="3305"/>
      <c r="D124" s="3338" t="str">
        <f>H109</f>
        <v>——</v>
      </c>
      <c r="E124" s="3339"/>
      <c r="F124" s="3339"/>
      <c r="G124" s="3339"/>
      <c r="H124" s="3339"/>
      <c r="I124" s="3340"/>
      <c r="AA124" s="683"/>
    </row>
    <row r="125" spans="1:27" ht="18.75" customHeight="1">
      <c r="A125" s="3274" t="s">
        <v>1452</v>
      </c>
      <c r="B125" s="3274"/>
      <c r="C125" s="3274"/>
      <c r="D125" s="3314" t="e">
        <f>NUMBERSTRING(INT(D124*10000),2)&amp;"元整"</f>
        <v>#VALUE!</v>
      </c>
      <c r="E125" s="3315"/>
      <c r="F125" s="3315"/>
      <c r="G125" s="3315"/>
      <c r="H125" s="3315"/>
      <c r="I125" s="3316"/>
      <c r="AA125" s="683"/>
    </row>
    <row r="126" spans="1:27" ht="18.75" customHeight="1">
      <c r="A126" s="3305" t="str">
        <f>IF(项目基本情况!B9="房地产市场价值","",MID(E111,3,LEN(E111)-2))</f>
        <v/>
      </c>
      <c r="B126" s="3305"/>
      <c r="C126" s="3305"/>
      <c r="D126" s="3338" t="str">
        <f>H111</f>
        <v>——</v>
      </c>
      <c r="E126" s="3339"/>
      <c r="F126" s="3339"/>
      <c r="G126" s="3339"/>
      <c r="H126" s="3339"/>
      <c r="I126" s="3340"/>
      <c r="AA126" s="683"/>
    </row>
    <row r="127" spans="1:27" ht="18.75" customHeight="1">
      <c r="A127" s="3274" t="s">
        <v>1452</v>
      </c>
      <c r="B127" s="3274"/>
      <c r="C127" s="3274"/>
      <c r="D127" s="3314" t="e">
        <f>NUMBERSTRING(INT(D126*10000),2)&amp;"元整"</f>
        <v>#VALUE!</v>
      </c>
      <c r="E127" s="3315"/>
      <c r="F127" s="3315"/>
      <c r="G127" s="3315"/>
      <c r="H127" s="3315"/>
      <c r="I127" s="3316"/>
      <c r="AA127" s="683"/>
    </row>
    <row r="128" spans="1:27" ht="21.75" customHeight="1">
      <c r="A128" s="3321" t="s">
        <v>1453</v>
      </c>
      <c r="B128" s="3321"/>
      <c r="C128" s="3321"/>
      <c r="D128" s="3321"/>
      <c r="E128" s="3321"/>
      <c r="F128" s="3321"/>
      <c r="G128" s="3321"/>
      <c r="H128" s="3321"/>
      <c r="I128" s="332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130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6640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4</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c r="H9" s="1069"/>
      <c r="I9" s="1715" t="s">
        <v>1479</v>
      </c>
    </row>
    <row r="10" spans="1:9" s="205" customFormat="1" ht="13.5" customHeight="1">
      <c r="A10" s="732" t="s">
        <v>356</v>
      </c>
      <c r="B10" s="215" t="s">
        <v>1480</v>
      </c>
      <c r="C10" s="216">
        <f ca="1">ROUND(D10*E10/10000,0)</f>
        <v>4</v>
      </c>
      <c r="D10" s="794">
        <f ca="1">IF(B1="",'数据-汇总表'!E6,IF(INDIRECT("'数据-取费表'!c"&amp;$G$1)="住宅",INDIRECT("'数据-取费表'!s"&amp;$G$1),INDIRECT("'数据-取费表'!k"&amp;$G$1)+INDIRECT("'数据-取费表'!s"&amp;$G$1)))</f>
        <v>195.79</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4</v>
      </c>
      <c r="D19" s="203">
        <f ca="1">D9+D10</f>
        <v>195.79</v>
      </c>
      <c r="E19" s="202">
        <f>'数据-取费表'!B31</f>
        <v>200</v>
      </c>
      <c r="F19" s="222"/>
      <c r="G19" s="1713"/>
    </row>
    <row r="20" spans="1:7" s="205" customFormat="1" ht="13.5" customHeight="1">
      <c r="A20" s="246" t="s">
        <v>1493</v>
      </c>
      <c r="B20" s="201" t="s">
        <v>1494</v>
      </c>
      <c r="C20" s="223">
        <f ca="1">ROUND((C5+C19)*F20,0)</f>
        <v>0</v>
      </c>
      <c r="D20" s="223"/>
      <c r="E20" s="223"/>
      <c r="F20" s="224">
        <f>'数据-取费表'!B37</f>
        <v>0.03</v>
      </c>
      <c r="G20" s="225" t="s">
        <v>1495</v>
      </c>
    </row>
    <row r="21" spans="1:7" s="205" customFormat="1" ht="13.5" customHeight="1">
      <c r="A21" s="246" t="s">
        <v>1496</v>
      </c>
      <c r="B21" s="201" t="s">
        <v>1497</v>
      </c>
      <c r="C21" s="226">
        <f>F21</f>
        <v>2.5000000000000001E-2</v>
      </c>
      <c r="D21" s="227" t="s">
        <v>1498</v>
      </c>
      <c r="E21" s="223"/>
      <c r="F21" s="224">
        <f>'数据-取费表'!B38</f>
        <v>2.5000000000000001E-2</v>
      </c>
      <c r="G21" s="225" t="s">
        <v>1499</v>
      </c>
    </row>
    <row r="22" spans="1:7" s="205" customFormat="1" ht="13.5" customHeight="1">
      <c r="A22" s="246" t="s">
        <v>1500</v>
      </c>
      <c r="B22" s="201" t="s">
        <v>1501</v>
      </c>
      <c r="C22" s="1040">
        <f ca="1">ROUND(SUM(C23:C25),0)</f>
        <v>0</v>
      </c>
      <c r="D22" s="226">
        <f ca="1">C26</f>
        <v>1.1000000000000001E-3</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1.1000000000000001E-3</v>
      </c>
      <c r="D26" s="229"/>
      <c r="E26" s="232"/>
      <c r="F26" s="230"/>
      <c r="G26" s="234"/>
    </row>
    <row r="27" spans="1:7" s="205" customFormat="1" ht="26.4">
      <c r="A27" s="246" t="s">
        <v>1512</v>
      </c>
      <c r="B27" s="235" t="s">
        <v>1513</v>
      </c>
      <c r="C27" s="236">
        <f ca="1">C28</f>
        <v>2</v>
      </c>
      <c r="D27" s="226">
        <f ca="1">C29</f>
        <v>5.0000000000000001E-3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108</v>
      </c>
      <c r="D34" s="208"/>
      <c r="E34" s="211"/>
      <c r="F34" s="248">
        <f ca="1">IF('数据-取费表'!B24=0,1,IF(B1="",'数据-取费表'!N16,INDIRECT("'数据-取费表'!n"&amp;$G$1)))</f>
        <v>1</v>
      </c>
      <c r="G34" s="210" t="s">
        <v>1526</v>
      </c>
    </row>
    <row r="35" spans="1:7" ht="13.5" customHeight="1">
      <c r="A35" s="733" t="s">
        <v>351</v>
      </c>
      <c r="B35" s="206" t="s">
        <v>1527</v>
      </c>
      <c r="C35" s="211">
        <f ca="1">ROUND(C34*F35,0)</f>
        <v>9</v>
      </c>
      <c r="D35" s="211"/>
      <c r="E35" s="211"/>
      <c r="F35" s="250">
        <f>'数据-取费表'!B33</f>
        <v>0.08</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v>
      </c>
      <c r="D37" s="208">
        <f ca="1">D19</f>
        <v>195.79</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4</v>
      </c>
      <c r="D39" s="223"/>
      <c r="E39" s="223"/>
      <c r="F39" s="224">
        <f>F20</f>
        <v>0.03</v>
      </c>
      <c r="G39" s="225" t="s">
        <v>1536</v>
      </c>
    </row>
    <row r="40" spans="1:7" s="205" customFormat="1" ht="13.5" customHeight="1">
      <c r="A40" s="246" t="s">
        <v>1537</v>
      </c>
      <c r="B40" s="201" t="s">
        <v>1538</v>
      </c>
      <c r="C40" s="226">
        <f>F21</f>
        <v>2.5000000000000001E-2</v>
      </c>
      <c r="D40" s="227" t="s">
        <v>1539</v>
      </c>
      <c r="E40" s="223"/>
      <c r="F40" s="224">
        <f>F21</f>
        <v>2.5000000000000001E-2</v>
      </c>
      <c r="G40" s="225" t="s">
        <v>1540</v>
      </c>
    </row>
    <row r="41" spans="1:7" s="205" customFormat="1" ht="13.5" customHeight="1">
      <c r="A41" s="246" t="s">
        <v>1541</v>
      </c>
      <c r="B41" s="201" t="s">
        <v>1542</v>
      </c>
      <c r="C41" s="223">
        <f ca="1">ROUND(SUM(C42:C43),0)</f>
        <v>6</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6</v>
      </c>
      <c r="D42" s="229"/>
      <c r="E42" s="229"/>
      <c r="F42" s="230"/>
      <c r="G42" s="3354" t="s">
        <v>1544</v>
      </c>
    </row>
    <row r="43" spans="1:7" ht="13.5" customHeight="1">
      <c r="A43" s="733" t="s">
        <v>347</v>
      </c>
      <c r="B43" s="206" t="s">
        <v>1545</v>
      </c>
      <c r="C43" s="229">
        <f ca="1">ROUND(IF('数据-取费表'!B22&lt;=1,C39*F22*'数据-取费表'!B21/2,C39*(POWER((1+F22),'数据-取费表'!B21/2)-1)),0)</f>
        <v>0</v>
      </c>
      <c r="D43" s="229"/>
      <c r="E43" s="229"/>
      <c r="F43" s="230"/>
      <c r="G43" s="3355"/>
    </row>
    <row r="44" spans="1:7" ht="13.5" customHeight="1">
      <c r="A44" s="733" t="s">
        <v>348</v>
      </c>
      <c r="B44" s="206" t="s">
        <v>1546</v>
      </c>
      <c r="C44" s="229">
        <f ca="1">ROUND(IF('数据-取费表'!B22&lt;=1,C40*F22*'数据-取费表'!B21/2,C40*(POWER((1+F22),'数据-取费表'!B21/2)-1)),4)</f>
        <v>1.1000000000000001E-3</v>
      </c>
      <c r="D44" s="229"/>
      <c r="E44" s="229"/>
      <c r="F44" s="230"/>
      <c r="G44" s="3356"/>
    </row>
    <row r="45" spans="1:7" s="205" customFormat="1" ht="13.5" customHeight="1">
      <c r="A45" s="246" t="s">
        <v>1547</v>
      </c>
      <c r="B45" s="235" t="s">
        <v>1513</v>
      </c>
      <c r="C45" s="236">
        <f ca="1">C46</f>
        <v>25</v>
      </c>
      <c r="D45" s="226">
        <f ca="1">C47</f>
        <v>5.0000000000000001E-3</v>
      </c>
      <c r="E45" s="227" t="s">
        <v>1539</v>
      </c>
      <c r="F45" s="237">
        <f ca="1">F27</f>
        <v>0.2</v>
      </c>
      <c r="G45" s="238" t="s">
        <v>1548</v>
      </c>
    </row>
    <row r="46" spans="1:7" s="205" customFormat="1" ht="13.5" customHeight="1">
      <c r="A46" s="733" t="s">
        <v>346</v>
      </c>
      <c r="B46" s="239" t="s">
        <v>1549</v>
      </c>
      <c r="C46" s="240">
        <f ca="1">ROUND((C33+C39)*F27,0)</f>
        <v>25</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173</v>
      </c>
      <c r="D49" s="223"/>
      <c r="E49" s="223"/>
      <c r="F49" s="255"/>
      <c r="G49" s="225" t="s">
        <v>1554</v>
      </c>
    </row>
    <row r="50" spans="1:7" s="249" customFormat="1" ht="24">
      <c r="A50" s="246" t="s">
        <v>1555</v>
      </c>
      <c r="B50" s="201" t="s">
        <v>1556</v>
      </c>
      <c r="C50" s="223"/>
      <c r="D50" s="223"/>
      <c r="E50" s="223"/>
      <c r="F50" s="255">
        <f>IF('数据-取费表'!B24=0,'数据-取费表'!N16,1)</f>
        <v>0.69</v>
      </c>
      <c r="G50" s="238" t="s">
        <v>1557</v>
      </c>
    </row>
    <row r="51" spans="1:7" ht="16.5" customHeight="1">
      <c r="A51" s="246" t="s">
        <v>1558</v>
      </c>
      <c r="B51" s="201" t="s">
        <v>1559</v>
      </c>
      <c r="C51" s="223">
        <f ca="1">ROUND(C49*F50,0)</f>
        <v>119</v>
      </c>
      <c r="D51" s="223"/>
      <c r="E51" s="223"/>
      <c r="F51" s="255"/>
      <c r="G51" s="225" t="s">
        <v>1560</v>
      </c>
    </row>
    <row r="52" spans="1:7" s="199" customFormat="1" ht="16.8" thickBot="1">
      <c r="A52" s="256" t="s">
        <v>1561</v>
      </c>
      <c r="B52" s="257"/>
      <c r="C52" s="258">
        <f ca="1">C31+C51</f>
        <v>130</v>
      </c>
      <c r="D52" s="257"/>
      <c r="E52" s="257"/>
      <c r="F52" s="257"/>
      <c r="G52" s="259"/>
    </row>
    <row r="55" spans="1:7" ht="15">
      <c r="B55" s="261" t="s">
        <v>1562</v>
      </c>
      <c r="C55" s="262"/>
    </row>
    <row r="56" spans="1:7">
      <c r="B56" s="264" t="s">
        <v>802</v>
      </c>
      <c r="C56" s="266">
        <f ca="1">1-C57</f>
        <v>8.4999999999999964E-2</v>
      </c>
    </row>
    <row r="57" spans="1:7">
      <c r="B57" s="264" t="s">
        <v>803</v>
      </c>
      <c r="C57" s="265">
        <f ca="1">ROUND(C51/C52,3)</f>
        <v>0.91500000000000004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0" t="str">
        <f>项目基本情况!B1</f>
        <v>北京市朝阳区朝阳门外大街18号房地产抵押价值预评估</v>
      </c>
      <c r="C37" s="3170"/>
      <c r="D37" s="3170"/>
      <c r="E37" s="3170"/>
      <c r="F37" s="3170"/>
      <c r="G37" s="3170"/>
      <c r="H37" s="3170"/>
      <c r="I37" s="317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 sqref="G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195.79</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402</v>
      </c>
      <c r="C2" s="1845" t="s">
        <v>1935</v>
      </c>
      <c r="D2" s="161" t="s">
        <v>1936</v>
      </c>
      <c r="E2" s="3118" t="s">
        <v>21</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34808</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20532</v>
      </c>
      <c r="C3" s="1845" t="s">
        <v>1941</v>
      </c>
      <c r="D3" s="161" t="s">
        <v>1942</v>
      </c>
      <c r="E3" s="3116" t="s">
        <v>3405</v>
      </c>
      <c r="F3" s="1847" t="s">
        <v>3450</v>
      </c>
      <c r="G3" s="707">
        <f>IF(F3="宗地容积率",'数据-汇总表'!I4,IF(F3="估价对象容积率",'数据-汇总表'!I6,'数据-汇总表'!I7))</f>
        <v>8.73</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27634</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64"/>
      <c r="B4" s="3365"/>
      <c r="C4" s="3365"/>
      <c r="D4" s="3366"/>
      <c r="E4" s="3366"/>
      <c r="F4" s="3366"/>
      <c r="G4" s="3366"/>
      <c r="H4" s="3366"/>
      <c r="I4" s="3366"/>
      <c r="J4" s="336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23878</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33129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21607</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20593</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8.73</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361" t="s">
        <v>1960</v>
      </c>
      <c r="X8" s="336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363"/>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3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3229</v>
      </c>
      <c r="B12" s="3011" t="s">
        <v>3230</v>
      </c>
      <c r="C12" s="3012">
        <v>1.02</v>
      </c>
      <c r="D12" s="3013" t="s">
        <v>3231</v>
      </c>
      <c r="E12" s="3014" t="s">
        <v>3232</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3233</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6" t="s">
        <v>1988</v>
      </c>
      <c r="F14" s="3018" t="s">
        <v>3234</v>
      </c>
      <c r="G14" s="3018" t="s">
        <v>3234</v>
      </c>
      <c r="H14" s="3018" t="s">
        <v>3234</v>
      </c>
      <c r="I14" s="3018" t="s">
        <v>3234</v>
      </c>
      <c r="J14" s="3018" t="s">
        <v>3234</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3235</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8.6999999999999993</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3239</v>
      </c>
      <c r="E18" s="2355"/>
      <c r="F18" s="3028" t="s">
        <v>3242</v>
      </c>
      <c r="G18" s="3032">
        <f>ROUND(1-(1/(POWER(1+G24,E18))),4)</f>
        <v>0</v>
      </c>
      <c r="H18" s="3028" t="s">
        <v>3244</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3240</v>
      </c>
      <c r="E19" s="3041"/>
      <c r="F19" s="3042" t="s">
        <v>3243</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368" t="s">
        <v>3245</v>
      </c>
      <c r="B20" s="158" t="s">
        <v>1994</v>
      </c>
      <c r="C20" s="3029">
        <f>ROUND(IF(F21="与级别开发程度一致",0,(G21-E21)/C21),0)</f>
        <v>-31</v>
      </c>
      <c r="D20" s="3044" t="s">
        <v>1998</v>
      </c>
      <c r="E20" s="3045"/>
      <c r="F20" s="3374" t="s">
        <v>1995</v>
      </c>
      <c r="G20" s="3375"/>
      <c r="H20" s="3030" t="s">
        <v>3430</v>
      </c>
      <c r="I20" s="3030" t="s">
        <v>3431</v>
      </c>
      <c r="J20" s="3031" t="s">
        <v>3432</v>
      </c>
      <c r="K20" s="1888" t="s">
        <v>3433</v>
      </c>
      <c r="L20" s="1888" t="s">
        <v>3434</v>
      </c>
      <c r="M20" s="1888" t="s">
        <v>3435</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69"/>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3429</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SUMIF(修正!C20:C53,E3,修正!E20:E53)</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5" t="s">
        <v>2002</v>
      </c>
      <c r="E23" s="716">
        <v>44197</v>
      </c>
      <c r="F23" s="1895" t="s">
        <v>2003</v>
      </c>
      <c r="G23" s="717">
        <f>'数据-取费表'!B2</f>
        <v>45877</v>
      </c>
      <c r="H23" s="3046" t="s">
        <v>3247</v>
      </c>
      <c r="I23" s="3047" t="str">
        <f>IF(H23="季度增幅（自定义）",SUMIF(N25:N28,E2,O25:O28),"")</f>
        <v/>
      </c>
      <c r="J23" s="3139" t="s">
        <v>3246</v>
      </c>
      <c r="K23" s="1060"/>
      <c r="L23" s="1896" t="s">
        <v>2004</v>
      </c>
      <c r="M23" s="1240">
        <f>ROUND(SUMIF(地价!B2:G2,E2,地价!B16:G16),0)</f>
        <v>350</v>
      </c>
      <c r="N23" s="1897" t="s">
        <v>2005</v>
      </c>
      <c r="O23" s="718">
        <f>ROUNDDOWN(DATEDIF(E23,G23,"M")/3,0)</f>
        <v>18</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0.67479999999999996</v>
      </c>
      <c r="D24" s="1901" t="s">
        <v>2007</v>
      </c>
      <c r="E24" s="1247">
        <f>存贷款利率!E28/100</f>
        <v>4.3499999999999997E-2</v>
      </c>
      <c r="F24" s="1901" t="s">
        <v>1999</v>
      </c>
      <c r="G24" s="723">
        <f>SUMIF(M30:Q30,E2,M33:Q33)</f>
        <v>5.5E-2</v>
      </c>
      <c r="H24" s="1901" t="s">
        <v>2008</v>
      </c>
      <c r="I24" s="724">
        <f>SUMIF('数据-取费表'!C6:C15,E2,'数据-取费表'!F6:F15)/COUNTIF('数据-取费表'!C6:C15,E2)</f>
        <v>18.489999999999998</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3326</v>
      </c>
      <c r="C25" s="460">
        <f>IF(B25="容积率修正",IF(G3&lt;10,D26,J26),C27)</f>
        <v>0.89700000000000002</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3248</v>
      </c>
      <c r="D26" s="1262">
        <f>IF(E26=G26,F26,IF(G3&lt;10,ROUND(F26+(H26-F26)*(G3-E26)/(G26-E26),4),"——"))</f>
        <v>0.89700000000000002</v>
      </c>
      <c r="E26" s="707">
        <f>ROUNDDOWN(G3,1)</f>
        <v>8.6999999999999993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7">
        <f>ROUNDUP(G3,1)</f>
        <v>8.7999999999999989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1" t="s">
        <v>3249</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1.0439000000000001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402</v>
      </c>
      <c r="D30" s="1924"/>
      <c r="E30" s="1841"/>
      <c r="F30" s="1925"/>
      <c r="G30" s="1841"/>
      <c r="H30" s="1841"/>
      <c r="I30" s="1841"/>
      <c r="J30" s="1926"/>
      <c r="K30" s="1055"/>
      <c r="L30" s="3053" t="s">
        <v>1936</v>
      </c>
      <c r="M30" s="3054" t="s">
        <v>1990</v>
      </c>
      <c r="N30" s="3054" t="s">
        <v>1991</v>
      </c>
      <c r="O30" s="3054" t="s">
        <v>1992</v>
      </c>
      <c r="P30" s="3054" t="s">
        <v>1993</v>
      </c>
      <c r="Q30" s="3057"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20533</v>
      </c>
      <c r="D33" s="1939">
        <f>'数据-汇总表'!F19</f>
        <v>195.79</v>
      </c>
      <c r="E33" s="726">
        <f>ROUND(C33*D33/10000,0)</f>
        <v>402</v>
      </c>
      <c r="F33" s="3048" t="s">
        <v>3251</v>
      </c>
      <c r="G33" s="1940"/>
      <c r="H33" s="1940"/>
      <c r="I33" s="1940"/>
      <c r="J33" s="1941"/>
      <c r="K33" s="1055"/>
      <c r="L33" s="3051" t="s">
        <v>3254</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5133</v>
      </c>
      <c r="D34" s="1944"/>
      <c r="E34" s="726">
        <f>ROUND(IF(B25="楼层修正",SUM(V2:V16)*M40,C34*D34/10000),0)</f>
        <v>0</v>
      </c>
      <c r="F34" s="1945" t="s">
        <v>2032</v>
      </c>
      <c r="G34" s="1946"/>
      <c r="H34" s="1946"/>
      <c r="I34" s="1946"/>
      <c r="J34" s="1947"/>
      <c r="K34" s="1055"/>
      <c r="L34" s="3051" t="s">
        <v>3255</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3252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3256</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2"/>
      <c r="B37" s="1954" t="s">
        <v>2036</v>
      </c>
      <c r="C37" s="166">
        <f>ROUND(D5*C22*C23*C24*C28*F37,0)</f>
        <v>15709</v>
      </c>
      <c r="D37" s="1939"/>
      <c r="E37" s="162">
        <f>ROUND(C37*D37/10000,0)</f>
        <v>0</v>
      </c>
      <c r="F37" s="162">
        <f>SUMIF(修正!A59:A70,G2,修正!B59:B70)</f>
        <v>0.7</v>
      </c>
      <c r="G37" s="162">
        <f>ROUND(IF(E2="工业",C37*$M$42,C37*$M$41),0)</f>
        <v>3927</v>
      </c>
      <c r="H37" s="162">
        <f>D37</f>
        <v>0</v>
      </c>
      <c r="I37" s="162">
        <f>ROUND(G37*H37/10000,0)</f>
        <v>0</v>
      </c>
      <c r="J37" s="2752"/>
      <c r="K37" s="3059" t="s">
        <v>3257</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3"/>
      <c r="B38" s="1883" t="s">
        <v>2037</v>
      </c>
      <c r="C38" s="166">
        <f>ROUND(D5*C22*C23*C24*C28*F38,0)</f>
        <v>8977</v>
      </c>
      <c r="D38" s="1939"/>
      <c r="E38" s="162">
        <f t="shared" ref="E38:E42" si="4">ROUND(C38*D38/10000,0)</f>
        <v>0</v>
      </c>
      <c r="F38" s="162">
        <f>SUMIF(修正!A59:A70,G2,修正!C59:C70)</f>
        <v>0.4</v>
      </c>
      <c r="G38" s="162">
        <f>ROUND(IF(E2="工业",C38*$M$42,C38*$M$41),0)</f>
        <v>2244</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3"/>
      <c r="B39" s="1883" t="s">
        <v>3250</v>
      </c>
      <c r="C39" s="166">
        <f>ROUND(D5*C22*C23*C24*C28*F39,0)</f>
        <v>6733</v>
      </c>
      <c r="D39" s="1939"/>
      <c r="E39" s="162">
        <f t="shared" si="4"/>
        <v>0</v>
      </c>
      <c r="F39" s="162">
        <f>SUMIF(修正!A59:A70,G2,修正!D59:D70)</f>
        <v>0.3</v>
      </c>
      <c r="G39" s="162">
        <f>ROUND(IF(E2="工业",C39*$M$42,C39*$M$41),0)</f>
        <v>1683</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6733</v>
      </c>
      <c r="D40" s="1939"/>
      <c r="E40" s="162">
        <f t="shared" si="4"/>
        <v>0</v>
      </c>
      <c r="F40" s="166">
        <f>SUMIF(修正!A59:A70,G2,修正!E59:E70)</f>
        <v>0.3</v>
      </c>
      <c r="G40" s="162">
        <f>ROUND(IF(E2="工业",C40*$M$42,C40*$M$41),0)</f>
        <v>1683</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SUMIF(修正!A59:A70,G2,修正!F59:F70)</f>
        <v>0.3</v>
      </c>
      <c r="G41" s="162">
        <f>ROUND(IF(E2="工业",C41*$M$42,C41*$M$41),0)</f>
        <v>0</v>
      </c>
      <c r="H41" s="162">
        <f t="shared" si="5"/>
        <v>0</v>
      </c>
      <c r="I41" s="162">
        <f t="shared" si="6"/>
        <v>0</v>
      </c>
      <c r="J41" s="938"/>
      <c r="L41" s="3060" t="s">
        <v>3258</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SUMIF(修正!A59:A70,G2,修正!G59:G70)</f>
        <v>0.2</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9" t="s">
        <v>2053</v>
      </c>
      <c r="B51" s="1261" t="str">
        <f>估价对象房地状况!C18</f>
        <v>周边有75、110、420路及地铁2号、6号线，周边道路密集，停车便捷程度，综合评价交通便捷度较好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68" t="s">
        <v>3260</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6.4" hidden="1">
      <c r="A54" s="1969" t="s">
        <v>2056</v>
      </c>
      <c r="B54" s="1261" t="str">
        <f>估价对象房地状况!C24</f>
        <v>城市主干道——朝阳门外大街</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52.8" hidden="1">
      <c r="A56" s="1975" t="s">
        <v>2059</v>
      </c>
      <c r="B56" s="1239" t="str">
        <f>估价对象房地状况!C21</f>
        <v>估价对象所在区域银行、购物场所、学校等公共配套设施齐备，综合评价公共配套设施水平较好</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5" t="s">
        <v>2060</v>
      </c>
      <c r="B57" s="1261" t="str">
        <f>估价对象房地状况!C22</f>
        <v>估价对象所在区域基础设施水平“七通一平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66.599999999999994" hidden="1" thickBot="1">
      <c r="A58" s="1976" t="s">
        <v>2061</v>
      </c>
      <c r="B58" s="1977" t="str">
        <f>估价对象房地状况!C20</f>
        <v>区域内有东城职业大学、日坛公园、富国海底世界等自然及人文环境，综合评价自然及人文环境状况较好。</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1.0439000000000001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66">
      <c r="A61" s="1969" t="s">
        <v>2064</v>
      </c>
      <c r="B61" s="1972" t="str">
        <f>估价对象房地状况!C17</f>
        <v>估价对象位于朝阳门商圈，周边办公楼项目较多，有联合大厦、华普国际大厦等写字楼，入驻率高，办公集聚程度较好</v>
      </c>
      <c r="C61" s="1886" t="s">
        <v>3436</v>
      </c>
      <c r="D61" s="1001">
        <f t="shared" ref="D61:D69" si="12">SUMIF($J$60:$N$60,C61,J61:N61)</f>
        <v>1.0200000000000001E-2</v>
      </c>
      <c r="E61" s="701">
        <f>ROUND(SUM(D61:D69),4)</f>
        <v>4.3900000000000002E-2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周边有75、110、420路及地铁2号、6号线，周边道路密集，停车便捷程度，综合评价交通便捷度较好</v>
      </c>
      <c r="C62" s="1886" t="s">
        <v>3436</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3260</v>
      </c>
      <c r="B63" s="1261">
        <f>估价对象房地状况!C19</f>
        <v>0</v>
      </c>
      <c r="C63" s="1886" t="s">
        <v>3436</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3436</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城市主干道——朝阳门外大街</v>
      </c>
      <c r="C65" s="1886" t="s">
        <v>3436</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3436</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52.8">
      <c r="A67" s="1969" t="s">
        <v>2059</v>
      </c>
      <c r="B67" s="1239" t="str">
        <f>估价对象房地状况!C21</f>
        <v>估价对象所在区域银行、购物场所、学校等公共配套设施齐备，综合评价公共配套设施水平较好</v>
      </c>
      <c r="C67" s="1886" t="s">
        <v>3436</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3437</v>
      </c>
      <c r="D68" s="1001">
        <f t="shared" si="12"/>
        <v>7.1999999999999998E-3</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66.599999999999994" thickBot="1">
      <c r="A69" s="1976" t="s">
        <v>2061</v>
      </c>
      <c r="B69" s="1978" t="str">
        <f>估价对象房地状况!C20</f>
        <v>区域内有东城职业大学、日坛公园、富国海底世界等自然及人文环境，综合评价自然及人文环境状况较好。</v>
      </c>
      <c r="C69" s="1886" t="s">
        <v>3436</v>
      </c>
      <c r="D69" s="1001">
        <f t="shared" si="12"/>
        <v>2.5999999999999999E-3</v>
      </c>
      <c r="E69" s="703"/>
      <c r="F69" s="1674"/>
      <c r="G69" s="999">
        <v>2.5999999999999999E-3</v>
      </c>
      <c r="H69" s="1002">
        <f t="shared" si="13"/>
        <v>2.8E-3</v>
      </c>
      <c r="I69" s="3067">
        <v>7.0000000000000007E-2</v>
      </c>
      <c r="J69" s="1000">
        <f t="shared" si="14"/>
        <v>5.1999999999999998E-3</v>
      </c>
      <c r="K69" s="1000">
        <f t="shared" si="15"/>
        <v>2.5999999999999999E-3</v>
      </c>
      <c r="L69" s="1000">
        <v>0</v>
      </c>
      <c r="M69" s="1000">
        <f t="shared" si="16"/>
        <v>-2.5999999999999999E-3</v>
      </c>
      <c r="N69" s="1000">
        <f t="shared" si="16"/>
        <v>-5.1999999999999998E-3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周边有75、110、420路及地铁2号、6号线，周边道路密集，停车便捷程度，综合评价交通便捷度较好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3260</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城市主干道——朝阳门外大街</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52.8">
      <c r="A76" s="1969" t="s">
        <v>2059</v>
      </c>
      <c r="B76" s="1239" t="str">
        <f>估价对象房地状况!C21</f>
        <v>估价对象所在区域银行、购物场所、学校等公共配套设施齐备，综合评价公共配套设施水平较好</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66">
      <c r="A79" s="1969" t="s">
        <v>2061</v>
      </c>
      <c r="B79" s="1972" t="str">
        <f>估价对象房地状况!C20</f>
        <v>区域内有东城职业大学、日坛公园、富国海底世界等自然及人文环境，综合评价自然及人文环境状况较好。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3261</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2603</v>
      </c>
      <c r="B91" s="3077">
        <f>1+E93</f>
        <v>1</v>
      </c>
      <c r="C91" s="3070"/>
      <c r="D91" s="3071"/>
      <c r="E91" s="1674"/>
      <c r="F91" s="1674"/>
      <c r="G91" s="3072"/>
      <c r="H91" s="3073"/>
      <c r="I91" s="3074"/>
      <c r="J91" s="3075"/>
      <c r="K91" s="3075"/>
      <c r="L91" s="3075"/>
      <c r="M91" s="3075"/>
      <c r="N91" s="3075"/>
    </row>
    <row r="92" spans="1:37" ht="25.2">
      <c r="A92" s="3078" t="s">
        <v>3262</v>
      </c>
      <c r="B92" s="2308"/>
      <c r="C92" s="2308" t="s">
        <v>3271</v>
      </c>
      <c r="D92" s="2308" t="s">
        <v>3272</v>
      </c>
      <c r="E92" s="3050" t="s">
        <v>3273</v>
      </c>
      <c r="F92" s="3080" t="s">
        <v>3274</v>
      </c>
      <c r="G92" s="2308" t="s">
        <v>3275</v>
      </c>
      <c r="H92" s="3087" t="s">
        <v>3278</v>
      </c>
      <c r="I92" s="2308" t="s">
        <v>3279</v>
      </c>
      <c r="J92" s="2149" t="s">
        <v>3280</v>
      </c>
      <c r="K92" s="2149" t="s">
        <v>3281</v>
      </c>
      <c r="L92" s="2149" t="s">
        <v>3282</v>
      </c>
      <c r="M92" s="2149" t="s">
        <v>3283</v>
      </c>
      <c r="N92" s="2149" t="s">
        <v>3284</v>
      </c>
    </row>
    <row r="93" spans="1:37" ht="24">
      <c r="A93" s="3068" t="s">
        <v>3263</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3264</v>
      </c>
      <c r="B94" s="3069" t="str">
        <f>估价对象房地状况!C18</f>
        <v>周边有75、110、420路及地铁2号、6号线，周边道路密集，停车便捷程度，综合评价交通便捷度较好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3260</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3265</v>
      </c>
      <c r="B96" s="3084" t="s">
        <v>3276</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6.4">
      <c r="A97" s="3078" t="s">
        <v>3266</v>
      </c>
      <c r="B97" s="3069" t="str">
        <f>估价对象房地状况!C24</f>
        <v>城市主干道——朝阳门外大街</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3267</v>
      </c>
      <c r="B98" s="3085" t="s">
        <v>3277</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52.8">
      <c r="A99" s="3078" t="s">
        <v>3268</v>
      </c>
      <c r="B99" s="3069" t="str">
        <f>估价对象房地状况!C21</f>
        <v>估价对象所在区域银行、购物场所、学校等公共配套设施齐备，综合评价公共配套设施水平较好</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3269</v>
      </c>
      <c r="B100" s="3069" t="str">
        <f>估价对象房地状况!C22</f>
        <v>估价对象所在区域基础设施水平“七通一平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66.599999999999994" thickBot="1">
      <c r="A101" s="3079" t="s">
        <v>3270</v>
      </c>
      <c r="B101" s="3086" t="str">
        <f>估价对象房地状况!C20</f>
        <v>区域内有东城职业大学、日坛公园、富国海底世界等自然及人文环境，综合评价自然及人文环境状况较好。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370" t="s">
        <v>3285</v>
      </c>
      <c r="B103" s="3370"/>
      <c r="C103" s="3370"/>
      <c r="D103" s="3370"/>
      <c r="E103" s="3370"/>
      <c r="F103" s="3370"/>
      <c r="G103" s="3370"/>
      <c r="H103" s="3370"/>
      <c r="I103" s="3370"/>
      <c r="J103" s="3370"/>
      <c r="K103" s="1666"/>
      <c r="L103" s="1666"/>
      <c r="M103" s="1666"/>
      <c r="N103" s="1666"/>
    </row>
    <row r="104" spans="1:14">
      <c r="A104" s="3371" t="s">
        <v>3286</v>
      </c>
      <c r="B104" s="3371" t="s">
        <v>3287</v>
      </c>
      <c r="C104" s="3088" t="s">
        <v>3288</v>
      </c>
      <c r="D104" s="3089"/>
      <c r="E104" s="3089"/>
      <c r="F104" s="3089"/>
      <c r="G104" s="3089"/>
      <c r="H104" s="3089"/>
      <c r="I104" s="3089"/>
      <c r="J104" s="3090"/>
      <c r="K104" s="3091"/>
      <c r="L104" s="3091"/>
      <c r="M104" s="3091"/>
      <c r="N104" s="3091"/>
    </row>
    <row r="105" spans="1:14">
      <c r="A105" s="3371"/>
      <c r="B105" s="3371"/>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57"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8"/>
      <c r="B111" s="3092" t="s">
        <v>3259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5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60" t="s">
        <v>3302</v>
      </c>
      <c r="B113" s="3360"/>
      <c r="C113" s="3360"/>
      <c r="D113" s="3360"/>
      <c r="E113" s="3360"/>
      <c r="F113" s="3360"/>
      <c r="G113" s="3360"/>
      <c r="H113" s="3360"/>
      <c r="I113" s="3360"/>
      <c r="J113" s="3360"/>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3303</v>
      </c>
      <c r="B116" s="3112">
        <f>G3</f>
        <v>8.73</v>
      </c>
      <c r="C116" s="3097" t="s">
        <v>3304</v>
      </c>
      <c r="D116" s="3098">
        <f>SUMPRODUCT((A118:A122=F116)*(B117:M117=H116)*B118:M122)</f>
        <v>0.8952</v>
      </c>
      <c r="E116" s="161" t="s">
        <v>3305</v>
      </c>
      <c r="F116" s="3099" t="str">
        <f>E2</f>
        <v>办公</v>
      </c>
      <c r="G116" s="161" t="s">
        <v>3306</v>
      </c>
      <c r="H116" s="3099" t="str">
        <f>G2</f>
        <v>一级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3320</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3321</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3322</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2603</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85" zoomScaleNormal="70" zoomScaleSheetLayoutView="85" workbookViewId="0">
      <selection activeCell="C52" sqref="C52"/>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0">
        <f ca="1">ROUND(IF(D2="——",C52/10000,C52/10000-E2),4)</f>
        <v>725.79390000000001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37070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4181929</v>
      </c>
      <c r="D5" s="202" t="s">
        <v>1469</v>
      </c>
      <c r="E5" s="203" t="s">
        <v>1470</v>
      </c>
      <c r="F5" s="203" t="s">
        <v>1471</v>
      </c>
      <c r="G5" s="204"/>
    </row>
    <row r="6" spans="1:8" s="205" customFormat="1" ht="13.5" customHeight="1">
      <c r="A6" s="731" t="s">
        <v>1472</v>
      </c>
      <c r="B6" s="206" t="s">
        <v>1473</v>
      </c>
      <c r="C6" s="207">
        <f>ROUND(基准地价修正!D33*基准地价修正!C33,0)</f>
        <v>4020156</v>
      </c>
      <c r="D6" s="208"/>
      <c r="E6" s="209"/>
      <c r="F6" s="209"/>
      <c r="G6" s="210"/>
    </row>
    <row r="7" spans="1:8" s="205" customFormat="1" ht="13.5" customHeight="1">
      <c r="A7" s="731" t="s">
        <v>1474</v>
      </c>
      <c r="B7" s="206" t="s">
        <v>1475</v>
      </c>
      <c r="C7" s="211">
        <f>ROUND(C6*F7,0)</f>
        <v>122615</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39158</v>
      </c>
      <c r="D8" s="213"/>
      <c r="E8" s="211"/>
      <c r="F8" s="212"/>
      <c r="G8" s="1713" t="s">
        <v>3438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39158</v>
      </c>
      <c r="D10" s="794">
        <f ca="1">IF(B1="",'数据-汇总表'!E6,IF(INDIRECT("'数据-取费表'!c"&amp;$G$1)="住宅",INDIRECT("'数据-取费表'!s"&amp;$G$1),INDIRECT("'数据-取费表'!k"&amp;$G$1)+INDIRECT("'数据-取费表'!s"&amp;$G$1)))</f>
        <v>195.79</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195.79</v>
      </c>
      <c r="E19" s="202">
        <f>'数据-取费表'!B31</f>
        <v>200</v>
      </c>
      <c r="F19" s="222"/>
      <c r="G19" s="1713" t="s">
        <v>3439</v>
      </c>
    </row>
    <row r="20" spans="1:7" s="205" customFormat="1" ht="13.5" customHeight="1">
      <c r="A20" s="246" t="s">
        <v>1574</v>
      </c>
      <c r="B20" s="201" t="s">
        <v>1575</v>
      </c>
      <c r="C20" s="223">
        <f ca="1">ROUND((C5+C19)*F20,0)</f>
        <v>125458</v>
      </c>
      <c r="D20" s="223"/>
      <c r="E20" s="223"/>
      <c r="F20" s="224">
        <f>'数据-取费表'!B37</f>
        <v>0.03</v>
      </c>
      <c r="G20" s="225" t="s">
        <v>1576</v>
      </c>
    </row>
    <row r="21" spans="1:7" s="205" customFormat="1" ht="13.5" customHeight="1">
      <c r="A21" s="246" t="s">
        <v>1577</v>
      </c>
      <c r="B21" s="201" t="s">
        <v>1578</v>
      </c>
      <c r="C21" s="226">
        <f>F21</f>
        <v>2.5000000000000001E-2</v>
      </c>
      <c r="D21" s="227" t="s">
        <v>1579</v>
      </c>
      <c r="E21" s="223"/>
      <c r="F21" s="224">
        <f>'数据-取费表'!B38</f>
        <v>2.5000000000000001E-2</v>
      </c>
      <c r="G21" s="225" t="s">
        <v>1580</v>
      </c>
    </row>
    <row r="22" spans="1:7" s="205" customFormat="1" ht="13.5" customHeight="1">
      <c r="A22" s="246" t="s">
        <v>1581</v>
      </c>
      <c r="B22" s="201" t="s">
        <v>1582</v>
      </c>
      <c r="C22" s="223">
        <f ca="1">ROUND(SUM(C23:C25),0)</f>
        <v>393466</v>
      </c>
      <c r="D22" s="226">
        <f ca="1">C26</f>
        <v>1.1000000000000001E-3</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387778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5688</v>
      </c>
      <c r="D25" s="229"/>
      <c r="E25" s="232"/>
      <c r="F25" s="230"/>
      <c r="G25" s="233" t="s">
        <v>1588</v>
      </c>
    </row>
    <row r="26" spans="1:7" s="205" customFormat="1">
      <c r="A26" s="733" t="s">
        <v>350</v>
      </c>
      <c r="B26" s="206" t="s">
        <v>1511</v>
      </c>
      <c r="C26" s="229">
        <f ca="1">ROUND(IF('数据-取费表'!B22&lt;=1,F21*F22*'数据-取费表'!B22/2,F21*(POWER((1+F22),'数据-取费表'!B22/2)-1)),4)</f>
        <v>1.1000000000000001E-3</v>
      </c>
      <c r="D26" s="229"/>
      <c r="E26" s="232"/>
      <c r="F26" s="230"/>
      <c r="G26" s="234"/>
    </row>
    <row r="27" spans="1:7" s="205" customFormat="1" ht="26.4">
      <c r="A27" s="246" t="s">
        <v>1512</v>
      </c>
      <c r="B27" s="235" t="s">
        <v>1513</v>
      </c>
      <c r="C27" s="236">
        <f ca="1">C28</f>
        <v>861477</v>
      </c>
      <c r="D27" s="226">
        <f ca="1">C29</f>
        <v>5.0000000000000001E-3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861477</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6075066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1223688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1076845</v>
      </c>
      <c r="D34" s="208"/>
      <c r="E34" s="211"/>
      <c r="F34" s="248"/>
      <c r="G34" s="210"/>
    </row>
    <row r="35" spans="1:7" ht="13.5" customHeight="1">
      <c r="A35" s="733" t="s">
        <v>351</v>
      </c>
      <c r="B35" s="206" t="s">
        <v>1527</v>
      </c>
      <c r="C35" s="211">
        <f ca="1">ROUND(C34*F35,0)</f>
        <v>86148</v>
      </c>
      <c r="D35" s="211"/>
      <c r="E35" s="211"/>
      <c r="F35" s="250">
        <f>'数据-取费表'!B33</f>
        <v>0.08</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39158</v>
      </c>
      <c r="D37" s="208">
        <f ca="1">D19</f>
        <v>195.79</v>
      </c>
      <c r="E37" s="240">
        <f>'数据-取费表'!B35</f>
        <v>200</v>
      </c>
      <c r="F37" s="250"/>
      <c r="G37" s="252"/>
    </row>
    <row r="38" spans="1:7" ht="13.5" customHeight="1">
      <c r="A38" s="733" t="s">
        <v>354</v>
      </c>
      <c r="B38" s="206" t="s">
        <v>1533</v>
      </c>
      <c r="C38" s="211">
        <f ca="1">ROUND(C34*F38,0)</f>
        <v>21537</v>
      </c>
      <c r="D38" s="211"/>
      <c r="E38" s="211"/>
      <c r="F38" s="250">
        <f>'数据-取费表'!B36</f>
        <v>0.02</v>
      </c>
      <c r="G38" s="210" t="s">
        <v>1528</v>
      </c>
    </row>
    <row r="39" spans="1:7" s="205" customFormat="1" ht="13.5" customHeight="1">
      <c r="A39" s="246" t="s">
        <v>1534</v>
      </c>
      <c r="B39" s="201" t="s">
        <v>1535</v>
      </c>
      <c r="C39" s="223">
        <f ca="1">ROUND(C33*F20,0)</f>
        <v>36711</v>
      </c>
      <c r="D39" s="223"/>
      <c r="E39" s="223"/>
      <c r="F39" s="224">
        <f>F20</f>
        <v>0.03</v>
      </c>
      <c r="G39" s="225" t="s">
        <v>1536</v>
      </c>
    </row>
    <row r="40" spans="1:7" s="205" customFormat="1" ht="13.5" customHeight="1">
      <c r="A40" s="246" t="s">
        <v>1537</v>
      </c>
      <c r="B40" s="201" t="s">
        <v>1538</v>
      </c>
      <c r="C40" s="226">
        <f>F21</f>
        <v>2.5000000000000001E-2</v>
      </c>
      <c r="D40" s="227" t="s">
        <v>1539</v>
      </c>
      <c r="E40" s="223"/>
      <c r="F40" s="224">
        <f>F21</f>
        <v>2.5000000000000001E-2</v>
      </c>
      <c r="G40" s="225" t="s">
        <v>1540</v>
      </c>
    </row>
    <row r="41" spans="1:7" s="205" customFormat="1" ht="13.5" customHeight="1">
      <c r="A41" s="246" t="s">
        <v>1541</v>
      </c>
      <c r="B41" s="201" t="s">
        <v>1542</v>
      </c>
      <c r="C41" s="223">
        <f ca="1">ROUND(SUM(C42:C43),0)</f>
        <v>57141</v>
      </c>
      <c r="D41" s="226">
        <f ca="1">C44</f>
        <v>1.1000000000000001E-3</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55477</v>
      </c>
      <c r="D42" s="229"/>
      <c r="E42" s="229"/>
      <c r="F42" s="230"/>
      <c r="G42" s="3354" t="s">
        <v>1591</v>
      </c>
    </row>
    <row r="43" spans="1:7" ht="13.5" customHeight="1">
      <c r="A43" s="733" t="s">
        <v>347</v>
      </c>
      <c r="B43" s="206" t="s">
        <v>1545</v>
      </c>
      <c r="C43" s="229">
        <f ca="1">ROUND(IF('数据-取费表'!B22&lt;=1,C39*F22*'数据-取费表'!B20/2,C39*(POWER((1+F22),'数据-取费表'!B20/2)-1)),0)</f>
        <v>1664</v>
      </c>
      <c r="D43" s="229"/>
      <c r="E43" s="229"/>
      <c r="F43" s="230"/>
      <c r="G43" s="3355"/>
    </row>
    <row r="44" spans="1:7" ht="13.5" customHeight="1">
      <c r="A44" s="733" t="s">
        <v>348</v>
      </c>
      <c r="B44" s="206" t="s">
        <v>1546</v>
      </c>
      <c r="C44" s="229">
        <f ca="1">ROUND(IF('数据-取费表'!B22&lt;=1,C40*F22*'数据-取费表'!B20/2,C40*(POWER((1+F22),'数据-取费表'!B20/2)-1)),4)</f>
        <v>1.1000000000000001E-3</v>
      </c>
      <c r="D44" s="229"/>
      <c r="E44" s="229"/>
      <c r="F44" s="230"/>
      <c r="G44" s="3356"/>
    </row>
    <row r="45" spans="1:7" s="205" customFormat="1" ht="13.5" customHeight="1">
      <c r="A45" s="246" t="s">
        <v>1547</v>
      </c>
      <c r="B45" s="235" t="s">
        <v>1513</v>
      </c>
      <c r="C45" s="236">
        <f ca="1">C46</f>
        <v>252080</v>
      </c>
      <c r="D45" s="226">
        <f ca="1">C47</f>
        <v>5.0000000000000001E-3</v>
      </c>
      <c r="E45" s="227" t="s">
        <v>1539</v>
      </c>
      <c r="F45" s="237">
        <f ca="1">F27</f>
        <v>0.2</v>
      </c>
      <c r="G45" s="238" t="s">
        <v>1548</v>
      </c>
    </row>
    <row r="46" spans="1:7" s="205" customFormat="1" ht="13.5" customHeight="1">
      <c r="A46" s="733" t="s">
        <v>346</v>
      </c>
      <c r="B46" s="239" t="s">
        <v>1549</v>
      </c>
      <c r="C46" s="240">
        <f ca="1">ROUND((C33+C39)*F27,0)</f>
        <v>252080</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1714308</v>
      </c>
      <c r="D49" s="223"/>
      <c r="E49" s="223"/>
      <c r="F49" s="255"/>
      <c r="G49" s="225" t="s">
        <v>1554</v>
      </c>
    </row>
    <row r="50" spans="1:7" s="249" customFormat="1">
      <c r="A50" s="246" t="s">
        <v>1555</v>
      </c>
      <c r="B50" s="201" t="s">
        <v>1556</v>
      </c>
      <c r="C50" s="223"/>
      <c r="D50" s="223"/>
      <c r="E50" s="223"/>
      <c r="F50" s="255">
        <f>IF('数据-取费表'!B24=0,'数据-取费表'!N16,1)</f>
        <v>0.69</v>
      </c>
      <c r="G50" s="238"/>
    </row>
    <row r="51" spans="1:7" ht="16.5" customHeight="1">
      <c r="A51" s="246" t="s">
        <v>1558</v>
      </c>
      <c r="B51" s="201" t="s">
        <v>1593</v>
      </c>
      <c r="C51" s="223">
        <f ca="1">ROUND(C49*F50,0)</f>
        <v>1182873</v>
      </c>
      <c r="D51" s="223"/>
      <c r="E51" s="223"/>
      <c r="F51" s="255"/>
      <c r="G51" s="225" t="s">
        <v>1560</v>
      </c>
    </row>
    <row r="52" spans="1:7" s="199" customFormat="1" ht="16.8" thickBot="1">
      <c r="A52" s="256" t="s">
        <v>1561</v>
      </c>
      <c r="B52" s="257"/>
      <c r="C52" s="258">
        <f ca="1">C31+C51</f>
        <v>7257939</v>
      </c>
      <c r="D52" s="257"/>
      <c r="E52" s="257"/>
      <c r="F52" s="257"/>
      <c r="G52" s="259"/>
    </row>
    <row r="55" spans="1:7" ht="15">
      <c r="B55" s="261" t="s">
        <v>1562</v>
      </c>
      <c r="C55" s="262"/>
    </row>
    <row r="56" spans="1:7">
      <c r="B56" s="264" t="s">
        <v>802</v>
      </c>
      <c r="C56" s="266">
        <f ca="1">1-C57</f>
        <v>0.83699999999999997</v>
      </c>
    </row>
    <row r="57" spans="1:7">
      <c r="B57" s="264" t="s">
        <v>803</v>
      </c>
      <c r="C57" s="265">
        <f ca="1">ROUND(C51/C52,3)</f>
        <v>0.16300000000000001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0.08</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195.79</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195.79</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4</v>
      </c>
      <c r="D20" s="795">
        <f ca="1">IF(C1="",'数据-汇总表'!E6,IF(INDIRECT("'数据-取费表'!c"&amp;$K$1)="住宅",INDIRECT("'数据-取费表'!s"&amp;$K$1),INDIRECT("'数据-取费表'!k"&amp;$K$1)+INDIRECT("'数据-取费表'!s"&amp;$K$1)))</f>
        <v>195.79</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2.5000000000000001E-2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8" t="s">
        <v>694</v>
      </c>
      <c r="C6" s="1010">
        <f ca="1">ROUND(F6*F8*F7*(1-F9)/10000,0)</f>
        <v>0</v>
      </c>
      <c r="D6" s="146" t="s">
        <v>2109</v>
      </c>
      <c r="E6" s="293" t="s">
        <v>696</v>
      </c>
      <c r="F6" s="294">
        <f ca="1">INDIRECT("'数据-取费表'!u"&amp;$G$1)</f>
        <v>0</v>
      </c>
      <c r="G6" s="1291"/>
      <c r="H6" s="1005" t="s">
        <v>398</v>
      </c>
      <c r="I6" s="3378" t="s">
        <v>694</v>
      </c>
      <c r="J6" s="292">
        <f ca="1">ROUND(M6*M8*M7*(1-M9)/10000,0)</f>
        <v>0</v>
      </c>
      <c r="K6" s="146" t="s">
        <v>2108</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1"/>
      <c r="H7" s="295"/>
      <c r="I7" s="3379"/>
      <c r="J7" s="297"/>
      <c r="K7" s="298"/>
      <c r="L7" s="293" t="s">
        <v>697</v>
      </c>
      <c r="M7" s="294">
        <f ca="1">F7</f>
        <v>0</v>
      </c>
    </row>
    <row r="8" spans="1:37" ht="18" customHeight="1">
      <c r="A8" s="295"/>
      <c r="B8" s="3379"/>
      <c r="C8" s="297"/>
      <c r="D8" s="298"/>
      <c r="E8" s="293" t="s">
        <v>698</v>
      </c>
      <c r="F8" s="294">
        <f ca="1">INDIRECT("'数据-取费表'!ai"&amp;$G$1)</f>
        <v>0</v>
      </c>
      <c r="G8" s="1291"/>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ROUND(F17*(F43+INDIRECT("'数据-取费表'!S"&amp;$G$1))/10000,0)</f>
        <v>0</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IF(K19="按租金收入计税",ROUND(J6*M19/(1+'数据-取费表'!C42),2),ROUND(C29*M19*0.7,2))</f>
        <v>0</v>
      </c>
      <c r="K19" s="1277" t="s">
        <v>3327</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0.03</v>
      </c>
      <c r="G20" s="1302"/>
      <c r="H20" s="927" t="s">
        <v>680</v>
      </c>
      <c r="I20" s="146" t="s">
        <v>730</v>
      </c>
      <c r="J20" s="21">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2.5000000000000001E-2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0">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2297</v>
      </c>
      <c r="I31" s="1304"/>
      <c r="J31" s="1305"/>
      <c r="K31" s="120"/>
      <c r="L31" s="2469"/>
      <c r="M31" s="2470"/>
    </row>
    <row r="32" spans="1:37" ht="18" customHeight="1">
      <c r="A32" s="927" t="s">
        <v>397</v>
      </c>
      <c r="B32" s="293" t="s">
        <v>723</v>
      </c>
      <c r="C32" s="20" t="str">
        <f>IF(项目基本情况!B11="自然人","——",ROUND(C6*F32/(1+'数据-取费表'!C42),2))</f>
        <v>——</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0" t="str">
        <f ca="1">IF(项目基本情况!B11="自然人","——",IF(D33="按租金收入计税",ROUND(C6*F33/(1+'数据-取费表'!C42),2),IF(D33="按房产原值计税",ROUND(C29*F33*0.7,2),INDIRECT("'数据-取费表'!Aj"&amp;$G$1))))</f>
        <v>——</v>
      </c>
      <c r="D33" s="1277" t="s">
        <v>3327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1" t="str">
        <f>IF(项目基本情况!B11="自然人","——",ROUND(F34*F35/10000,2))</f>
        <v>——</v>
      </c>
      <c r="D34" s="315" t="s">
        <v>731</v>
      </c>
      <c r="E34" s="293" t="s">
        <v>732</v>
      </c>
      <c r="F34" s="316">
        <f>'数据-取费表'!B52</f>
        <v>30</v>
      </c>
      <c r="G34" s="1291"/>
      <c r="H34" s="2468"/>
      <c r="I34" s="1304"/>
      <c r="J34" s="1305"/>
      <c r="K34" s="2473"/>
      <c r="L34" s="2474"/>
      <c r="M34" s="2474"/>
    </row>
    <row r="35" spans="1:18" ht="18" customHeight="1">
      <c r="A35" s="1039"/>
      <c r="B35" s="1037"/>
      <c r="C35" s="25"/>
      <c r="D35" s="318"/>
      <c r="E35" s="293" t="s">
        <v>736</v>
      </c>
      <c r="F35" s="294">
        <f ca="1">INDIRECT("'数据-取费表'!r"&amp;$G$1)</f>
        <v>0</v>
      </c>
      <c r="G35" s="1291"/>
      <c r="H35" s="2468"/>
      <c r="I35" s="1304"/>
      <c r="J35" s="1305"/>
      <c r="K35" s="2472"/>
      <c r="L35" s="2471"/>
      <c r="M35" s="2471"/>
    </row>
    <row r="36" spans="1:18" ht="18" customHeight="1">
      <c r="A36" s="1038" t="s">
        <v>402</v>
      </c>
      <c r="B36" s="293" t="s">
        <v>738</v>
      </c>
      <c r="C36" s="20">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0">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6" t="s">
        <v>837</v>
      </c>
      <c r="L53" s="3377"/>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t="str">
        <f>IF(项目基本情况!B11="自然人","——",ROUND(C48*F60/(1+'数据-取费表'!C42),2))</f>
        <v>——</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0" t="str">
        <f ca="1">IF(项目基本情况!B11="自然人","——",IF(D61="按租金收入计税",ROUND(C49*F61/(1+'数据-取费表'!C42),2),IF(D61="按房产原值计税",ROUND(C57*F61*0.7,2),INDIRECT("'数据-取费表'!Aj"&amp;$G$1))))</f>
        <v>——</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t="str">
        <f>IF(项目基本情况!B11="自然人","——",ROUND(F62*F63/10000,2))</f>
        <v>——</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0">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21</v>
      </c>
      <c r="D1" s="1270" t="s">
        <v>43</v>
      </c>
      <c r="E1" s="1271" t="s">
        <v>678</v>
      </c>
      <c r="F1" s="998">
        <f ca="1">J53</f>
        <v>18.489999999999998</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466.51119999999997</v>
      </c>
      <c r="C2" s="1288" t="s">
        <v>879</v>
      </c>
      <c r="D2" s="1374">
        <f ca="1">C40+J29+L46</f>
        <v>4665112</v>
      </c>
      <c r="E2" s="1294" t="s">
        <v>880</v>
      </c>
      <c r="F2" s="1295"/>
      <c r="G2" s="2476"/>
      <c r="H2" s="2466"/>
      <c r="I2" s="2466"/>
      <c r="J2" s="2466"/>
      <c r="K2" s="2467"/>
      <c r="L2" s="2466"/>
      <c r="M2" s="2466"/>
    </row>
    <row r="3" spans="1:37" ht="18" customHeight="1" thickBot="1">
      <c r="A3" s="1296" t="s">
        <v>881</v>
      </c>
      <c r="B3" s="1297">
        <f ca="1">IF(ISERROR(D2/F43),0,ROUND(D2/F43,0))</f>
        <v>23827</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373505</v>
      </c>
      <c r="D5" s="1272" t="s">
        <v>889</v>
      </c>
      <c r="E5" s="1007"/>
      <c r="F5" s="1008"/>
      <c r="G5" s="1291"/>
      <c r="H5" s="290">
        <v>1</v>
      </c>
      <c r="I5" s="291" t="s">
        <v>888</v>
      </c>
      <c r="J5" s="1006">
        <f ca="1">J6+J10+J12</f>
        <v>0</v>
      </c>
      <c r="K5" s="1272" t="s">
        <v>889</v>
      </c>
      <c r="L5" s="1007"/>
      <c r="M5" s="1008"/>
    </row>
    <row r="6" spans="1:37" ht="18" customHeight="1">
      <c r="A6" s="1005" t="s">
        <v>398</v>
      </c>
      <c r="B6" s="3378" t="s">
        <v>694</v>
      </c>
      <c r="C6" s="1010">
        <f ca="1">ROUND(F6*F8*F7*(1-F9),0)</f>
        <v>373039</v>
      </c>
      <c r="D6" s="146" t="s">
        <v>2106</v>
      </c>
      <c r="E6" s="293" t="s">
        <v>696</v>
      </c>
      <c r="F6" s="294">
        <f ca="1">INDIRECT("'数据-取费表'!u"&amp;$G$1)</f>
        <v>5.8</v>
      </c>
      <c r="G6" s="1291"/>
      <c r="H6" s="1005" t="s">
        <v>398</v>
      </c>
      <c r="I6" s="3378" t="s">
        <v>694</v>
      </c>
      <c r="J6" s="292">
        <f ca="1">ROUND(M6*M8*M7*(1-M9),0)</f>
        <v>0</v>
      </c>
      <c r="K6" s="1283" t="s">
        <v>2107</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195.79</v>
      </c>
      <c r="G7" s="1291"/>
      <c r="H7" s="295"/>
      <c r="I7" s="3379"/>
      <c r="J7" s="297"/>
      <c r="K7" s="298"/>
      <c r="L7" s="293" t="s">
        <v>697</v>
      </c>
      <c r="M7" s="294">
        <f ca="1">F7</f>
        <v>195.79</v>
      </c>
    </row>
    <row r="8" spans="1:37" ht="18" customHeight="1">
      <c r="A8" s="295"/>
      <c r="B8" s="3379"/>
      <c r="C8" s="297"/>
      <c r="D8" s="298"/>
      <c r="E8" s="293" t="s">
        <v>698</v>
      </c>
      <c r="F8" s="294">
        <f ca="1">INDIRECT("'数据-取费表'!ai"&amp;$G$1)</f>
        <v>365</v>
      </c>
      <c r="G8" s="1291"/>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466</v>
      </c>
      <c r="D10" s="149" t="s">
        <v>2116</v>
      </c>
      <c r="E10" s="304" t="s">
        <v>701</v>
      </c>
      <c r="F10" s="1052" t="s">
        <v>3440</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1182873</v>
      </c>
      <c r="D13" s="1017" t="s">
        <v>705</v>
      </c>
      <c r="E13" s="1017" t="s">
        <v>706</v>
      </c>
      <c r="F13" s="1018">
        <f ca="1">INDIRECT("'数据-取费表'!y"&amp;$G$1)</f>
        <v>0.69</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1076845</v>
      </c>
      <c r="D14" s="1256" t="s">
        <v>708</v>
      </c>
      <c r="E14" s="1254"/>
      <c r="F14" s="310"/>
      <c r="G14" s="1291"/>
      <c r="H14" s="927" t="s">
        <v>398</v>
      </c>
      <c r="I14" s="293" t="s">
        <v>709</v>
      </c>
      <c r="J14" s="20">
        <f ca="1">C29</f>
        <v>1714308</v>
      </c>
      <c r="K14" s="11"/>
      <c r="L14" s="758"/>
      <c r="M14" s="759"/>
    </row>
    <row r="15" spans="1:37" s="1303" customFormat="1" ht="18" customHeight="1" thickBot="1">
      <c r="A15" s="927" t="s">
        <v>399</v>
      </c>
      <c r="B15" s="293" t="s">
        <v>710</v>
      </c>
      <c r="C15" s="20">
        <f ca="1">ROUND(C14*F15,0)</f>
        <v>86148</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8572</v>
      </c>
      <c r="K16" s="1023" t="s">
        <v>715</v>
      </c>
      <c r="L16" s="1024"/>
      <c r="M16" s="1008"/>
    </row>
    <row r="17" spans="1:37" s="1303" customFormat="1" ht="18" customHeight="1">
      <c r="A17" s="927" t="s">
        <v>681</v>
      </c>
      <c r="B17" s="293" t="s">
        <v>716</v>
      </c>
      <c r="C17" s="20">
        <f ca="1">ROUND(F17*(F43+INDIRECT("'数据-取费表'!S"&amp;$G$1)),0)</f>
        <v>39158</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21537</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1223688</v>
      </c>
      <c r="D19" s="122" t="s">
        <v>726</v>
      </c>
      <c r="E19" s="1268"/>
      <c r="F19" s="22"/>
      <c r="G19" s="1291"/>
      <c r="H19" s="927" t="s">
        <v>399</v>
      </c>
      <c r="I19" s="293" t="s">
        <v>727</v>
      </c>
      <c r="J19" s="20">
        <f ca="1">IF(K19="按租金收入计税",ROUND(J6*M19/(1+'数据-取费表'!C42),0),ROUND(C29*M19*0.7,0))</f>
        <v>0</v>
      </c>
      <c r="K19" s="1277" t="s">
        <v>3327</v>
      </c>
      <c r="L19" s="293" t="s">
        <v>712</v>
      </c>
      <c r="M19" s="313">
        <f>IF(K19="按租金收入计税",'数据-取费表'!B51,'数据-取费表'!B50)</f>
        <v>0.12</v>
      </c>
    </row>
    <row r="20" spans="1:37" s="1303" customFormat="1" ht="18" customHeight="1">
      <c r="A20" s="927" t="s">
        <v>402</v>
      </c>
      <c r="B20" s="293" t="s">
        <v>728</v>
      </c>
      <c r="C20" s="20">
        <f ca="1">ROUND(C19*F20,0)</f>
        <v>36711</v>
      </c>
      <c r="D20" s="314" t="s">
        <v>729</v>
      </c>
      <c r="E20" s="293" t="s">
        <v>712</v>
      </c>
      <c r="F20" s="313">
        <f>'数据-取费表'!B37</f>
        <v>0.03</v>
      </c>
      <c r="G20" s="1302"/>
      <c r="H20" s="927" t="s">
        <v>680</v>
      </c>
      <c r="I20" s="146" t="s">
        <v>730</v>
      </c>
      <c r="J20" s="21">
        <f ca="1">ROUND(M20*M21,0)</f>
        <v>687</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2.5000000000000001E-2</v>
      </c>
      <c r="G21" s="1302"/>
      <c r="H21" s="317"/>
      <c r="I21" s="302"/>
      <c r="J21" s="25"/>
      <c r="K21" s="318"/>
      <c r="L21" s="293" t="s">
        <v>736</v>
      </c>
      <c r="M21" s="294">
        <f ca="1">INDIRECT("'数据-取费表'!r"&amp;$G$1)</f>
        <v>22.89</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8572</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57141</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0">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1.1000000000000001E-3</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-8572</v>
      </c>
      <c r="K25" s="1031" t="s">
        <v>753</v>
      </c>
      <c r="L25" s="1032"/>
      <c r="M25" s="1033"/>
    </row>
    <row r="26" spans="1:37" ht="18" customHeight="1">
      <c r="A26" s="927" t="s">
        <v>397</v>
      </c>
      <c r="B26" s="293" t="s">
        <v>754</v>
      </c>
      <c r="C26" s="20">
        <f ca="1">ROUND((C19+C20)*F26,0)</f>
        <v>252080</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5.0000000000000001E-3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1714308</v>
      </c>
      <c r="D29" s="1028"/>
      <c r="E29" s="1026"/>
      <c r="F29" s="1029"/>
      <c r="G29" s="1302"/>
      <c r="H29" s="324" t="s">
        <v>396</v>
      </c>
      <c r="I29" s="325" t="s">
        <v>768</v>
      </c>
      <c r="J29" s="326">
        <f ca="1">ROUND(J26/(1+F40)^F41,0)</f>
        <v>0</v>
      </c>
      <c r="K29" s="327" t="s">
        <v>769</v>
      </c>
      <c r="L29" s="328"/>
      <c r="M29" s="329">
        <f ca="1">INDIRECT("'数据-取费表'!k"&amp;$G$1)</f>
        <v>195.79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36492</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24869</v>
      </c>
      <c r="D31" s="1256" t="s">
        <v>720</v>
      </c>
      <c r="E31" s="1255" t="s">
        <v>770</v>
      </c>
      <c r="F31" s="2138">
        <f ca="1">IF(项目基本情况!B11="企业","——",IF(M47="住宅",IF(F6*F7*F8/12/(1+'数据-取费表'!F30)&gt;100000,4%,2.5%),IF(F6*F7*F8/12/(1+'数据-取费表'!F30)&gt;100000,12%,7%)))</f>
        <v>7.0000000000000007E-2</v>
      </c>
      <c r="G31" s="1291"/>
      <c r="H31" s="2567" t="s">
        <v>2297</v>
      </c>
      <c r="I31" s="1304"/>
      <c r="J31" s="1305"/>
      <c r="K31" s="120"/>
      <c r="L31" s="2469"/>
      <c r="M31" s="2470"/>
    </row>
    <row r="32" spans="1:37" ht="18" customHeight="1">
      <c r="A32" s="927" t="s">
        <v>397</v>
      </c>
      <c r="B32" s="293" t="s">
        <v>723</v>
      </c>
      <c r="C32" s="20" t="str">
        <f>IF(项目基本情况!B11="自然人","——",ROUND(C6*F32/(1+'数据-取费表'!C42),0))</f>
        <v>——</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0" t="str">
        <f ca="1">IF(项目基本情况!B11="自然人","——",IF(D33="按租金收入计税",ROUND(C6*F33/(1+'数据-取费表'!C42),0),IF(D33="按房产原值计税",ROUND(C29*F33*0.7,0),INDIRECT("'数据-取费表'!Aj"&amp;$G$1))))</f>
        <v>——</v>
      </c>
      <c r="D33" s="1277" t="s">
        <v>3327</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1" t="str">
        <f>IF(项目基本情况!B11="自然人","——",ROUND(F34*F35,0))</f>
        <v>——</v>
      </c>
      <c r="D34" s="315" t="s">
        <v>731</v>
      </c>
      <c r="E34" s="293" t="s">
        <v>732</v>
      </c>
      <c r="F34" s="316">
        <f>'数据-取费表'!B52</f>
        <v>30</v>
      </c>
      <c r="G34" s="1291"/>
      <c r="H34" s="2468"/>
      <c r="I34" s="1304"/>
      <c r="J34" s="1305"/>
      <c r="K34" s="2473"/>
      <c r="L34" s="2474"/>
      <c r="M34" s="2474"/>
    </row>
    <row r="35" spans="1:18" ht="18" customHeight="1">
      <c r="A35" s="1039"/>
      <c r="B35" s="1037"/>
      <c r="C35" s="25"/>
      <c r="D35" s="318"/>
      <c r="E35" s="293" t="s">
        <v>736</v>
      </c>
      <c r="F35" s="294">
        <f ca="1">INDIRECT("'数据-取费表'!r"&amp;$G$1)</f>
        <v>22.89</v>
      </c>
      <c r="G35" s="1291"/>
      <c r="H35" s="2468"/>
      <c r="I35" s="1304"/>
      <c r="J35" s="1305"/>
      <c r="K35" s="2472"/>
      <c r="L35" s="2471"/>
      <c r="M35" s="2471"/>
    </row>
    <row r="36" spans="1:18" ht="18" customHeight="1">
      <c r="A36" s="1038" t="s">
        <v>402</v>
      </c>
      <c r="B36" s="293" t="s">
        <v>738</v>
      </c>
      <c r="C36" s="20">
        <f ca="1">ROUND(C29*F36,0)</f>
        <v>8572</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0">
        <f ca="1">ROUND(C13*F37,0)</f>
        <v>1183</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1868</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337013</v>
      </c>
      <c r="D39" s="1031" t="s">
        <v>773</v>
      </c>
      <c r="E39" s="1032"/>
      <c r="F39" s="1033"/>
      <c r="G39" s="1291"/>
      <c r="H39" s="2471"/>
      <c r="I39" s="1304"/>
      <c r="J39" s="1305"/>
      <c r="K39" s="2469"/>
      <c r="L39" s="2471"/>
      <c r="M39" s="2471"/>
    </row>
    <row r="40" spans="1:18" ht="18" customHeight="1">
      <c r="A40" s="290" t="s">
        <v>395</v>
      </c>
      <c r="B40" s="291" t="s">
        <v>774</v>
      </c>
      <c r="C40" s="292">
        <f ca="1">ROUND(C39*(1-((1+F42)/(1+F40))^F41)/(F40-F42),0)</f>
        <v>4468847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18.489999999999998</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22825</v>
      </c>
      <c r="D43" s="327" t="s">
        <v>777</v>
      </c>
      <c r="E43" s="328" t="s">
        <v>778</v>
      </c>
      <c r="F43" s="329">
        <f ca="1">INDIRECT("'数据-取费表'!k"&amp;$G$1)</f>
        <v>195.79</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3343</v>
      </c>
      <c r="B45" s="1306"/>
      <c r="C45" s="1375">
        <f ca="1">ROUND((C68-C40)/10000,4)</f>
        <v>-458.03039999999999</v>
      </c>
      <c r="D45" s="3128" t="s">
        <v>3344</v>
      </c>
      <c r="E45" s="1306"/>
      <c r="F45" s="1306"/>
      <c r="O45" s="1309" t="s">
        <v>808</v>
      </c>
      <c r="P45" s="1365"/>
      <c r="Q45" s="1365"/>
      <c r="R45" s="1365"/>
    </row>
    <row r="46" spans="1:18" s="1291" customFormat="1" ht="13.8" thickBot="1">
      <c r="A46" s="1310" t="s">
        <v>809</v>
      </c>
      <c r="C46" s="1311">
        <f ca="1">ROUND(C45,0)</f>
        <v>-458</v>
      </c>
      <c r="D46" s="1312" t="str">
        <f>C2</f>
        <v>万元</v>
      </c>
      <c r="I46" s="1313" t="s">
        <v>810</v>
      </c>
      <c r="J46" s="1314"/>
      <c r="K46" s="1315"/>
      <c r="L46" s="1316">
        <f ca="1">IF(M47="住宅",0,IF(L48&gt;J51,L60,J60))</f>
        <v>196265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3441</v>
      </c>
      <c r="K47" s="1322" t="s">
        <v>816</v>
      </c>
      <c r="L47" s="1323">
        <f ca="1">INDIRECT("'数据-取费表'!d"&amp;$G$1)</f>
        <v>50</v>
      </c>
      <c r="M47" s="1287" t="str">
        <f>IF(ISNUMBER(FIND("住宅",C1)),"住宅","非住宅")</f>
        <v>非住宅</v>
      </c>
      <c r="O47" s="1324" t="s">
        <v>403</v>
      </c>
      <c r="P47" s="1325" t="s">
        <v>817</v>
      </c>
      <c r="Q47" s="1326">
        <f ca="1">C40+J29</f>
        <v>4468847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3442</v>
      </c>
      <c r="K48" s="1329" t="s">
        <v>820</v>
      </c>
      <c r="L48" s="1330">
        <f ca="1">INDIRECT("'数据-取费表'!f"&amp;$G$1)</f>
        <v>18.489999999999998</v>
      </c>
      <c r="O48" s="1324" t="s">
        <v>404</v>
      </c>
      <c r="P48" s="1325" t="s">
        <v>821</v>
      </c>
      <c r="Q48" s="1326">
        <f ca="1">J60</f>
        <v>196265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'数据-取费表'!N17</f>
        <v>1996</v>
      </c>
      <c r="K49" s="1329" t="s">
        <v>824</v>
      </c>
      <c r="L49" s="1332"/>
      <c r="O49" s="1333" t="s">
        <v>405</v>
      </c>
      <c r="P49" s="1325" t="s">
        <v>825</v>
      </c>
      <c r="Q49" s="1326">
        <f ca="1">C29</f>
        <v>1714308</v>
      </c>
      <c r="R49" s="1326" t="s">
        <v>818</v>
      </c>
    </row>
    <row r="50" spans="1:18" s="1291" customFormat="1" ht="13.8" thickBot="1">
      <c r="A50" s="921"/>
      <c r="B50" s="924"/>
      <c r="C50" s="925"/>
      <c r="D50" s="898"/>
      <c r="E50" s="992" t="s">
        <v>697</v>
      </c>
      <c r="F50" s="993">
        <f ca="1">F7</f>
        <v>195.79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31</v>
      </c>
      <c r="K51" s="1338" t="s">
        <v>830</v>
      </c>
      <c r="L51" s="1339">
        <f ca="1">ROUND(-PV(INDIRECT("'数据-取费表'!h"&amp;$G$1),J51,(C39-C13*C76),0),0)</f>
        <v>3963878</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18.489999999999998</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18.489999999999998</v>
      </c>
      <c r="K53" s="3376" t="s">
        <v>837</v>
      </c>
      <c r="L53" s="3377"/>
      <c r="O53" s="1324" t="s">
        <v>409</v>
      </c>
      <c r="P53" s="1325" t="s">
        <v>838</v>
      </c>
      <c r="Q53" s="1326">
        <f ca="1">Q47+Q48</f>
        <v>4665112</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0.20899999999999999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1182873</v>
      </c>
      <c r="D56" s="1351"/>
      <c r="E56" s="1352"/>
      <c r="F56" s="1344"/>
      <c r="I56" s="1353" t="s">
        <v>842</v>
      </c>
      <c r="J56" s="1354" t="s">
        <v>3448</v>
      </c>
      <c r="K56" s="1327" t="s">
        <v>843</v>
      </c>
      <c r="L56" s="1330" t="str">
        <f ca="1">IF(L48&lt;J51,"——",L48-J51)</f>
        <v>——</v>
      </c>
      <c r="O56" s="1324" t="s">
        <v>403</v>
      </c>
      <c r="P56" s="1325" t="s">
        <v>817</v>
      </c>
      <c r="Q56" s="1326">
        <f ca="1">C40+J29</f>
        <v>4468847</v>
      </c>
      <c r="R56" s="1326" t="s">
        <v>818</v>
      </c>
    </row>
    <row r="57" spans="1:18" s="1291" customFormat="1" ht="24.6" thickBot="1">
      <c r="A57" s="1355"/>
      <c r="B57" s="895" t="s">
        <v>767</v>
      </c>
      <c r="C57" s="229">
        <f ca="1">C29</f>
        <v>1714308</v>
      </c>
      <c r="D57" s="1356"/>
      <c r="E57" s="1357"/>
      <c r="F57" s="1358"/>
      <c r="I57" s="1359" t="s">
        <v>844</v>
      </c>
      <c r="J57" s="1360">
        <f ca="1">IF(OR(M47="住宅",J51&lt;L48,J56="是"),"——",J51-L48)</f>
        <v>12.510000000000002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9755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685723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t="str">
        <f>IF(项目基本情况!B11="自然人","——",ROUND(C48*F60/(1+'数据-取费表'!C42),0))</f>
        <v>——</v>
      </c>
      <c r="D60" s="909" t="s">
        <v>724</v>
      </c>
      <c r="E60" s="895" t="s">
        <v>712</v>
      </c>
      <c r="F60" s="321">
        <f t="shared" ref="F60:F66" si="0">F32</f>
        <v>5.6000000000000001E-2</v>
      </c>
      <c r="I60" s="1362" t="s">
        <v>853</v>
      </c>
      <c r="J60" s="1363">
        <f ca="1">IF(OR(M47="住宅",J51&lt;L48,J56="是"),"0",ROUND(J59/(1+J52)^J53,0))</f>
        <v>196265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0" t="str">
        <f ca="1">IF(项目基本情况!B11="自然人","——",IF(D61="按租金收入计税",ROUND(C49*F61/(1+'数据-取费表'!C42),0),IF(D61="按房产原值计税",ROUND(C57*F61*0.7,0),INDIRECT("'数据-取费表'!Aj"&amp;$G$1))))</f>
        <v>——</v>
      </c>
      <c r="D61" s="1277" t="s">
        <v>3327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t="str">
        <f>IF(项目基本情况!B11="自然人","——",ROUND(F62*F63,0))</f>
        <v>——</v>
      </c>
      <c r="D62" s="910" t="s">
        <v>786</v>
      </c>
      <c r="E62" s="895" t="s">
        <v>787</v>
      </c>
      <c r="F62" s="316">
        <f t="shared" si="0"/>
        <v>30</v>
      </c>
      <c r="I62" s="1366" t="s">
        <v>858</v>
      </c>
      <c r="J62" s="609" t="s">
        <v>859</v>
      </c>
      <c r="K62" s="609" t="s">
        <v>860</v>
      </c>
      <c r="L62" s="609" t="s">
        <v>861</v>
      </c>
      <c r="M62" s="1367" t="s">
        <v>862</v>
      </c>
      <c r="O62" s="1324" t="s">
        <v>409</v>
      </c>
      <c r="P62" s="1325" t="s">
        <v>863</v>
      </c>
      <c r="Q62" s="1326">
        <f ca="1">Q56+Q57</f>
        <v>4468847</v>
      </c>
      <c r="R62" s="1326" t="s">
        <v>410</v>
      </c>
    </row>
    <row r="63" spans="1:18" s="1291" customFormat="1" ht="13.8" thickBot="1">
      <c r="A63" s="317"/>
      <c r="B63" s="901"/>
      <c r="C63" s="25"/>
      <c r="D63" s="911"/>
      <c r="E63" s="895" t="s">
        <v>788</v>
      </c>
      <c r="F63" s="294">
        <f t="shared" ca="1" si="0"/>
        <v>22.89</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ROUND(C57*F64,0)</f>
        <v>8572</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ROUND(C56*F65,0)</f>
        <v>1183</v>
      </c>
      <c r="D65" s="909" t="s">
        <v>743</v>
      </c>
      <c r="E65" s="895" t="s">
        <v>744</v>
      </c>
      <c r="F65" s="320">
        <f t="shared" ca="1" si="0"/>
        <v>1E-3</v>
      </c>
      <c r="I65" s="1366" t="s">
        <v>867</v>
      </c>
      <c r="J65" s="609">
        <v>40</v>
      </c>
      <c r="K65" s="609">
        <v>30</v>
      </c>
      <c r="L65" s="609">
        <v>50</v>
      </c>
      <c r="M65" s="1368">
        <v>0.02</v>
      </c>
      <c r="O65" s="1324" t="s">
        <v>403</v>
      </c>
      <c r="P65" s="1325" t="s">
        <v>868</v>
      </c>
      <c r="Q65" s="1326">
        <f ca="1">C40+J29</f>
        <v>4468847</v>
      </c>
      <c r="R65" s="1326" t="s">
        <v>818</v>
      </c>
    </row>
    <row r="66" spans="1:18" s="1291" customFormat="1" ht="16.2" thickBot="1">
      <c r="A66" s="927" t="s">
        <v>793</v>
      </c>
      <c r="B66" s="895" t="s">
        <v>728</v>
      </c>
      <c r="C66" s="20">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-9755</v>
      </c>
      <c r="D67" s="908" t="s">
        <v>753</v>
      </c>
      <c r="E67" s="913"/>
      <c r="F67" s="914"/>
      <c r="O67" s="1333" t="s">
        <v>405</v>
      </c>
      <c r="P67" s="1325" t="s">
        <v>850</v>
      </c>
      <c r="Q67" s="1369">
        <f ca="1">L51</f>
        <v>3963878</v>
      </c>
      <c r="R67" s="1326" t="s">
        <v>870</v>
      </c>
    </row>
    <row r="68" spans="1:18" s="1291" customFormat="1" ht="16.2" thickBot="1">
      <c r="A68" s="892" t="s">
        <v>395</v>
      </c>
      <c r="B68" s="893" t="s">
        <v>774</v>
      </c>
      <c r="C68" s="292">
        <f ca="1">ROUND(C67*(1-((1+F70)/(1+F68))^F69)/(F68-F70),0)</f>
        <v>-111457</v>
      </c>
      <c r="D68" s="910" t="s">
        <v>758</v>
      </c>
      <c r="E68" s="895" t="s">
        <v>759</v>
      </c>
      <c r="F68" s="303">
        <f ca="1">F40</f>
        <v>5.5E-2</v>
      </c>
      <c r="O68" s="1333" t="s">
        <v>406</v>
      </c>
      <c r="P68" s="1370" t="s">
        <v>871</v>
      </c>
      <c r="Q68" s="1326">
        <f ca="1">ROUND(Q69-Q70*Q71,0)</f>
        <v>254212</v>
      </c>
      <c r="R68" s="1326" t="s">
        <v>414</v>
      </c>
    </row>
    <row r="69" spans="1:18" s="1291" customFormat="1" ht="13.8" thickBot="1">
      <c r="A69" s="896"/>
      <c r="B69" s="897"/>
      <c r="C69" s="297"/>
      <c r="D69" s="915" t="s">
        <v>762</v>
      </c>
      <c r="E69" s="895" t="s">
        <v>763</v>
      </c>
      <c r="F69" s="323">
        <f ca="1">F41</f>
        <v>18.489999999999998</v>
      </c>
      <c r="O69" s="1333" t="s">
        <v>411</v>
      </c>
      <c r="P69" s="1370" t="s">
        <v>872</v>
      </c>
      <c r="Q69" s="1326">
        <f ca="1">C39</f>
        <v>337013</v>
      </c>
      <c r="R69" s="1326" t="s">
        <v>818</v>
      </c>
    </row>
    <row r="70" spans="1:18" s="1291" customFormat="1" ht="13.8" thickBot="1">
      <c r="A70" s="899"/>
      <c r="B70" s="900"/>
      <c r="C70" s="301"/>
      <c r="D70" s="911"/>
      <c r="E70" s="895" t="s">
        <v>766</v>
      </c>
      <c r="F70" s="990"/>
      <c r="O70" s="1333" t="s">
        <v>412</v>
      </c>
      <c r="P70" s="1370" t="s">
        <v>873</v>
      </c>
      <c r="Q70" s="1326">
        <f ca="1">C13</f>
        <v>1182873</v>
      </c>
      <c r="R70" s="1326" t="s">
        <v>818</v>
      </c>
    </row>
    <row r="71" spans="1:18" s="1291" customFormat="1" ht="13.8" thickBot="1">
      <c r="A71" s="916" t="s">
        <v>396</v>
      </c>
      <c r="B71" s="917" t="s">
        <v>776</v>
      </c>
      <c r="C71" s="326">
        <f ca="1">ROUND(C68/F71,0)</f>
        <v>-569</v>
      </c>
      <c r="D71" s="918" t="s">
        <v>777</v>
      </c>
      <c r="E71" s="919" t="s">
        <v>778</v>
      </c>
      <c r="F71" s="329">
        <f ca="1">F43</f>
        <v>195.79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82801</v>
      </c>
      <c r="D75" s="1291"/>
      <c r="E75" s="1291"/>
      <c r="F75" s="1291"/>
      <c r="K75" s="1308"/>
      <c r="L75" s="1291"/>
      <c r="O75" s="1324" t="s">
        <v>409</v>
      </c>
      <c r="P75" s="1325" t="s">
        <v>838</v>
      </c>
      <c r="Q75" s="1326">
        <f ca="1">Q65+Q66</f>
        <v>4468847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0.754</v>
      </c>
    </row>
    <row r="80" spans="1:18">
      <c r="B80" s="330" t="s">
        <v>800</v>
      </c>
      <c r="C80" s="265">
        <f ca="1">ROUND(C75/C39,3)</f>
        <v>0.246</v>
      </c>
    </row>
    <row r="81" spans="2:3">
      <c r="B81" s="261" t="s">
        <v>801</v>
      </c>
      <c r="C81" s="229"/>
    </row>
    <row r="82" spans="2:3">
      <c r="B82" s="264" t="s">
        <v>802</v>
      </c>
      <c r="C82" s="266">
        <f ca="1">1-C83</f>
        <v>0.73499999999999999</v>
      </c>
    </row>
    <row r="83" spans="2:3">
      <c r="B83" s="264" t="s">
        <v>803</v>
      </c>
      <c r="C83" s="265">
        <f ca="1">ROUND(C13/C40,3)</f>
        <v>0.26500000000000001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2" customHeight="1">
      <c r="A2" s="1292" t="s">
        <v>2306</v>
      </c>
      <c r="B2" s="2592" t="e">
        <f>IF(D2="——",C40,C40+E2)</f>
        <v>#DIV/0!</v>
      </c>
      <c r="C2" s="2593" t="s">
        <v>2307</v>
      </c>
      <c r="D2" s="3136" t="s">
        <v>3350</v>
      </c>
      <c r="E2" s="3137"/>
      <c r="F2" s="2595"/>
      <c r="G2" s="2596"/>
      <c r="H2" s="2597"/>
      <c r="I2" s="2598"/>
      <c r="J2" s="3387" t="s">
        <v>2308</v>
      </c>
      <c r="K2" s="3388"/>
      <c r="L2" s="2599" t="s">
        <v>2309</v>
      </c>
      <c r="M2" s="2599" t="s">
        <v>2310</v>
      </c>
      <c r="N2" s="2599" t="s">
        <v>2311</v>
      </c>
      <c r="O2" s="2599" t="s">
        <v>2312</v>
      </c>
      <c r="P2" s="2599" t="s">
        <v>2313</v>
      </c>
      <c r="Q2" s="2600" t="s">
        <v>2314</v>
      </c>
      <c r="R2" s="2601" t="s">
        <v>2315</v>
      </c>
      <c r="S2" s="2590"/>
      <c r="T2" s="2590"/>
      <c r="U2" s="2590"/>
      <c r="V2" s="2598"/>
    </row>
    <row r="3" spans="1:22" s="2602" customFormat="1" ht="13.2" customHeight="1">
      <c r="A3" s="2603" t="s">
        <v>2316</v>
      </c>
      <c r="B3" s="2604" t="e">
        <f>ROUND(B2*10000/B4,0)</f>
        <v>#DIV/0!</v>
      </c>
      <c r="C3" s="2593" t="s">
        <v>2317</v>
      </c>
      <c r="D3" s="2593"/>
      <c r="E3" s="2594"/>
      <c r="F3" s="2595"/>
      <c r="G3" s="2596"/>
      <c r="H3" s="2597"/>
      <c r="I3" s="2598"/>
      <c r="J3" s="3389" t="s">
        <v>2318</v>
      </c>
      <c r="K3" s="3390"/>
      <c r="L3" s="2605"/>
      <c r="M3" s="2605"/>
      <c r="N3" s="2605"/>
      <c r="O3" s="2605"/>
      <c r="P3" s="2605"/>
      <c r="Q3" s="2606"/>
      <c r="R3" s="2607">
        <f>SUM(L3:Q3)</f>
        <v>0</v>
      </c>
      <c r="S3" s="2590"/>
      <c r="T3" s="2590"/>
      <c r="U3" s="2590"/>
      <c r="V3" s="2598"/>
    </row>
    <row r="4" spans="1:22" s="2602" customFormat="1" ht="13.2" customHeight="1">
      <c r="A4" s="2608" t="s">
        <v>2319</v>
      </c>
      <c r="B4" s="2609"/>
      <c r="C4" s="2593"/>
      <c r="D4" s="2593"/>
      <c r="E4" s="2594"/>
      <c r="F4" s="2595"/>
      <c r="G4" s="2596"/>
      <c r="H4" s="2597"/>
      <c r="I4" s="2598"/>
      <c r="J4" s="3389" t="s">
        <v>2320</v>
      </c>
      <c r="K4" s="3390"/>
      <c r="L4" s="2610"/>
      <c r="M4" s="2610"/>
      <c r="N4" s="2610"/>
      <c r="O4" s="2610"/>
      <c r="P4" s="2610"/>
      <c r="Q4" s="2611"/>
      <c r="R4" s="2612">
        <f>SUM(L4:Q4)</f>
        <v>0</v>
      </c>
      <c r="S4" s="2590"/>
      <c r="T4" s="2590"/>
      <c r="U4" s="2590"/>
      <c r="V4" s="2598"/>
    </row>
    <row r="5" spans="1:22" s="2602" customFormat="1" ht="13.2"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2" customHeight="1" thickBot="1">
      <c r="A6" s="3395" t="s">
        <v>2324</v>
      </c>
      <c r="B6" s="3396"/>
      <c r="C6" s="3397"/>
      <c r="D6" s="2619"/>
      <c r="E6" s="2620"/>
      <c r="F6" s="2621"/>
      <c r="G6" s="2622"/>
      <c r="H6" s="2597"/>
      <c r="I6" s="2598"/>
      <c r="J6" s="3381">
        <v>1</v>
      </c>
      <c r="K6" s="3382"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2" customHeight="1">
      <c r="A7" s="2625" t="s">
        <v>2334</v>
      </c>
      <c r="B7" s="2626"/>
      <c r="C7" s="2627"/>
      <c r="D7" s="2628">
        <f>SUM(D9,D10,D11,D17,0)</f>
        <v>0</v>
      </c>
      <c r="E7" s="2629" t="e">
        <f>E9+E10+E11+E17</f>
        <v>#DIV/0!</v>
      </c>
      <c r="F7" s="2630"/>
      <c r="G7" s="2631"/>
      <c r="H7" s="2597"/>
      <c r="I7" s="2598"/>
      <c r="J7" s="3381"/>
      <c r="K7" s="3383"/>
      <c r="L7" s="2632" t="s">
        <v>2335</v>
      </c>
      <c r="M7" s="2633"/>
      <c r="N7" s="2609"/>
      <c r="O7" s="2634"/>
      <c r="P7" s="2634"/>
      <c r="Q7" s="2635">
        <v>365</v>
      </c>
      <c r="R7" s="2636">
        <f>ROUND(M7*N7*O7*P7*Q7/10000,0)</f>
        <v>0</v>
      </c>
      <c r="S7" s="2590"/>
      <c r="T7" s="2590" t="s">
        <v>2336</v>
      </c>
      <c r="U7" s="2590"/>
      <c r="V7" s="2598"/>
    </row>
    <row r="8" spans="1:22" s="2602" customFormat="1" ht="13.2" customHeight="1">
      <c r="A8" s="2637" t="s">
        <v>2337</v>
      </c>
      <c r="B8" s="3398" t="s">
        <v>2338</v>
      </c>
      <c r="C8" s="3399"/>
      <c r="D8" s="2638" t="s">
        <v>2339</v>
      </c>
      <c r="E8" s="2639" t="s">
        <v>2340</v>
      </c>
      <c r="F8" s="2640" t="s">
        <v>2341</v>
      </c>
      <c r="G8" s="2641"/>
      <c r="H8" s="2597"/>
      <c r="I8" s="2598"/>
      <c r="J8" s="3381"/>
      <c r="K8" s="3383"/>
      <c r="L8" s="2632" t="s">
        <v>2342</v>
      </c>
      <c r="M8" s="2633"/>
      <c r="N8" s="2609"/>
      <c r="O8" s="2634"/>
      <c r="P8" s="2634"/>
      <c r="Q8" s="2635">
        <v>365</v>
      </c>
      <c r="R8" s="2636">
        <f t="shared" ref="R8:R13" si="0">ROUND(M8*N8*O8*P8*Q8/10000,0)</f>
        <v>0</v>
      </c>
      <c r="S8" s="2590"/>
      <c r="T8" s="2590" t="s">
        <v>2343</v>
      </c>
      <c r="U8" s="2590"/>
      <c r="V8" s="2598"/>
    </row>
    <row r="9" spans="1:22" s="2602" customFormat="1" ht="13.2" customHeight="1">
      <c r="A9" s="2637">
        <v>1</v>
      </c>
      <c r="B9" s="3398" t="s">
        <v>2344</v>
      </c>
      <c r="C9" s="3399"/>
      <c r="D9" s="2638">
        <f>ROUND(D6*E9,0)</f>
        <v>0</v>
      </c>
      <c r="E9" s="2642"/>
      <c r="F9" s="2643" t="s">
        <v>2345</v>
      </c>
      <c r="G9" s="2622"/>
      <c r="H9" s="2597"/>
      <c r="I9" s="2598"/>
      <c r="J9" s="3381"/>
      <c r="K9" s="3383"/>
      <c r="L9" s="2632" t="s">
        <v>2346</v>
      </c>
      <c r="M9" s="2633"/>
      <c r="N9" s="2609"/>
      <c r="O9" s="2634"/>
      <c r="P9" s="2634"/>
      <c r="Q9" s="2635">
        <v>365</v>
      </c>
      <c r="R9" s="2636">
        <f t="shared" si="0"/>
        <v>0</v>
      </c>
      <c r="S9" s="2590"/>
      <c r="T9" s="2590"/>
      <c r="U9" s="2590"/>
      <c r="V9" s="2598"/>
    </row>
    <row r="10" spans="1:22" s="2602" customFormat="1" ht="13.2" customHeight="1">
      <c r="A10" s="2637">
        <v>2</v>
      </c>
      <c r="B10" s="3398" t="s">
        <v>2347</v>
      </c>
      <c r="C10" s="3399"/>
      <c r="D10" s="2638">
        <f>ROUND(D6*E10,0)</f>
        <v>0</v>
      </c>
      <c r="E10" s="2642"/>
      <c r="F10" s="2643" t="s">
        <v>2348</v>
      </c>
      <c r="G10" s="2622"/>
      <c r="H10" s="2597"/>
      <c r="I10" s="2598"/>
      <c r="J10" s="3381"/>
      <c r="K10" s="3383"/>
      <c r="L10" s="2632" t="s">
        <v>2349</v>
      </c>
      <c r="M10" s="2633"/>
      <c r="N10" s="2609"/>
      <c r="O10" s="2634"/>
      <c r="P10" s="2634"/>
      <c r="Q10" s="2635">
        <v>365</v>
      </c>
      <c r="R10" s="2636">
        <f t="shared" si="0"/>
        <v>0</v>
      </c>
      <c r="S10" s="2590"/>
      <c r="T10" s="2590"/>
      <c r="U10" s="2590"/>
      <c r="V10" s="2598"/>
    </row>
    <row r="11" spans="1:22" s="2602" customFormat="1" ht="13.2" customHeight="1">
      <c r="A11" s="2637">
        <v>3</v>
      </c>
      <c r="B11" s="3398" t="s">
        <v>2350</v>
      </c>
      <c r="C11" s="3399"/>
      <c r="D11" s="2638">
        <f>D12+D14+D15+D16</f>
        <v>0</v>
      </c>
      <c r="E11" s="2644" t="e">
        <f>D11/D6</f>
        <v>#DIV/0!</v>
      </c>
      <c r="F11" s="2640"/>
      <c r="G11" s="2641"/>
      <c r="H11" s="2597"/>
      <c r="I11" s="2598"/>
      <c r="J11" s="3381"/>
      <c r="K11" s="3383"/>
      <c r="L11" s="2632" t="s">
        <v>2351</v>
      </c>
      <c r="M11" s="2633"/>
      <c r="N11" s="2609"/>
      <c r="O11" s="2634"/>
      <c r="P11" s="2634"/>
      <c r="Q11" s="2635">
        <v>365</v>
      </c>
      <c r="R11" s="2636">
        <f t="shared" si="0"/>
        <v>0</v>
      </c>
      <c r="S11" s="2590"/>
      <c r="T11" s="2590"/>
      <c r="U11" s="2590"/>
      <c r="V11" s="2598"/>
    </row>
    <row r="12" spans="1:22" s="2602" customFormat="1" ht="13.2" customHeight="1">
      <c r="A12" s="2645" t="s">
        <v>2352</v>
      </c>
      <c r="B12" s="3391" t="s">
        <v>2353</v>
      </c>
      <c r="C12" s="3392"/>
      <c r="D12" s="2646">
        <f>ROUND(D13*1.2%*(1-30%),0)</f>
        <v>0</v>
      </c>
      <c r="E12" s="2647">
        <v>1.2E-2</v>
      </c>
      <c r="F12" s="2640" t="s">
        <v>2354</v>
      </c>
      <c r="G12" s="2641"/>
      <c r="H12" s="2597"/>
      <c r="I12" s="2598"/>
      <c r="J12" s="3381"/>
      <c r="K12" s="3383"/>
      <c r="L12" s="2632" t="s">
        <v>2355</v>
      </c>
      <c r="M12" s="2633"/>
      <c r="N12" s="2609"/>
      <c r="O12" s="2634"/>
      <c r="P12" s="2634"/>
      <c r="Q12" s="2635">
        <v>365</v>
      </c>
      <c r="R12" s="2636">
        <f t="shared" si="0"/>
        <v>0</v>
      </c>
      <c r="S12" s="2590"/>
      <c r="T12" s="2590"/>
      <c r="U12" s="2590"/>
      <c r="V12" s="2598"/>
    </row>
    <row r="13" spans="1:22" s="2602" customFormat="1" ht="13.2" customHeight="1">
      <c r="A13" s="2645"/>
      <c r="B13" s="2648"/>
      <c r="C13" s="2649" t="s">
        <v>2356</v>
      </c>
      <c r="D13" s="2650"/>
      <c r="E13" s="2651"/>
      <c r="F13" s="2640"/>
      <c r="G13" s="2641"/>
      <c r="H13" s="2597"/>
      <c r="I13" s="2598"/>
      <c r="J13" s="3381"/>
      <c r="K13" s="3383"/>
      <c r="L13" s="2632" t="s">
        <v>2357</v>
      </c>
      <c r="M13" s="2633"/>
      <c r="N13" s="2609"/>
      <c r="O13" s="2634"/>
      <c r="P13" s="2634"/>
      <c r="Q13" s="2635">
        <v>365</v>
      </c>
      <c r="R13" s="2636">
        <f t="shared" si="0"/>
        <v>0</v>
      </c>
      <c r="S13" s="2590"/>
      <c r="T13" s="2590"/>
      <c r="U13" s="2590"/>
      <c r="V13" s="2598"/>
    </row>
    <row r="14" spans="1:22" s="2602" customFormat="1" ht="13.2" customHeight="1">
      <c r="A14" s="2645" t="s">
        <v>2358</v>
      </c>
      <c r="B14" s="3391" t="s">
        <v>2359</v>
      </c>
      <c r="C14" s="3392"/>
      <c r="D14" s="2646">
        <f>ROUND(E14*B5/10000,0)</f>
        <v>0</v>
      </c>
      <c r="E14" s="2635"/>
      <c r="F14" s="2640" t="s">
        <v>2360</v>
      </c>
      <c r="G14" s="2641"/>
      <c r="H14" s="2597"/>
      <c r="I14" s="2598"/>
      <c r="J14" s="3381"/>
      <c r="K14" s="3384"/>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2362</v>
      </c>
      <c r="B15" s="3391" t="s">
        <v>2363</v>
      </c>
      <c r="C15" s="3392"/>
      <c r="D15" s="2646">
        <f>ROUND(D6*E15,0)</f>
        <v>0</v>
      </c>
      <c r="E15" s="2647">
        <v>5.5E-2</v>
      </c>
      <c r="F15" s="2640" t="s">
        <v>2364</v>
      </c>
      <c r="G15" s="2622"/>
      <c r="H15" s="2597"/>
      <c r="I15" s="2598"/>
      <c r="J15" s="3381">
        <v>2</v>
      </c>
      <c r="K15" s="3382"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2" customHeight="1">
      <c r="A16" s="2645" t="s">
        <v>2371</v>
      </c>
      <c r="B16" s="3391" t="s">
        <v>2372</v>
      </c>
      <c r="C16" s="3392"/>
      <c r="D16" s="2657">
        <f>D6*E16</f>
        <v>0</v>
      </c>
      <c r="E16" s="2658"/>
      <c r="F16" s="2643" t="s">
        <v>2373</v>
      </c>
      <c r="G16" s="2622"/>
      <c r="H16" s="2597"/>
      <c r="I16" s="2598"/>
      <c r="J16" s="3381"/>
      <c r="K16" s="3383"/>
      <c r="L16" s="2632" t="s">
        <v>2374</v>
      </c>
      <c r="M16" s="2633"/>
      <c r="N16" s="2633"/>
      <c r="O16" s="2634"/>
      <c r="P16" s="2635">
        <v>365</v>
      </c>
      <c r="Q16" s="2609"/>
      <c r="R16" s="2656">
        <f>ROUND(M16*N16*O16*P16/10000,0)</f>
        <v>0</v>
      </c>
      <c r="S16" s="2590"/>
      <c r="T16" s="2590"/>
      <c r="U16" s="2590"/>
      <c r="V16" s="2598"/>
    </row>
    <row r="17" spans="1:22" s="2602" customFormat="1" ht="13.2" customHeight="1" thickBot="1">
      <c r="A17" s="2659">
        <v>4</v>
      </c>
      <c r="B17" s="3393" t="s">
        <v>2375</v>
      </c>
      <c r="C17" s="3394"/>
      <c r="D17" s="2660">
        <f>ROUND(D6*E17,0)</f>
        <v>0</v>
      </c>
      <c r="E17" s="2661"/>
      <c r="F17" s="2662" t="s">
        <v>2376</v>
      </c>
      <c r="G17" s="2622"/>
      <c r="H17" s="2597"/>
      <c r="I17" s="2598"/>
      <c r="J17" s="3381"/>
      <c r="K17" s="3383"/>
      <c r="L17" s="2632" t="s">
        <v>2377</v>
      </c>
      <c r="M17" s="2633"/>
      <c r="N17" s="2633"/>
      <c r="O17" s="2634"/>
      <c r="P17" s="2635">
        <v>365</v>
      </c>
      <c r="Q17" s="2609"/>
      <c r="R17" s="2656">
        <f>ROUND(M17*N17*O17*P17/10000,0)</f>
        <v>0</v>
      </c>
      <c r="S17" s="2590"/>
      <c r="T17" s="2590"/>
      <c r="U17" s="2590"/>
      <c r="V17" s="2598"/>
    </row>
    <row r="18" spans="1:22" s="2602" customFormat="1" ht="13.2" customHeight="1" thickBot="1">
      <c r="A18" s="2625" t="s">
        <v>2378</v>
      </c>
      <c r="B18" s="2626"/>
      <c r="C18" s="2626"/>
      <c r="D18" s="2663">
        <f>ROUND(D6*E18,0)</f>
        <v>0</v>
      </c>
      <c r="E18" s="2664"/>
      <c r="F18" s="2665" t="s">
        <v>2379</v>
      </c>
      <c r="G18" s="2622"/>
      <c r="H18" s="2597"/>
      <c r="I18" s="2598"/>
      <c r="J18" s="3381"/>
      <c r="K18" s="3383"/>
      <c r="L18" s="2632" t="s">
        <v>2380</v>
      </c>
      <c r="M18" s="2633"/>
      <c r="N18" s="2633"/>
      <c r="O18" s="2634"/>
      <c r="P18" s="2635">
        <v>365</v>
      </c>
      <c r="Q18" s="2609"/>
      <c r="R18" s="2656">
        <f>ROUND(M18*N18*O18*P18/10000,0)</f>
        <v>0</v>
      </c>
      <c r="S18" s="2590"/>
      <c r="T18" s="2590"/>
      <c r="U18" s="2590"/>
      <c r="V18" s="2598"/>
    </row>
    <row r="19" spans="1:22" s="2602" customFormat="1" ht="13.2" customHeight="1" thickBot="1">
      <c r="A19" s="2666" t="s">
        <v>2381</v>
      </c>
      <c r="B19" s="2620"/>
      <c r="C19" s="2620"/>
      <c r="D19" s="2620"/>
      <c r="E19" s="2620"/>
      <c r="F19" s="2621"/>
      <c r="G19" s="2641"/>
      <c r="H19" s="2597"/>
      <c r="I19" s="2598"/>
      <c r="J19" s="3381"/>
      <c r="K19" s="3384"/>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1">
        <v>3</v>
      </c>
      <c r="K20" s="3382"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2" customHeight="1">
      <c r="A21" s="2625"/>
      <c r="B21" s="2626"/>
      <c r="C21" s="2671" t="s">
        <v>2390</v>
      </c>
      <c r="D21" s="2672" t="s">
        <v>2391</v>
      </c>
      <c r="E21" s="2673" t="s">
        <v>2392</v>
      </c>
      <c r="F21" s="2669"/>
      <c r="G21" s="2641"/>
      <c r="H21" s="2597"/>
      <c r="I21" s="2598"/>
      <c r="J21" s="3381"/>
      <c r="K21" s="3383"/>
      <c r="L21" s="2632" t="s">
        <v>2393</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2394</v>
      </c>
      <c r="D22" s="2676" t="s">
        <v>2395</v>
      </c>
      <c r="E22" s="2677" t="s">
        <v>2396</v>
      </c>
      <c r="F22" s="2669"/>
      <c r="G22" s="2590"/>
      <c r="H22" s="2597"/>
      <c r="I22" s="2598"/>
      <c r="J22" s="3381"/>
      <c r="K22" s="3383"/>
      <c r="L22" s="2632" t="s">
        <v>2397</v>
      </c>
      <c r="M22" s="2633"/>
      <c r="N22" s="2633"/>
      <c r="O22" s="2634"/>
      <c r="P22" s="2635">
        <v>365</v>
      </c>
      <c r="Q22" s="2609"/>
      <c r="R22" s="2674">
        <f>ROUND(M22*N22*O22*P22/10000,0)</f>
        <v>0</v>
      </c>
      <c r="S22" s="2590"/>
      <c r="T22" s="2590"/>
      <c r="U22" s="2590"/>
      <c r="V22" s="2598"/>
    </row>
    <row r="23" spans="1:22" s="2602" customFormat="1" ht="13.2" customHeight="1">
      <c r="A23" s="2678">
        <v>1</v>
      </c>
      <c r="B23" s="2679" t="s">
        <v>2398</v>
      </c>
      <c r="C23" s="2680">
        <f>D6</f>
        <v>0</v>
      </c>
      <c r="D23" s="2681">
        <f>C23*(1+D24)</f>
        <v>0</v>
      </c>
      <c r="E23" s="2682">
        <f>D23*(1+E24)</f>
        <v>0</v>
      </c>
      <c r="F23" s="2683"/>
      <c r="G23" s="2684"/>
      <c r="H23" s="2597"/>
      <c r="I23" s="2598"/>
      <c r="J23" s="3381"/>
      <c r="K23" s="3383"/>
      <c r="L23" s="2632" t="s">
        <v>2399</v>
      </c>
      <c r="M23" s="2633"/>
      <c r="N23" s="2633"/>
      <c r="O23" s="2634"/>
      <c r="P23" s="2635">
        <v>365</v>
      </c>
      <c r="Q23" s="2609"/>
      <c r="R23" s="2674">
        <f>ROUND(M23*N23*O23*P23/10000,0)</f>
        <v>0</v>
      </c>
      <c r="S23" s="2590"/>
      <c r="T23" s="2590"/>
      <c r="U23" s="2590"/>
      <c r="V23" s="2598"/>
    </row>
    <row r="24" spans="1:22" s="2602" customFormat="1" ht="13.2" customHeight="1">
      <c r="A24" s="2685"/>
      <c r="B24" s="2686" t="s">
        <v>2400</v>
      </c>
      <c r="C24" s="2687"/>
      <c r="D24" s="2688"/>
      <c r="E24" s="2689"/>
      <c r="F24" s="2690"/>
      <c r="G24" s="2684"/>
      <c r="H24" s="2597"/>
      <c r="I24" s="2598"/>
      <c r="J24" s="3381"/>
      <c r="K24" s="3384"/>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2" customHeight="1">
      <c r="A26" s="2678">
        <v>2</v>
      </c>
      <c r="B26" s="2679" t="s">
        <v>2402</v>
      </c>
      <c r="C26" s="2680">
        <f>D7</f>
        <v>0</v>
      </c>
      <c r="D26" s="2681">
        <f>D23*D27</f>
        <v>0</v>
      </c>
      <c r="E26" s="2682">
        <f>E23*E27</f>
        <v>0</v>
      </c>
      <c r="F26" s="2683"/>
      <c r="G26" s="2684"/>
      <c r="H26" s="2597"/>
      <c r="I26" s="2598"/>
      <c r="J26" s="3385">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2" customHeight="1">
      <c r="A27" s="2685"/>
      <c r="B27" s="2686" t="s">
        <v>2408</v>
      </c>
      <c r="C27" s="2703" t="e">
        <f>E7</f>
        <v>#DIV/0!</v>
      </c>
      <c r="D27" s="2688"/>
      <c r="E27" s="2689"/>
      <c r="F27" s="2690"/>
      <c r="G27" s="2684"/>
      <c r="H27" s="2704"/>
      <c r="I27" s="2696"/>
      <c r="J27" s="338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2"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2" customHeight="1">
      <c r="A32" s="2678">
        <v>4</v>
      </c>
      <c r="B32" s="2679" t="s">
        <v>2416</v>
      </c>
      <c r="C32" s="2680">
        <f>C23-C26-C29</f>
        <v>0</v>
      </c>
      <c r="D32" s="2681">
        <f>D23-D26-D29</f>
        <v>0</v>
      </c>
      <c r="E32" s="2682">
        <f>E23-E26-E29</f>
        <v>0</v>
      </c>
      <c r="F32" s="2683"/>
      <c r="G32" s="2590"/>
      <c r="H32" s="2597"/>
      <c r="I32" s="2598"/>
      <c r="J32" s="3387" t="s">
        <v>2308</v>
      </c>
      <c r="K32" s="3388"/>
      <c r="L32" s="2599" t="s">
        <v>2309</v>
      </c>
      <c r="M32" s="2599" t="s">
        <v>2310</v>
      </c>
      <c r="N32" s="2599" t="s">
        <v>2311</v>
      </c>
      <c r="O32" s="2599" t="s">
        <v>2312</v>
      </c>
      <c r="P32" s="2599" t="s">
        <v>2313</v>
      </c>
      <c r="Q32" s="2600" t="s">
        <v>2314</v>
      </c>
      <c r="R32" s="2719" t="s">
        <v>2315</v>
      </c>
      <c r="S32" s="2590"/>
      <c r="T32" s="2590"/>
      <c r="U32" s="2590"/>
      <c r="V32" s="2696"/>
    </row>
    <row r="33" spans="1:23" s="2602" customFormat="1" ht="13.2" customHeight="1">
      <c r="A33" s="2678"/>
      <c r="B33" s="2679"/>
      <c r="C33" s="2680"/>
      <c r="D33" s="2720"/>
      <c r="E33" s="2721"/>
      <c r="F33" s="2683"/>
      <c r="G33" s="2590"/>
      <c r="H33" s="2704"/>
      <c r="I33" s="2696"/>
      <c r="J33" s="3389" t="s">
        <v>2318</v>
      </c>
      <c r="K33" s="3390"/>
      <c r="L33" s="2605"/>
      <c r="M33" s="2605"/>
      <c r="N33" s="2605"/>
      <c r="O33" s="2605"/>
      <c r="P33" s="2605"/>
      <c r="Q33" s="2606"/>
      <c r="R33" s="2722">
        <f>SUM(L33:Q33)</f>
        <v>0</v>
      </c>
      <c r="S33" s="2590"/>
      <c r="T33" s="2590"/>
      <c r="U33" s="2590"/>
      <c r="V33" s="2598"/>
    </row>
    <row r="34" spans="1:23" s="2602" customFormat="1" ht="13.2" customHeight="1">
      <c r="A34" s="2678">
        <v>5</v>
      </c>
      <c r="B34" s="2679" t="s">
        <v>2417</v>
      </c>
      <c r="C34" s="2723"/>
      <c r="D34" s="2724"/>
      <c r="E34" s="2725"/>
      <c r="F34" s="2683"/>
      <c r="G34" s="2590"/>
      <c r="H34" s="2704"/>
      <c r="I34" s="2696"/>
      <c r="J34" s="3389" t="s">
        <v>2320</v>
      </c>
      <c r="K34" s="339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2" customHeight="1" thickBot="1">
      <c r="A36" s="2678">
        <v>7</v>
      </c>
      <c r="B36" s="2732" t="s">
        <v>2419</v>
      </c>
      <c r="C36" s="2733"/>
      <c r="D36" s="2734"/>
      <c r="E36" s="2735"/>
      <c r="F36" s="2736">
        <f>C36+D36+E36</f>
        <v>0</v>
      </c>
      <c r="G36" s="2590"/>
      <c r="H36" s="2597"/>
      <c r="I36" s="2598"/>
      <c r="J36" s="3381">
        <v>1</v>
      </c>
      <c r="K36" s="3382" t="s">
        <v>2420</v>
      </c>
      <c r="L36" s="2623"/>
      <c r="M36" s="2624"/>
      <c r="N36" s="2624"/>
      <c r="O36" s="2624"/>
      <c r="P36" s="2624"/>
      <c r="Q36" s="2624"/>
      <c r="R36" s="2607" t="s">
        <v>2332</v>
      </c>
      <c r="S36" s="2590"/>
      <c r="T36" s="2590" t="s">
        <v>2333</v>
      </c>
      <c r="U36" s="2590"/>
      <c r="V36" s="2598"/>
    </row>
    <row r="37" spans="1:23" s="2602" customFormat="1" ht="13.2"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2336</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2343</v>
      </c>
      <c r="U38" s="2590"/>
      <c r="V38" s="2598"/>
    </row>
    <row r="39" spans="1:23" s="2602" customFormat="1" ht="13.2" customHeight="1">
      <c r="A39" s="2678">
        <v>9</v>
      </c>
      <c r="B39" s="2679" t="s">
        <v>2421</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2" customHeight="1">
      <c r="A40" s="2737">
        <v>10</v>
      </c>
      <c r="B40" s="2679" t="s">
        <v>2422</v>
      </c>
      <c r="C40" s="2738" t="e">
        <f>C39+D39+E39</f>
        <v>#DIV/0!</v>
      </c>
      <c r="D40" s="2739"/>
      <c r="E40" s="2739"/>
      <c r="F40" s="2740"/>
      <c r="G40" s="2590"/>
      <c r="H40" s="2597"/>
      <c r="I40" s="2598"/>
      <c r="J40" s="3381"/>
      <c r="K40" s="3384"/>
      <c r="L40" s="2652" t="s">
        <v>2361</v>
      </c>
      <c r="M40" s="2653"/>
      <c r="N40" s="2653"/>
      <c r="O40" s="2654"/>
      <c r="P40" s="2654"/>
      <c r="Q40" s="2655"/>
      <c r="R40" s="2601">
        <f>SUM(R37:R39)</f>
        <v>0</v>
      </c>
      <c r="S40" s="2590"/>
      <c r="T40" s="2590"/>
      <c r="U40" s="2590"/>
      <c r="V40" s="2598"/>
    </row>
    <row r="41" spans="1:23" s="2602" customFormat="1" ht="13.2"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2" customHeight="1">
      <c r="G42" s="2597"/>
      <c r="H42" s="2597"/>
      <c r="I42" s="2598"/>
      <c r="J42" s="3385">
        <v>3</v>
      </c>
      <c r="K42" s="2698" t="s">
        <v>2403</v>
      </c>
      <c r="L42" s="2699"/>
      <c r="M42" s="2700"/>
      <c r="N42" s="2701" t="s">
        <v>2404</v>
      </c>
      <c r="O42" s="2701" t="s">
        <v>2405</v>
      </c>
      <c r="P42" s="2702" t="s">
        <v>2406</v>
      </c>
      <c r="Q42" s="2702" t="s">
        <v>2407</v>
      </c>
      <c r="R42" s="2607" t="s">
        <v>2332</v>
      </c>
      <c r="S42" s="2641"/>
      <c r="T42" s="2641"/>
      <c r="U42" s="2590"/>
      <c r="V42" s="2598"/>
    </row>
    <row r="43" spans="1:23" ht="13.2" customHeight="1">
      <c r="A43" s="2602"/>
      <c r="B43" s="2602"/>
      <c r="C43" s="2602"/>
      <c r="D43" s="2602"/>
      <c r="E43" s="2602"/>
      <c r="F43" s="2602"/>
      <c r="I43" s="2585"/>
      <c r="J43" s="338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466.51119999999997</v>
      </c>
      <c r="C2" s="1728" t="s">
        <v>1651</v>
      </c>
      <c r="D2" s="1729" t="s">
        <v>1652</v>
      </c>
      <c r="E2" s="2391">
        <f>SUM(E6:E13)</f>
        <v>195.79</v>
      </c>
      <c r="F2" s="2477"/>
      <c r="G2" s="458"/>
      <c r="H2" s="458"/>
      <c r="I2" s="458"/>
      <c r="J2" s="458"/>
      <c r="K2" s="458"/>
      <c r="L2" s="458"/>
      <c r="M2" s="458"/>
      <c r="N2" s="458"/>
      <c r="O2" s="458"/>
      <c r="P2" s="458"/>
      <c r="Q2" s="458"/>
      <c r="R2" s="458"/>
      <c r="S2" s="458"/>
    </row>
    <row r="3" spans="1:22" ht="15.6">
      <c r="A3" s="1727" t="s">
        <v>686</v>
      </c>
      <c r="B3" s="2385">
        <f ca="1">ROUND(B2*10000/E2,0)</f>
        <v>23827</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00" t="s">
        <v>1654</v>
      </c>
      <c r="C5" s="3401"/>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v>
      </c>
      <c r="B6" s="2386">
        <f ca="1">IF(F6="是",'数据-取费表'!AO6,0)</f>
        <v>466.51119999999997</v>
      </c>
      <c r="C6" s="1728" t="s">
        <v>1651</v>
      </c>
      <c r="D6" s="2477"/>
      <c r="E6" s="2390">
        <f>IF(OR(A6=0,F6="否"),0,'数据-取费表'!K6+'数据-取费表'!S6)</f>
        <v>195.79</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195.79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20" t="s">
        <v>1667</v>
      </c>
      <c r="D4" s="3421"/>
      <c r="E4" s="3422" t="s">
        <v>1668</v>
      </c>
      <c r="F4" s="3423"/>
      <c r="G4" s="3420" t="s">
        <v>1669</v>
      </c>
      <c r="H4" s="3421"/>
      <c r="I4" s="3420" t="s">
        <v>1670</v>
      </c>
      <c r="J4" s="3421"/>
      <c r="K4" s="1743" t="s">
        <v>1671</v>
      </c>
      <c r="L4" s="2484"/>
      <c r="M4" s="2485"/>
      <c r="N4" s="2485"/>
      <c r="O4" s="2485"/>
      <c r="P4" s="3424" t="s">
        <v>1672</v>
      </c>
      <c r="Q4" s="3425"/>
      <c r="R4" s="3430" t="s">
        <v>1668</v>
      </c>
      <c r="S4" s="3431"/>
      <c r="T4" s="3430" t="s">
        <v>1669</v>
      </c>
      <c r="U4" s="3431"/>
      <c r="V4" s="3406" t="s">
        <v>1670</v>
      </c>
      <c r="W4" s="3406"/>
      <c r="X4" s="1264"/>
      <c r="Y4" s="3430" t="s">
        <v>1672</v>
      </c>
      <c r="Z4" s="3431"/>
      <c r="AA4" s="3417" t="s">
        <v>1668</v>
      </c>
      <c r="AB4" s="3417" t="s">
        <v>1669</v>
      </c>
      <c r="AC4" s="3417" t="s">
        <v>1670</v>
      </c>
    </row>
    <row r="5" spans="1:29">
      <c r="A5" s="347"/>
      <c r="B5" s="348"/>
      <c r="C5" s="3438" t="s">
        <v>1673</v>
      </c>
      <c r="D5" s="3439"/>
      <c r="E5" s="3445" t="s">
        <v>1674</v>
      </c>
      <c r="F5" s="3446"/>
      <c r="G5" s="3438" t="s">
        <v>1675</v>
      </c>
      <c r="H5" s="3439"/>
      <c r="I5" s="3438" t="s">
        <v>1676</v>
      </c>
      <c r="J5" s="3439"/>
      <c r="K5" s="1744"/>
      <c r="L5" s="2484"/>
      <c r="M5" s="2485"/>
      <c r="N5" s="2485"/>
      <c r="O5" s="2485"/>
      <c r="P5" s="3426"/>
      <c r="Q5" s="3427"/>
      <c r="R5" s="3432"/>
      <c r="S5" s="3433"/>
      <c r="T5" s="3432"/>
      <c r="U5" s="3433"/>
      <c r="V5" s="3406"/>
      <c r="W5" s="3406"/>
      <c r="X5" s="1264"/>
      <c r="Y5" s="3432"/>
      <c r="Z5" s="3433"/>
      <c r="AA5" s="3418"/>
      <c r="AB5" s="3418"/>
      <c r="AC5" s="3418"/>
    </row>
    <row r="6" spans="1:29" ht="15" thickBot="1">
      <c r="A6" s="349"/>
      <c r="B6" s="350"/>
      <c r="C6" s="3436" t="s">
        <v>1677</v>
      </c>
      <c r="D6" s="3437"/>
      <c r="E6" s="3443" t="s">
        <v>1677</v>
      </c>
      <c r="F6" s="3444"/>
      <c r="G6" s="3436" t="s">
        <v>1677</v>
      </c>
      <c r="H6" s="3437"/>
      <c r="I6" s="3436" t="s">
        <v>1677</v>
      </c>
      <c r="J6" s="3437"/>
      <c r="K6" s="1744" t="s">
        <v>1678</v>
      </c>
      <c r="L6" s="2484"/>
      <c r="M6" s="2485"/>
      <c r="N6" s="2485"/>
      <c r="O6" s="2485"/>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40" t="s">
        <v>1680</v>
      </c>
      <c r="Q7" s="3442"/>
      <c r="R7" s="663" t="s">
        <v>20</v>
      </c>
      <c r="S7" s="664">
        <f t="shared" ref="S7:S15" si="0">F7</f>
        <v>0</v>
      </c>
      <c r="T7" s="663" t="s">
        <v>20</v>
      </c>
      <c r="U7" s="664">
        <f t="shared" ref="U7:U15" si="1">H7</f>
        <v>0</v>
      </c>
      <c r="V7" s="663" t="s">
        <v>20</v>
      </c>
      <c r="W7" s="664">
        <f t="shared" ref="W7:W15" si="2">J7</f>
        <v>0</v>
      </c>
      <c r="X7" s="665"/>
      <c r="Y7" s="3440" t="s">
        <v>1680</v>
      </c>
      <c r="Z7" s="3441"/>
      <c r="AA7" s="49" t="e">
        <f>D7/F7</f>
        <v>#DIV/0!</v>
      </c>
      <c r="AB7" s="49" t="e">
        <f>D7/H7</f>
        <v>#DIV/0!</v>
      </c>
      <c r="AC7" s="49"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40" t="s">
        <v>1683</v>
      </c>
      <c r="Q8" s="3441"/>
      <c r="R8" s="663" t="s">
        <v>20</v>
      </c>
      <c r="S8" s="664">
        <f t="shared" si="0"/>
        <v>100</v>
      </c>
      <c r="T8" s="663" t="s">
        <v>20</v>
      </c>
      <c r="U8" s="664">
        <f t="shared" si="1"/>
        <v>100</v>
      </c>
      <c r="V8" s="663" t="s">
        <v>20</v>
      </c>
      <c r="W8" s="664">
        <f t="shared" si="2"/>
        <v>100</v>
      </c>
      <c r="X8" s="665"/>
      <c r="Y8" s="3440" t="s">
        <v>1683</v>
      </c>
      <c r="Z8" s="3441"/>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6"/>
      <c r="M9" s="2438"/>
      <c r="N9" s="2438"/>
      <c r="O9" s="2438"/>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16"/>
      <c r="Q11" s="529" t="str">
        <f t="shared" si="6"/>
        <v>容积率</v>
      </c>
      <c r="R11" s="663" t="s">
        <v>18</v>
      </c>
      <c r="S11" s="664" t="e">
        <f t="shared" si="0"/>
        <v>#N/A</v>
      </c>
      <c r="T11" s="663" t="s">
        <v>18</v>
      </c>
      <c r="U11" s="664" t="e">
        <f t="shared" si="1"/>
        <v>#N/A</v>
      </c>
      <c r="V11" s="663" t="s">
        <v>18</v>
      </c>
      <c r="W11" s="664" t="e">
        <f t="shared" si="2"/>
        <v>#N/A</v>
      </c>
      <c r="X11" s="665"/>
      <c r="Y11" s="3261"/>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16"/>
      <c r="Q12" s="529">
        <f t="shared" si="6"/>
        <v>111</v>
      </c>
      <c r="R12" s="663" t="s">
        <v>18</v>
      </c>
      <c r="S12" s="664">
        <f t="shared" si="0"/>
        <v>100</v>
      </c>
      <c r="T12" s="663" t="s">
        <v>18</v>
      </c>
      <c r="U12" s="664">
        <f t="shared" si="1"/>
        <v>100</v>
      </c>
      <c r="V12" s="663" t="s">
        <v>18</v>
      </c>
      <c r="W12" s="664">
        <f t="shared" si="2"/>
        <v>100</v>
      </c>
      <c r="X12" s="665"/>
      <c r="Y12" s="326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16"/>
      <c r="Q13" s="529">
        <f t="shared" si="6"/>
        <v>111</v>
      </c>
      <c r="R13" s="663" t="s">
        <v>18</v>
      </c>
      <c r="S13" s="664">
        <f t="shared" si="0"/>
        <v>100</v>
      </c>
      <c r="T13" s="663" t="s">
        <v>18</v>
      </c>
      <c r="U13" s="664">
        <f t="shared" si="1"/>
        <v>100</v>
      </c>
      <c r="V13" s="663" t="s">
        <v>18</v>
      </c>
      <c r="W13" s="664">
        <f t="shared" si="2"/>
        <v>100</v>
      </c>
      <c r="X13" s="665"/>
      <c r="Y13" s="3261"/>
      <c r="Z13" s="49">
        <f t="shared" si="7"/>
        <v>111</v>
      </c>
      <c r="AA13" s="49">
        <f t="shared" si="3"/>
        <v>1</v>
      </c>
      <c r="AB13" s="49">
        <f t="shared" si="4"/>
        <v>1</v>
      </c>
      <c r="AC13" s="49">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16"/>
      <c r="Q14" s="529">
        <f t="shared" si="6"/>
        <v>111</v>
      </c>
      <c r="R14" s="663" t="s">
        <v>18</v>
      </c>
      <c r="S14" s="664">
        <f t="shared" si="0"/>
        <v>100</v>
      </c>
      <c r="T14" s="663" t="s">
        <v>18</v>
      </c>
      <c r="U14" s="664">
        <f t="shared" si="1"/>
        <v>100</v>
      </c>
      <c r="V14" s="663" t="s">
        <v>18</v>
      </c>
      <c r="W14" s="664">
        <f t="shared" si="2"/>
        <v>100</v>
      </c>
      <c r="X14" s="665"/>
      <c r="Y14" s="3261"/>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14" t="s">
        <v>1691</v>
      </c>
      <c r="Q15" s="1262" t="str">
        <f t="shared" si="6"/>
        <v>居住社区成熟度</v>
      </c>
      <c r="R15" s="666" t="s">
        <v>18</v>
      </c>
      <c r="S15" s="667">
        <f t="shared" si="0"/>
        <v>100</v>
      </c>
      <c r="T15" s="666" t="s">
        <v>18</v>
      </c>
      <c r="U15" s="667">
        <f t="shared" si="1"/>
        <v>100</v>
      </c>
      <c r="V15" s="666" t="s">
        <v>18</v>
      </c>
      <c r="W15" s="667">
        <f t="shared" si="2"/>
        <v>100</v>
      </c>
      <c r="X15" s="1264"/>
      <c r="Y15" s="340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15"/>
      <c r="Q16" s="1262"/>
      <c r="R16" s="666"/>
      <c r="S16" s="667"/>
      <c r="T16" s="666"/>
      <c r="U16" s="667"/>
      <c r="V16" s="666"/>
      <c r="W16" s="667"/>
      <c r="X16" s="1264"/>
      <c r="Y16" s="3408"/>
      <c r="Z16" s="1263"/>
      <c r="AA16" s="1263">
        <v>1</v>
      </c>
      <c r="AB16" s="1263">
        <v>1</v>
      </c>
      <c r="AC16" s="1263">
        <v>1</v>
      </c>
    </row>
    <row r="17" spans="1:29" ht="96.6">
      <c r="A17" s="366"/>
      <c r="B17" s="389" t="s">
        <v>1259</v>
      </c>
      <c r="C17" s="1753" t="str">
        <f>估价对象房地状况!C6</f>
        <v>周边有75、110、420路及地铁2号、6号线，周边道路密集，停车便捷程度，综合评价交通便捷度较好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15"/>
      <c r="Q17" s="1262" t="str">
        <f>B17</f>
        <v>交通便捷度</v>
      </c>
      <c r="R17" s="666" t="s">
        <v>18</v>
      </c>
      <c r="S17" s="667">
        <f>F17</f>
        <v>100</v>
      </c>
      <c r="T17" s="666" t="s">
        <v>18</v>
      </c>
      <c r="U17" s="667">
        <f>H17</f>
        <v>100</v>
      </c>
      <c r="V17" s="666" t="s">
        <v>18</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15"/>
      <c r="Q18" s="1262"/>
      <c r="R18" s="666"/>
      <c r="S18" s="667"/>
      <c r="T18" s="666"/>
      <c r="U18" s="667"/>
      <c r="V18" s="666"/>
      <c r="W18" s="667"/>
      <c r="X18" s="1264"/>
      <c r="Y18" s="3408"/>
      <c r="Z18" s="1263"/>
      <c r="AA18" s="1263">
        <v>1</v>
      </c>
      <c r="AB18" s="1263">
        <v>1</v>
      </c>
      <c r="AC18" s="1263">
        <v>1</v>
      </c>
    </row>
    <row r="19" spans="1:29" ht="82.8">
      <c r="A19" s="366"/>
      <c r="B19" s="389" t="s">
        <v>1258</v>
      </c>
      <c r="C19" s="1753"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15"/>
      <c r="Q19" s="1262" t="str">
        <f>B19</f>
        <v>公共配套设施</v>
      </c>
      <c r="R19" s="666" t="s">
        <v>18</v>
      </c>
      <c r="S19" s="667">
        <f>F19</f>
        <v>100</v>
      </c>
      <c r="T19" s="666" t="s">
        <v>18</v>
      </c>
      <c r="U19" s="667">
        <f>H19</f>
        <v>100</v>
      </c>
      <c r="V19" s="666" t="s">
        <v>18</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15"/>
      <c r="Q20" s="1262"/>
      <c r="R20" s="666"/>
      <c r="S20" s="667"/>
      <c r="T20" s="666"/>
      <c r="U20" s="667"/>
      <c r="V20" s="666"/>
      <c r="W20" s="667"/>
      <c r="X20" s="1264"/>
      <c r="Y20" s="3408"/>
      <c r="Z20" s="1263"/>
      <c r="AA20" s="1263">
        <v>1</v>
      </c>
      <c r="AB20" s="1263">
        <v>1</v>
      </c>
      <c r="AC20" s="1263">
        <v>1</v>
      </c>
    </row>
    <row r="21" spans="1:29" ht="41.4">
      <c r="A21" s="366"/>
      <c r="B21" s="585" t="s">
        <v>1260</v>
      </c>
      <c r="C21" s="1753"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15"/>
      <c r="Q22" s="1262"/>
      <c r="R22" s="666"/>
      <c r="S22" s="667"/>
      <c r="T22" s="666"/>
      <c r="U22" s="667"/>
      <c r="V22" s="666"/>
      <c r="W22" s="667"/>
      <c r="X22" s="1264"/>
      <c r="Y22" s="3408"/>
      <c r="Z22" s="1263"/>
      <c r="AA22" s="1263">
        <v>1</v>
      </c>
      <c r="AB22" s="1263">
        <v>1</v>
      </c>
      <c r="AC22" s="1263">
        <v>1</v>
      </c>
    </row>
    <row r="23" spans="1:29" ht="96.6">
      <c r="A23" s="366"/>
      <c r="B23" s="389" t="s">
        <v>1261</v>
      </c>
      <c r="C23" s="1753" t="str">
        <f>估价对象房地状况!C9</f>
        <v>区域内有东城职业大学、日坛公园、富国海底世界等自然及人文环境，综合评价自然及人文环境状况较好。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15"/>
      <c r="Q23" s="1262" t="str">
        <f>B23</f>
        <v>自然及人文环境</v>
      </c>
      <c r="R23" s="666" t="s">
        <v>18</v>
      </c>
      <c r="S23" s="667">
        <f>F23</f>
        <v>100</v>
      </c>
      <c r="T23" s="666" t="s">
        <v>18</v>
      </c>
      <c r="U23" s="667">
        <f>H23</f>
        <v>100</v>
      </c>
      <c r="V23" s="666" t="s">
        <v>18</v>
      </c>
      <c r="W23" s="667">
        <f>J23</f>
        <v>100</v>
      </c>
      <c r="X23" s="1264"/>
      <c r="Y23" s="340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15"/>
      <c r="Q24" s="1262"/>
      <c r="R24" s="666"/>
      <c r="S24" s="667"/>
      <c r="T24" s="666"/>
      <c r="U24" s="667"/>
      <c r="V24" s="666"/>
      <c r="W24" s="667"/>
      <c r="X24" s="1264"/>
      <c r="Y24" s="340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1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15"/>
      <c r="Q26" s="1262" t="str">
        <f t="shared" si="11"/>
        <v>朝向</v>
      </c>
      <c r="R26" s="666" t="s">
        <v>18</v>
      </c>
      <c r="S26" s="667">
        <f t="shared" si="12"/>
        <v>100</v>
      </c>
      <c r="T26" s="666" t="s">
        <v>18</v>
      </c>
      <c r="U26" s="667">
        <f t="shared" si="13"/>
        <v>100</v>
      </c>
      <c r="V26" s="666" t="s">
        <v>18</v>
      </c>
      <c r="W26" s="667">
        <f t="shared" si="14"/>
        <v>100</v>
      </c>
      <c r="X26" s="1264"/>
      <c r="Y26" s="340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15"/>
      <c r="Q27" s="529">
        <f t="shared" si="11"/>
        <v>111</v>
      </c>
      <c r="R27" s="663" t="s">
        <v>18</v>
      </c>
      <c r="S27" s="664">
        <f t="shared" si="12"/>
        <v>100</v>
      </c>
      <c r="T27" s="663" t="s">
        <v>18</v>
      </c>
      <c r="U27" s="664">
        <f t="shared" si="13"/>
        <v>100</v>
      </c>
      <c r="V27" s="663" t="s">
        <v>18</v>
      </c>
      <c r="W27" s="664">
        <f t="shared" si="14"/>
        <v>100</v>
      </c>
      <c r="X27" s="665"/>
      <c r="Y27" s="3408"/>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15"/>
      <c r="Q28" s="1262">
        <f t="shared" si="11"/>
        <v>111</v>
      </c>
      <c r="R28" s="666" t="s">
        <v>18</v>
      </c>
      <c r="S28" s="667">
        <f t="shared" si="12"/>
        <v>100</v>
      </c>
      <c r="T28" s="666" t="s">
        <v>18</v>
      </c>
      <c r="U28" s="667">
        <f t="shared" si="13"/>
        <v>100</v>
      </c>
      <c r="V28" s="666" t="s">
        <v>18</v>
      </c>
      <c r="W28" s="667">
        <f t="shared" si="14"/>
        <v>100</v>
      </c>
      <c r="X28" s="1264"/>
      <c r="Y28" s="340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15"/>
      <c r="Q29" s="1262">
        <f t="shared" si="11"/>
        <v>111</v>
      </c>
      <c r="R29" s="666" t="s">
        <v>18</v>
      </c>
      <c r="S29" s="667">
        <f t="shared" si="12"/>
        <v>100</v>
      </c>
      <c r="T29" s="666" t="s">
        <v>18</v>
      </c>
      <c r="U29" s="667">
        <f t="shared" si="13"/>
        <v>100</v>
      </c>
      <c r="V29" s="666" t="s">
        <v>18</v>
      </c>
      <c r="W29" s="667">
        <f t="shared" si="14"/>
        <v>100</v>
      </c>
      <c r="X29" s="1264"/>
      <c r="Y29" s="340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15"/>
      <c r="Q30" s="1262">
        <f t="shared" si="11"/>
        <v>111</v>
      </c>
      <c r="R30" s="666" t="s">
        <v>18</v>
      </c>
      <c r="S30" s="667">
        <f t="shared" si="12"/>
        <v>100</v>
      </c>
      <c r="T30" s="666" t="s">
        <v>18</v>
      </c>
      <c r="U30" s="667">
        <f t="shared" si="13"/>
        <v>100</v>
      </c>
      <c r="V30" s="666" t="s">
        <v>18</v>
      </c>
      <c r="W30" s="667">
        <f t="shared" si="14"/>
        <v>100</v>
      </c>
      <c r="X30" s="1264"/>
      <c r="Y30" s="340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15"/>
      <c r="Q31" s="1262">
        <f t="shared" si="11"/>
        <v>111</v>
      </c>
      <c r="R31" s="666" t="s">
        <v>18</v>
      </c>
      <c r="S31" s="667">
        <f t="shared" si="12"/>
        <v>100</v>
      </c>
      <c r="T31" s="666" t="s">
        <v>18</v>
      </c>
      <c r="U31" s="667">
        <f t="shared" si="13"/>
        <v>100</v>
      </c>
      <c r="V31" s="666" t="s">
        <v>18</v>
      </c>
      <c r="W31" s="667">
        <f t="shared" si="14"/>
        <v>100</v>
      </c>
      <c r="X31" s="1264"/>
      <c r="Y31" s="3408"/>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09" t="s">
        <v>1696</v>
      </c>
      <c r="Q32" s="1262" t="str">
        <f t="shared" si="11"/>
        <v>建筑类型</v>
      </c>
      <c r="R32" s="666" t="s">
        <v>18</v>
      </c>
      <c r="S32" s="667">
        <f t="shared" si="12"/>
        <v>100</v>
      </c>
      <c r="T32" s="666" t="s">
        <v>18</v>
      </c>
      <c r="U32" s="667">
        <f t="shared" si="13"/>
        <v>100</v>
      </c>
      <c r="V32" s="666" t="s">
        <v>18</v>
      </c>
      <c r="W32" s="667">
        <f t="shared" si="14"/>
        <v>100</v>
      </c>
      <c r="X32" s="1264"/>
      <c r="Y32" s="341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10"/>
      <c r="Q33" s="530" t="str">
        <f t="shared" si="11"/>
        <v>项目建筑规模</v>
      </c>
      <c r="R33" s="668" t="s">
        <v>18</v>
      </c>
      <c r="S33" s="669" t="e">
        <f t="shared" si="12"/>
        <v>#N/A</v>
      </c>
      <c r="T33" s="668" t="s">
        <v>18</v>
      </c>
      <c r="U33" s="669" t="e">
        <f t="shared" si="13"/>
        <v>#N/A</v>
      </c>
      <c r="V33" s="668" t="s">
        <v>18</v>
      </c>
      <c r="W33" s="669" t="e">
        <f t="shared" si="14"/>
        <v>#N/A</v>
      </c>
      <c r="X33" s="670"/>
      <c r="Y33" s="341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10"/>
      <c r="Q34" s="1262" t="str">
        <f t="shared" si="11"/>
        <v>建筑结构</v>
      </c>
      <c r="R34" s="666" t="s">
        <v>18</v>
      </c>
      <c r="S34" s="667">
        <f t="shared" si="12"/>
        <v>100</v>
      </c>
      <c r="T34" s="666" t="s">
        <v>18</v>
      </c>
      <c r="U34" s="667">
        <f t="shared" si="13"/>
        <v>100</v>
      </c>
      <c r="V34" s="666" t="s">
        <v>18</v>
      </c>
      <c r="W34" s="667">
        <f t="shared" si="14"/>
        <v>100</v>
      </c>
      <c r="X34" s="1264"/>
      <c r="Y34" s="341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10"/>
      <c r="Q35" s="1262" t="str">
        <f t="shared" si="11"/>
        <v>建筑品质</v>
      </c>
      <c r="R35" s="666" t="s">
        <v>18</v>
      </c>
      <c r="S35" s="667">
        <f t="shared" si="12"/>
        <v>100</v>
      </c>
      <c r="T35" s="666" t="s">
        <v>18</v>
      </c>
      <c r="U35" s="667">
        <f t="shared" si="13"/>
        <v>100</v>
      </c>
      <c r="V35" s="666" t="s">
        <v>18</v>
      </c>
      <c r="W35" s="667">
        <f t="shared" si="14"/>
        <v>100</v>
      </c>
      <c r="X35" s="1264"/>
      <c r="Y35" s="341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10"/>
      <c r="Q36" s="1262" t="str">
        <f t="shared" si="11"/>
        <v>公共部分装修</v>
      </c>
      <c r="R36" s="666" t="s">
        <v>18</v>
      </c>
      <c r="S36" s="667">
        <f t="shared" si="12"/>
        <v>100</v>
      </c>
      <c r="T36" s="666" t="s">
        <v>18</v>
      </c>
      <c r="U36" s="667">
        <f t="shared" si="13"/>
        <v>100</v>
      </c>
      <c r="V36" s="666" t="s">
        <v>18</v>
      </c>
      <c r="W36" s="667">
        <f t="shared" si="14"/>
        <v>100</v>
      </c>
      <c r="X36" s="1264"/>
      <c r="Y36" s="341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10"/>
      <c r="Q37" s="529" t="str">
        <f t="shared" si="11"/>
        <v>成新度</v>
      </c>
      <c r="R37" s="663" t="s">
        <v>18</v>
      </c>
      <c r="S37" s="664" t="e">
        <f t="shared" si="12"/>
        <v>#N/A</v>
      </c>
      <c r="T37" s="663" t="s">
        <v>18</v>
      </c>
      <c r="U37" s="664" t="e">
        <f t="shared" si="13"/>
        <v>#N/A</v>
      </c>
      <c r="V37" s="663" t="s">
        <v>18</v>
      </c>
      <c r="W37" s="664" t="e">
        <f t="shared" si="14"/>
        <v>#N/A</v>
      </c>
      <c r="X37" s="665"/>
      <c r="Y37" s="3412"/>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10" t="s">
        <v>1696</v>
      </c>
      <c r="Q38" s="1262" t="str">
        <f t="shared" si="11"/>
        <v>物业管理</v>
      </c>
      <c r="R38" s="666" t="s">
        <v>18</v>
      </c>
      <c r="S38" s="667">
        <f t="shared" si="12"/>
        <v>100</v>
      </c>
      <c r="T38" s="666" t="s">
        <v>18</v>
      </c>
      <c r="U38" s="667">
        <f t="shared" si="13"/>
        <v>100</v>
      </c>
      <c r="V38" s="666" t="s">
        <v>18</v>
      </c>
      <c r="W38" s="667">
        <f t="shared" si="14"/>
        <v>100</v>
      </c>
      <c r="X38" s="1264"/>
      <c r="Y38" s="341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10"/>
      <c r="Q39" s="1262" t="str">
        <f t="shared" si="11"/>
        <v>市政基础设施</v>
      </c>
      <c r="R39" s="666" t="s">
        <v>18</v>
      </c>
      <c r="S39" s="667">
        <f t="shared" si="12"/>
        <v>100</v>
      </c>
      <c r="T39" s="666" t="s">
        <v>18</v>
      </c>
      <c r="U39" s="667">
        <f t="shared" si="13"/>
        <v>100</v>
      </c>
      <c r="V39" s="666" t="s">
        <v>18</v>
      </c>
      <c r="W39" s="667">
        <f t="shared" si="14"/>
        <v>100</v>
      </c>
      <c r="X39" s="1264"/>
      <c r="Y39" s="341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10"/>
      <c r="Q40" s="1262" t="str">
        <f t="shared" si="11"/>
        <v>房型</v>
      </c>
      <c r="R40" s="666" t="s">
        <v>18</v>
      </c>
      <c r="S40" s="667">
        <f t="shared" si="12"/>
        <v>100</v>
      </c>
      <c r="T40" s="666" t="s">
        <v>18</v>
      </c>
      <c r="U40" s="667">
        <f t="shared" si="13"/>
        <v>100</v>
      </c>
      <c r="V40" s="666" t="s">
        <v>18</v>
      </c>
      <c r="W40" s="667">
        <f t="shared" si="14"/>
        <v>100</v>
      </c>
      <c r="X40" s="1264"/>
      <c r="Y40" s="341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10"/>
      <c r="Q41" s="530" t="str">
        <f t="shared" si="11"/>
        <v>单套/主力户型建筑面积</v>
      </c>
      <c r="R41" s="668" t="s">
        <v>18</v>
      </c>
      <c r="S41" s="669">
        <f t="shared" si="12"/>
        <v>100</v>
      </c>
      <c r="T41" s="668" t="s">
        <v>18</v>
      </c>
      <c r="U41" s="669">
        <f t="shared" si="13"/>
        <v>100</v>
      </c>
      <c r="V41" s="668" t="s">
        <v>18</v>
      </c>
      <c r="W41" s="669">
        <f t="shared" si="14"/>
        <v>100</v>
      </c>
      <c r="X41" s="670"/>
      <c r="Y41" s="341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10"/>
      <c r="Q42" s="1262" t="str">
        <f t="shared" si="11"/>
        <v>内部装修</v>
      </c>
      <c r="R42" s="666" t="s">
        <v>18</v>
      </c>
      <c r="S42" s="667">
        <f t="shared" si="12"/>
        <v>100</v>
      </c>
      <c r="T42" s="666" t="s">
        <v>18</v>
      </c>
      <c r="U42" s="667">
        <f t="shared" si="13"/>
        <v>100</v>
      </c>
      <c r="V42" s="666" t="s">
        <v>18</v>
      </c>
      <c r="W42" s="667">
        <f t="shared" si="14"/>
        <v>100</v>
      </c>
      <c r="X42" s="1264"/>
      <c r="Y42" s="341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10"/>
      <c r="Q43" s="1262" t="str">
        <f t="shared" si="11"/>
        <v>内部装修维护情况</v>
      </c>
      <c r="R43" s="666" t="s">
        <v>18</v>
      </c>
      <c r="S43" s="667">
        <f t="shared" si="12"/>
        <v>100</v>
      </c>
      <c r="T43" s="666" t="s">
        <v>18</v>
      </c>
      <c r="U43" s="667">
        <f t="shared" si="13"/>
        <v>100</v>
      </c>
      <c r="V43" s="666" t="s">
        <v>18</v>
      </c>
      <c r="W43" s="667">
        <f t="shared" si="14"/>
        <v>100</v>
      </c>
      <c r="X43" s="1264"/>
      <c r="Y43" s="341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10"/>
      <c r="Q44" s="529">
        <f t="shared" si="11"/>
        <v>111</v>
      </c>
      <c r="R44" s="663" t="s">
        <v>18</v>
      </c>
      <c r="S44" s="664">
        <f t="shared" si="12"/>
        <v>100</v>
      </c>
      <c r="T44" s="663" t="s">
        <v>18</v>
      </c>
      <c r="U44" s="664">
        <f t="shared" si="13"/>
        <v>100</v>
      </c>
      <c r="V44" s="663" t="s">
        <v>18</v>
      </c>
      <c r="W44" s="664">
        <f t="shared" si="14"/>
        <v>100</v>
      </c>
      <c r="X44" s="665"/>
      <c r="Y44" s="3412"/>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10"/>
      <c r="Q45" s="1262">
        <f t="shared" si="11"/>
        <v>111</v>
      </c>
      <c r="R45" s="666" t="s">
        <v>18</v>
      </c>
      <c r="S45" s="667">
        <f t="shared" si="12"/>
        <v>100</v>
      </c>
      <c r="T45" s="666" t="s">
        <v>18</v>
      </c>
      <c r="U45" s="667">
        <f t="shared" si="13"/>
        <v>100</v>
      </c>
      <c r="V45" s="666" t="s">
        <v>18</v>
      </c>
      <c r="W45" s="667">
        <f t="shared" si="14"/>
        <v>100</v>
      </c>
      <c r="X45" s="1264"/>
      <c r="Y45" s="341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11"/>
      <c r="Q46" s="1262">
        <f t="shared" si="11"/>
        <v>111</v>
      </c>
      <c r="R46" s="666" t="s">
        <v>17</v>
      </c>
      <c r="S46" s="667">
        <f t="shared" si="12"/>
        <v>100</v>
      </c>
      <c r="T46" s="666" t="s">
        <v>17</v>
      </c>
      <c r="U46" s="667">
        <f t="shared" si="13"/>
        <v>100</v>
      </c>
      <c r="V46" s="666" t="s">
        <v>17</v>
      </c>
      <c r="W46" s="667">
        <f t="shared" si="14"/>
        <v>100</v>
      </c>
      <c r="X46" s="1264"/>
      <c r="Y46" s="341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0"/>
      <c r="E61" s="30"/>
      <c r="F61" s="30"/>
      <c r="G61" s="30"/>
      <c r="H61" s="30"/>
      <c r="I61" s="30"/>
      <c r="J61" s="30"/>
      <c r="K61" s="30"/>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0"/>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0"/>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195.79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4"/>
      <c r="Y4" s="3430" t="s">
        <v>1775</v>
      </c>
      <c r="Z4" s="3431"/>
      <c r="AA4" s="3417" t="s">
        <v>1771</v>
      </c>
      <c r="AB4" s="3406" t="s">
        <v>1772</v>
      </c>
      <c r="AC4" s="3417" t="s">
        <v>1773</v>
      </c>
    </row>
    <row r="5" spans="1:29">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4"/>
      <c r="Y5" s="3432"/>
      <c r="Z5" s="3433"/>
      <c r="AA5" s="3418"/>
      <c r="AB5" s="3406"/>
      <c r="AC5" s="3418"/>
    </row>
    <row r="6" spans="1:29" ht="1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4"/>
      <c r="Y6" s="3434"/>
      <c r="Z6" s="3435"/>
      <c r="AA6" s="3419"/>
      <c r="AB6" s="3406"/>
      <c r="AC6" s="3419"/>
    </row>
    <row r="7" spans="1:29" s="101" customFormat="1" ht="15" thickBot="1">
      <c r="A7" s="351" t="s">
        <v>1679</v>
      </c>
      <c r="B7" s="352"/>
      <c r="C7" s="353">
        <f>'数据-取费表'!B2</f>
        <v>45877</v>
      </c>
      <c r="D7" s="354">
        <v>100</v>
      </c>
      <c r="E7" s="355"/>
      <c r="F7" s="356">
        <f>SUMIF(58:58,YEAR(E7)&amp;"-"&amp;MONTH(E7),59:59)</f>
        <v>0</v>
      </c>
      <c r="G7" s="355"/>
      <c r="H7" s="354">
        <f>SUMIF(58:58,YEAR(G7)&amp;"-"&amp;MONTH(G7),59:59)</f>
        <v>0</v>
      </c>
      <c r="I7" s="355"/>
      <c r="J7" s="354">
        <f>SUMIF(58:58,YEAR(I7)&amp;"-"&amp;MONTH(I7),59:59)</f>
        <v>0</v>
      </c>
      <c r="K7" s="37"/>
      <c r="L7" s="2486"/>
      <c r="M7" s="2438"/>
      <c r="N7" s="2438"/>
      <c r="O7" s="2438"/>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49" t="e">
        <f>D7/F7</f>
        <v>#DIV/0!</v>
      </c>
      <c r="AB7" s="49" t="e">
        <f>D7/H7</f>
        <v>#DIV/0!</v>
      </c>
      <c r="AC7" s="49"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6"/>
      <c r="M8" s="2438"/>
      <c r="N8" s="2438"/>
      <c r="O8" s="2438"/>
      <c r="P8" s="3440" t="s">
        <v>1683</v>
      </c>
      <c r="Q8" s="3441"/>
      <c r="R8" s="663" t="s">
        <v>14</v>
      </c>
      <c r="S8" s="664">
        <f t="shared" si="0"/>
        <v>100</v>
      </c>
      <c r="T8" s="663" t="s">
        <v>14</v>
      </c>
      <c r="U8" s="664">
        <f t="shared" si="1"/>
        <v>100</v>
      </c>
      <c r="V8" s="663" t="s">
        <v>14</v>
      </c>
      <c r="W8" s="664">
        <f t="shared" si="2"/>
        <v>100</v>
      </c>
      <c r="X8" s="665"/>
      <c r="Y8" s="3440" t="s">
        <v>1683</v>
      </c>
      <c r="Z8" s="3441"/>
      <c r="AA8" s="49">
        <f t="shared" ref="AA8:AA46" si="3">D8/F8</f>
        <v>1</v>
      </c>
      <c r="AB8" s="49">
        <f t="shared" ref="AB8:AB46" si="4">D8/H8</f>
        <v>1</v>
      </c>
      <c r="AC8" s="49">
        <f t="shared" ref="AC8:AC46" si="5">D8/J8</f>
        <v>1</v>
      </c>
    </row>
    <row r="9" spans="1:29" s="101" customFormat="1" ht="14.4">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6"/>
      <c r="M9" s="2438"/>
      <c r="N9" s="2438"/>
      <c r="O9" s="2438"/>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7"/>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16"/>
      <c r="Q11" s="529" t="str">
        <f t="shared" si="6"/>
        <v>容积率</v>
      </c>
      <c r="R11" s="663" t="s">
        <v>14</v>
      </c>
      <c r="S11" s="664" t="e">
        <f t="shared" si="0"/>
        <v>#N/A</v>
      </c>
      <c r="T11" s="663" t="s">
        <v>14</v>
      </c>
      <c r="U11" s="664" t="e">
        <f t="shared" si="1"/>
        <v>#N/A</v>
      </c>
      <c r="V11" s="663" t="s">
        <v>14</v>
      </c>
      <c r="W11" s="664" t="e">
        <f t="shared" si="2"/>
        <v>#N/A</v>
      </c>
      <c r="X11" s="665"/>
      <c r="Y11" s="3261"/>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16"/>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16"/>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49">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16"/>
      <c r="Q14" s="529">
        <f t="shared" si="6"/>
        <v>111</v>
      </c>
      <c r="R14" s="663" t="s">
        <v>14</v>
      </c>
      <c r="S14" s="664">
        <f t="shared" si="0"/>
        <v>100</v>
      </c>
      <c r="T14" s="663" t="s">
        <v>14</v>
      </c>
      <c r="U14" s="664">
        <f t="shared" si="1"/>
        <v>100</v>
      </c>
      <c r="V14" s="663" t="s">
        <v>14</v>
      </c>
      <c r="W14" s="664">
        <f t="shared" si="2"/>
        <v>100</v>
      </c>
      <c r="X14" s="665"/>
      <c r="Y14" s="3261"/>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14" t="s">
        <v>1691</v>
      </c>
      <c r="Q15" s="1262" t="str">
        <f t="shared" si="6"/>
        <v>商业繁华度</v>
      </c>
      <c r="R15" s="666" t="s">
        <v>14</v>
      </c>
      <c r="S15" s="667">
        <f t="shared" si="0"/>
        <v>100</v>
      </c>
      <c r="T15" s="666" t="s">
        <v>14</v>
      </c>
      <c r="U15" s="667">
        <f t="shared" si="1"/>
        <v>100</v>
      </c>
      <c r="V15" s="666" t="s">
        <v>14</v>
      </c>
      <c r="W15" s="667">
        <f t="shared" si="2"/>
        <v>100</v>
      </c>
      <c r="X15" s="1264"/>
      <c r="Y15" s="340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15"/>
      <c r="Q16" s="1262"/>
      <c r="R16" s="666"/>
      <c r="S16" s="667"/>
      <c r="T16" s="666"/>
      <c r="U16" s="667"/>
      <c r="V16" s="666"/>
      <c r="W16" s="667"/>
      <c r="X16" s="1264"/>
      <c r="Y16" s="3408"/>
      <c r="Z16" s="1263"/>
      <c r="AA16" s="1263">
        <v>1</v>
      </c>
      <c r="AB16" s="1263">
        <v>1</v>
      </c>
      <c r="AC16" s="1263">
        <v>1</v>
      </c>
    </row>
    <row r="17" spans="1:29" ht="96.6">
      <c r="A17" s="366"/>
      <c r="B17" s="389" t="s">
        <v>1259</v>
      </c>
      <c r="C17" s="1753" t="str">
        <f>估价对象房地状况!C6</f>
        <v>周边有75、110、420路及地铁2号、6号线，周边道路密集，停车便捷程度，综合评价交通便捷度较好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15"/>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15"/>
      <c r="Q18" s="1262"/>
      <c r="R18" s="666"/>
      <c r="S18" s="667"/>
      <c r="T18" s="666"/>
      <c r="U18" s="667"/>
      <c r="V18" s="666"/>
      <c r="W18" s="667"/>
      <c r="X18" s="1264"/>
      <c r="Y18" s="3408"/>
      <c r="Z18" s="1263"/>
      <c r="AA18" s="1263">
        <v>1</v>
      </c>
      <c r="AB18" s="1263">
        <v>1</v>
      </c>
      <c r="AC18" s="1263">
        <v>1</v>
      </c>
    </row>
    <row r="19" spans="1:29" ht="82.8">
      <c r="A19" s="366"/>
      <c r="B19" s="389" t="s">
        <v>1778</v>
      </c>
      <c r="C19" s="1753"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15"/>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15"/>
      <c r="Q20" s="1262"/>
      <c r="R20" s="666"/>
      <c r="S20" s="667"/>
      <c r="T20" s="666"/>
      <c r="U20" s="667"/>
      <c r="V20" s="666"/>
      <c r="W20" s="667"/>
      <c r="X20" s="1264"/>
      <c r="Y20" s="3408"/>
      <c r="Z20" s="1263"/>
      <c r="AA20" s="1263">
        <v>1</v>
      </c>
      <c r="AB20" s="1263">
        <v>1</v>
      </c>
      <c r="AC20" s="1263">
        <v>1</v>
      </c>
    </row>
    <row r="21" spans="1:29" ht="41.4">
      <c r="A21" s="366"/>
      <c r="B21" s="585" t="s">
        <v>1779</v>
      </c>
      <c r="C21" s="1753"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15"/>
      <c r="Q22" s="1262"/>
      <c r="R22" s="666"/>
      <c r="S22" s="667"/>
      <c r="T22" s="666"/>
      <c r="U22" s="667"/>
      <c r="V22" s="666"/>
      <c r="W22" s="667"/>
      <c r="X22" s="1264"/>
      <c r="Y22" s="3408"/>
      <c r="Z22" s="1263"/>
      <c r="AA22" s="1263">
        <v>1</v>
      </c>
      <c r="AB22" s="1263">
        <v>1</v>
      </c>
      <c r="AC22" s="1263">
        <v>1</v>
      </c>
    </row>
    <row r="23" spans="1:29" ht="96.6">
      <c r="A23" s="366"/>
      <c r="B23" s="389" t="s">
        <v>1261</v>
      </c>
      <c r="C23" s="1805" t="str">
        <f>估价对象房地状况!C9</f>
        <v>区域内有东城职业大学、日坛公园、富国海底世界等自然及人文环境，综合评价自然及人文环境状况较好。</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15"/>
      <c r="Q23" s="1262" t="str">
        <f>B23</f>
        <v>自然及人文环境</v>
      </c>
      <c r="R23" s="666" t="s">
        <v>14</v>
      </c>
      <c r="S23" s="667">
        <f>F23</f>
        <v>100</v>
      </c>
      <c r="T23" s="666" t="s">
        <v>14</v>
      </c>
      <c r="U23" s="667">
        <f>H23</f>
        <v>100</v>
      </c>
      <c r="V23" s="666" t="s">
        <v>14</v>
      </c>
      <c r="W23" s="667">
        <f>J23</f>
        <v>100</v>
      </c>
      <c r="X23" s="1264"/>
      <c r="Y23" s="340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15"/>
      <c r="Q24" s="1262"/>
      <c r="R24" s="666"/>
      <c r="S24" s="667"/>
      <c r="T24" s="666"/>
      <c r="U24" s="667"/>
      <c r="V24" s="666"/>
      <c r="W24" s="667"/>
      <c r="X24" s="1264"/>
      <c r="Y24" s="340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15"/>
      <c r="Q25" s="1262" t="str">
        <f t="shared" ref="Q25:Q46" si="11">B25</f>
        <v>临街状况</v>
      </c>
      <c r="R25" s="666" t="s">
        <v>14</v>
      </c>
      <c r="S25" s="667">
        <f>F25</f>
        <v>100</v>
      </c>
      <c r="T25" s="666" t="s">
        <v>14</v>
      </c>
      <c r="U25" s="667">
        <f>H25</f>
        <v>100</v>
      </c>
      <c r="V25" s="666" t="s">
        <v>14</v>
      </c>
      <c r="W25" s="667">
        <f>J25</f>
        <v>100</v>
      </c>
      <c r="X25" s="1264"/>
      <c r="Y25" s="340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15"/>
      <c r="Q26" s="1262" t="str">
        <f t="shared" si="11"/>
        <v>平面位置/可视性</v>
      </c>
      <c r="R26" s="666" t="s">
        <v>14</v>
      </c>
      <c r="S26" s="667">
        <f>F26</f>
        <v>100</v>
      </c>
      <c r="T26" s="666" t="s">
        <v>14</v>
      </c>
      <c r="U26" s="667">
        <f>H26</f>
        <v>100</v>
      </c>
      <c r="V26" s="666" t="s">
        <v>14</v>
      </c>
      <c r="W26" s="667">
        <f>J26</f>
        <v>100</v>
      </c>
      <c r="X26" s="1264"/>
      <c r="Y26" s="3408"/>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15"/>
      <c r="Q27" s="529" t="str">
        <f t="shared" si="11"/>
        <v>人流量</v>
      </c>
      <c r="R27" s="663" t="s">
        <v>14</v>
      </c>
      <c r="S27" s="664">
        <f>F27</f>
        <v>100</v>
      </c>
      <c r="T27" s="663" t="s">
        <v>14</v>
      </c>
      <c r="U27" s="664">
        <f>H27</f>
        <v>100</v>
      </c>
      <c r="V27" s="663" t="s">
        <v>14</v>
      </c>
      <c r="W27" s="664">
        <f>J27</f>
        <v>100</v>
      </c>
      <c r="X27" s="665"/>
      <c r="Y27" s="3408"/>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1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15"/>
      <c r="Q29" s="1262">
        <f t="shared" si="11"/>
        <v>111</v>
      </c>
      <c r="R29" s="666" t="s">
        <v>14</v>
      </c>
      <c r="S29" s="667">
        <f t="shared" si="12"/>
        <v>100</v>
      </c>
      <c r="T29" s="666" t="s">
        <v>14</v>
      </c>
      <c r="U29" s="667">
        <f t="shared" si="13"/>
        <v>100</v>
      </c>
      <c r="V29" s="666" t="s">
        <v>14</v>
      </c>
      <c r="W29" s="667">
        <f t="shared" si="14"/>
        <v>100</v>
      </c>
      <c r="X29" s="1264"/>
      <c r="Y29" s="340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15"/>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15"/>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09" t="s">
        <v>1696</v>
      </c>
      <c r="Q32" s="1262" t="str">
        <f t="shared" si="11"/>
        <v>商业类型</v>
      </c>
      <c r="R32" s="666" t="s">
        <v>14</v>
      </c>
      <c r="S32" s="667">
        <f t="shared" si="12"/>
        <v>100</v>
      </c>
      <c r="T32" s="666" t="s">
        <v>14</v>
      </c>
      <c r="U32" s="667">
        <f t="shared" si="13"/>
        <v>100</v>
      </c>
      <c r="V32" s="666" t="s">
        <v>14</v>
      </c>
      <c r="W32" s="667">
        <f t="shared" si="14"/>
        <v>100</v>
      </c>
      <c r="X32" s="1264"/>
      <c r="Y32" s="341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10"/>
      <c r="Q33" s="530" t="str">
        <f t="shared" si="11"/>
        <v>项目建筑规模</v>
      </c>
      <c r="R33" s="668" t="s">
        <v>14</v>
      </c>
      <c r="S33" s="669" t="e">
        <f t="shared" si="12"/>
        <v>#N/A</v>
      </c>
      <c r="T33" s="668" t="s">
        <v>14</v>
      </c>
      <c r="U33" s="669" t="e">
        <f t="shared" si="13"/>
        <v>#N/A</v>
      </c>
      <c r="V33" s="668" t="s">
        <v>14</v>
      </c>
      <c r="W33" s="669" t="e">
        <f t="shared" si="14"/>
        <v>#N/A</v>
      </c>
      <c r="X33" s="670"/>
      <c r="Y33" s="341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10"/>
      <c r="Q34" s="1262" t="str">
        <f t="shared" si="11"/>
        <v>建筑结构</v>
      </c>
      <c r="R34" s="666" t="s">
        <v>14</v>
      </c>
      <c r="S34" s="667">
        <f t="shared" si="12"/>
        <v>100</v>
      </c>
      <c r="T34" s="666" t="s">
        <v>14</v>
      </c>
      <c r="U34" s="667">
        <f t="shared" si="13"/>
        <v>100</v>
      </c>
      <c r="V34" s="666" t="s">
        <v>14</v>
      </c>
      <c r="W34" s="667">
        <f t="shared" si="14"/>
        <v>100</v>
      </c>
      <c r="X34" s="1264"/>
      <c r="Y34" s="341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10"/>
      <c r="Q35" s="1262" t="str">
        <f t="shared" si="11"/>
        <v>公共部分装修</v>
      </c>
      <c r="R35" s="666" t="s">
        <v>14</v>
      </c>
      <c r="S35" s="667">
        <f t="shared" si="12"/>
        <v>100</v>
      </c>
      <c r="T35" s="666" t="s">
        <v>14</v>
      </c>
      <c r="U35" s="667">
        <f t="shared" si="13"/>
        <v>100</v>
      </c>
      <c r="V35" s="666" t="s">
        <v>14</v>
      </c>
      <c r="W35" s="667">
        <f t="shared" si="14"/>
        <v>100</v>
      </c>
      <c r="X35" s="1264"/>
      <c r="Y35" s="341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10"/>
      <c r="Q36" s="1262" t="str">
        <f t="shared" si="11"/>
        <v>成新度</v>
      </c>
      <c r="R36" s="666" t="s">
        <v>14</v>
      </c>
      <c r="S36" s="667" t="e">
        <f t="shared" si="12"/>
        <v>#N/A</v>
      </c>
      <c r="T36" s="666" t="s">
        <v>14</v>
      </c>
      <c r="U36" s="667" t="e">
        <f t="shared" si="13"/>
        <v>#N/A</v>
      </c>
      <c r="V36" s="666" t="s">
        <v>14</v>
      </c>
      <c r="W36" s="667" t="e">
        <f t="shared" si="14"/>
        <v>#N/A</v>
      </c>
      <c r="X36" s="1264"/>
      <c r="Y36" s="341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10"/>
      <c r="Q37" s="529" t="str">
        <f t="shared" si="11"/>
        <v>市政基础设施</v>
      </c>
      <c r="R37" s="663" t="s">
        <v>14</v>
      </c>
      <c r="S37" s="664">
        <f t="shared" si="12"/>
        <v>100</v>
      </c>
      <c r="T37" s="663" t="s">
        <v>14</v>
      </c>
      <c r="U37" s="664">
        <f t="shared" si="13"/>
        <v>100</v>
      </c>
      <c r="V37" s="663" t="s">
        <v>14</v>
      </c>
      <c r="W37" s="664">
        <f t="shared" si="14"/>
        <v>100</v>
      </c>
      <c r="X37" s="665"/>
      <c r="Y37" s="3412"/>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10" t="s">
        <v>1696</v>
      </c>
      <c r="Q38" s="1262" t="str">
        <f t="shared" si="11"/>
        <v>业态</v>
      </c>
      <c r="R38" s="666" t="s">
        <v>14</v>
      </c>
      <c r="S38" s="667">
        <f t="shared" si="12"/>
        <v>100</v>
      </c>
      <c r="T38" s="666" t="s">
        <v>14</v>
      </c>
      <c r="U38" s="667">
        <f t="shared" si="13"/>
        <v>100</v>
      </c>
      <c r="V38" s="666" t="s">
        <v>14</v>
      </c>
      <c r="W38" s="667">
        <f t="shared" si="14"/>
        <v>100</v>
      </c>
      <c r="X38" s="1264"/>
      <c r="Y38" s="341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10"/>
      <c r="Q39" s="1262" t="str">
        <f t="shared" si="11"/>
        <v>层高</v>
      </c>
      <c r="R39" s="666" t="s">
        <v>14</v>
      </c>
      <c r="S39" s="667">
        <f t="shared" si="12"/>
        <v>100</v>
      </c>
      <c r="T39" s="666" t="s">
        <v>14</v>
      </c>
      <c r="U39" s="667">
        <f t="shared" si="13"/>
        <v>100</v>
      </c>
      <c r="V39" s="666" t="s">
        <v>14</v>
      </c>
      <c r="W39" s="667">
        <f t="shared" si="14"/>
        <v>100</v>
      </c>
      <c r="X39" s="1264"/>
      <c r="Y39" s="341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10"/>
      <c r="Q40" s="1262" t="str">
        <f t="shared" si="11"/>
        <v>单套建筑面积</v>
      </c>
      <c r="R40" s="666" t="s">
        <v>14</v>
      </c>
      <c r="S40" s="667">
        <f t="shared" si="12"/>
        <v>100</v>
      </c>
      <c r="T40" s="666" t="s">
        <v>14</v>
      </c>
      <c r="U40" s="667">
        <f t="shared" si="13"/>
        <v>100</v>
      </c>
      <c r="V40" s="666" t="s">
        <v>14</v>
      </c>
      <c r="W40" s="667">
        <f t="shared" si="14"/>
        <v>100</v>
      </c>
      <c r="X40" s="1264"/>
      <c r="Y40" s="341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10"/>
      <c r="Q41" s="530" t="str">
        <f t="shared" si="11"/>
        <v>进深比</v>
      </c>
      <c r="R41" s="668" t="s">
        <v>14</v>
      </c>
      <c r="S41" s="669">
        <f t="shared" si="12"/>
        <v>100</v>
      </c>
      <c r="T41" s="668" t="s">
        <v>14</v>
      </c>
      <c r="U41" s="669">
        <f t="shared" si="13"/>
        <v>100</v>
      </c>
      <c r="V41" s="668" t="s">
        <v>14</v>
      </c>
      <c r="W41" s="669">
        <f t="shared" si="14"/>
        <v>100</v>
      </c>
      <c r="X41" s="670"/>
      <c r="Y41" s="341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10"/>
      <c r="Q42" s="1262" t="str">
        <f t="shared" si="11"/>
        <v>内部装修</v>
      </c>
      <c r="R42" s="666" t="s">
        <v>14</v>
      </c>
      <c r="S42" s="667">
        <f t="shared" si="12"/>
        <v>100</v>
      </c>
      <c r="T42" s="666" t="s">
        <v>14</v>
      </c>
      <c r="U42" s="667">
        <f t="shared" si="13"/>
        <v>100</v>
      </c>
      <c r="V42" s="666" t="s">
        <v>14</v>
      </c>
      <c r="W42" s="667">
        <f t="shared" si="14"/>
        <v>100</v>
      </c>
      <c r="X42" s="1264"/>
      <c r="Y42" s="341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10"/>
      <c r="Q43" s="1262" t="str">
        <f t="shared" si="11"/>
        <v>内部装修维护情况</v>
      </c>
      <c r="R43" s="666" t="s">
        <v>14</v>
      </c>
      <c r="S43" s="667">
        <f t="shared" si="12"/>
        <v>100</v>
      </c>
      <c r="T43" s="666" t="s">
        <v>14</v>
      </c>
      <c r="U43" s="667">
        <f t="shared" si="13"/>
        <v>100</v>
      </c>
      <c r="V43" s="666" t="s">
        <v>14</v>
      </c>
      <c r="W43" s="667">
        <f t="shared" si="14"/>
        <v>100</v>
      </c>
      <c r="X43" s="1264"/>
      <c r="Y43" s="341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10"/>
      <c r="Q44" s="529">
        <f t="shared" si="11"/>
        <v>111</v>
      </c>
      <c r="R44" s="663" t="s">
        <v>14</v>
      </c>
      <c r="S44" s="664">
        <f t="shared" si="12"/>
        <v>100</v>
      </c>
      <c r="T44" s="663" t="s">
        <v>14</v>
      </c>
      <c r="U44" s="664">
        <f t="shared" si="13"/>
        <v>100</v>
      </c>
      <c r="V44" s="663" t="s">
        <v>14</v>
      </c>
      <c r="W44" s="664">
        <f t="shared" si="14"/>
        <v>100</v>
      </c>
      <c r="X44" s="665"/>
      <c r="Y44" s="3412"/>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10"/>
      <c r="Q45" s="1262">
        <f t="shared" si="11"/>
        <v>111</v>
      </c>
      <c r="R45" s="666" t="s">
        <v>14</v>
      </c>
      <c r="S45" s="667">
        <f t="shared" si="12"/>
        <v>100</v>
      </c>
      <c r="T45" s="666" t="s">
        <v>14</v>
      </c>
      <c r="U45" s="667">
        <f t="shared" si="13"/>
        <v>100</v>
      </c>
      <c r="V45" s="666" t="s">
        <v>14</v>
      </c>
      <c r="W45" s="667">
        <f t="shared" si="14"/>
        <v>100</v>
      </c>
      <c r="X45" s="1264"/>
      <c r="Y45" s="341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11"/>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0"/>
      <c r="E61" s="30"/>
      <c r="F61" s="30"/>
      <c r="G61" s="30"/>
      <c r="H61" s="30"/>
      <c r="I61" s="30"/>
      <c r="J61" s="30"/>
      <c r="K61" s="30"/>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0"/>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0"/>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195.79</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53" t="s">
        <v>1775</v>
      </c>
      <c r="Q4" s="3454"/>
      <c r="R4" s="3457" t="s">
        <v>1771</v>
      </c>
      <c r="S4" s="3458"/>
      <c r="T4" s="3457" t="s">
        <v>1772</v>
      </c>
      <c r="U4" s="3458"/>
      <c r="V4" s="3459" t="s">
        <v>1773</v>
      </c>
      <c r="W4" s="3459"/>
      <c r="X4" s="1808"/>
      <c r="Y4" s="3457" t="s">
        <v>1775</v>
      </c>
      <c r="Z4" s="3458"/>
      <c r="AA4" s="3461" t="s">
        <v>1771</v>
      </c>
      <c r="AB4" s="3461" t="s">
        <v>1772</v>
      </c>
      <c r="AC4" s="3450" t="s">
        <v>1773</v>
      </c>
    </row>
    <row r="5" spans="1:29">
      <c r="A5" s="347"/>
      <c r="B5" s="348"/>
      <c r="C5" s="3438" t="s">
        <v>1673</v>
      </c>
      <c r="D5" s="3439"/>
      <c r="E5" s="3445" t="s">
        <v>1674</v>
      </c>
      <c r="F5" s="3446"/>
      <c r="G5" s="3438" t="s">
        <v>1675</v>
      </c>
      <c r="H5" s="3439"/>
      <c r="I5" s="3438" t="s">
        <v>1676</v>
      </c>
      <c r="J5" s="3439"/>
      <c r="K5" s="536"/>
      <c r="L5" s="2484"/>
      <c r="M5" s="2485"/>
      <c r="N5" s="2485"/>
      <c r="O5" s="2485"/>
      <c r="P5" s="3455"/>
      <c r="Q5" s="3427"/>
      <c r="R5" s="3432"/>
      <c r="S5" s="3433"/>
      <c r="T5" s="3432"/>
      <c r="U5" s="3433"/>
      <c r="V5" s="3406"/>
      <c r="W5" s="3406"/>
      <c r="X5" s="1264"/>
      <c r="Y5" s="3432"/>
      <c r="Z5" s="3433"/>
      <c r="AA5" s="3418"/>
      <c r="AB5" s="3418"/>
      <c r="AC5" s="3451"/>
    </row>
    <row r="6" spans="1:29" ht="15" thickBot="1">
      <c r="A6" s="349"/>
      <c r="B6" s="350"/>
      <c r="C6" s="3436" t="s">
        <v>1677</v>
      </c>
      <c r="D6" s="3437"/>
      <c r="E6" s="3443" t="s">
        <v>1677</v>
      </c>
      <c r="F6" s="3444"/>
      <c r="G6" s="3436" t="s">
        <v>1677</v>
      </c>
      <c r="H6" s="3437"/>
      <c r="I6" s="3436" t="s">
        <v>1677</v>
      </c>
      <c r="J6" s="3437"/>
      <c r="K6" s="536" t="s">
        <v>1678</v>
      </c>
      <c r="L6" s="2484"/>
      <c r="M6" s="2485"/>
      <c r="N6" s="2485"/>
      <c r="O6" s="2485"/>
      <c r="P6" s="3456"/>
      <c r="Q6" s="3429"/>
      <c r="R6" s="3432"/>
      <c r="S6" s="3433"/>
      <c r="T6" s="3434"/>
      <c r="U6" s="3435"/>
      <c r="V6" s="3406"/>
      <c r="W6" s="3406"/>
      <c r="X6" s="1264"/>
      <c r="Y6" s="3434"/>
      <c r="Z6" s="3435"/>
      <c r="AA6" s="3419"/>
      <c r="AB6" s="3419"/>
      <c r="AC6" s="3452"/>
    </row>
    <row r="7" spans="1:29" s="101" customFormat="1" ht="15" thickBot="1">
      <c r="A7" s="351" t="s">
        <v>1679</v>
      </c>
      <c r="B7" s="352"/>
      <c r="C7" s="353">
        <f>'数据-取费表'!B2</f>
        <v>45877</v>
      </c>
      <c r="D7" s="354">
        <v>100</v>
      </c>
      <c r="E7" s="355"/>
      <c r="F7" s="356">
        <f>SUMIF(59:59,YEAR(E7)&amp;"-"&amp;MONTH(E7),60:60)</f>
        <v>0</v>
      </c>
      <c r="G7" s="355"/>
      <c r="H7" s="354">
        <f>SUMIF(59:59,YEAR(G7)&amp;"-"&amp;MONTH(G7),60:60)</f>
        <v>0</v>
      </c>
      <c r="I7" s="355"/>
      <c r="J7" s="354">
        <f>SUMIF(59:59,YEAR(I7)&amp;"-"&amp;MONTH(I7),60:60)</f>
        <v>0</v>
      </c>
      <c r="K7" s="37"/>
      <c r="L7" s="2486"/>
      <c r="M7" s="2438"/>
      <c r="N7" s="2438"/>
      <c r="O7" s="2438"/>
      <c r="P7" s="3460" t="s">
        <v>1680</v>
      </c>
      <c r="Q7" s="3442"/>
      <c r="R7" s="663" t="s">
        <v>14</v>
      </c>
      <c r="S7" s="664">
        <f t="shared" ref="S7:S15" si="0">F7</f>
        <v>0</v>
      </c>
      <c r="T7" s="663" t="s">
        <v>14</v>
      </c>
      <c r="U7" s="664">
        <f t="shared" ref="U7:U15" si="1">H7</f>
        <v>0</v>
      </c>
      <c r="V7" s="663" t="s">
        <v>14</v>
      </c>
      <c r="W7" s="664">
        <f t="shared" ref="W7:W15" si="2">J7</f>
        <v>0</v>
      </c>
      <c r="X7" s="665"/>
      <c r="Y7" s="3440" t="s">
        <v>1680</v>
      </c>
      <c r="Z7" s="3441"/>
      <c r="AA7" s="49" t="e">
        <f>D7/F7</f>
        <v>#DIV/0!</v>
      </c>
      <c r="AB7" s="49"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6"/>
      <c r="M8" s="2438"/>
      <c r="N8" s="2438"/>
      <c r="O8" s="2438"/>
      <c r="P8" s="3460" t="s">
        <v>1683</v>
      </c>
      <c r="Q8" s="3441"/>
      <c r="R8" s="663" t="s">
        <v>14</v>
      </c>
      <c r="S8" s="664">
        <f t="shared" si="0"/>
        <v>100</v>
      </c>
      <c r="T8" s="663" t="s">
        <v>14</v>
      </c>
      <c r="U8" s="664">
        <f t="shared" si="1"/>
        <v>100</v>
      </c>
      <c r="V8" s="663" t="s">
        <v>14</v>
      </c>
      <c r="W8" s="664">
        <f t="shared" si="2"/>
        <v>100</v>
      </c>
      <c r="X8" s="665"/>
      <c r="Y8" s="3440" t="s">
        <v>1683</v>
      </c>
      <c r="Z8" s="3441"/>
      <c r="AA8" s="49">
        <f t="shared" ref="AA8:AA47" si="3">D8/F8</f>
        <v>1</v>
      </c>
      <c r="AB8" s="49">
        <f t="shared" ref="AB8:AB47" si="4">D8/H8</f>
        <v>1</v>
      </c>
      <c r="AC8" s="801">
        <f t="shared" ref="AC8:AC47" si="5">D8/J8</f>
        <v>1</v>
      </c>
    </row>
    <row r="9" spans="1:29" s="101" customFormat="1" ht="14.4">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6"/>
      <c r="M9" s="2438"/>
      <c r="N9" s="2438"/>
      <c r="O9" s="2438"/>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7"/>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16"/>
      <c r="Q11" s="529" t="str">
        <f t="shared" si="6"/>
        <v>容积率</v>
      </c>
      <c r="R11" s="663" t="s">
        <v>14</v>
      </c>
      <c r="S11" s="664">
        <f t="shared" si="0"/>
        <v>100</v>
      </c>
      <c r="T11" s="663" t="s">
        <v>14</v>
      </c>
      <c r="U11" s="664">
        <f t="shared" si="1"/>
        <v>100</v>
      </c>
      <c r="V11" s="663" t="s">
        <v>14</v>
      </c>
      <c r="W11" s="664">
        <f t="shared" si="2"/>
        <v>100</v>
      </c>
      <c r="X11" s="665"/>
      <c r="Y11" s="3261"/>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16"/>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16"/>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16"/>
      <c r="Q14" s="529">
        <f t="shared" si="6"/>
        <v>111</v>
      </c>
      <c r="R14" s="663" t="s">
        <v>14</v>
      </c>
      <c r="S14" s="664">
        <f t="shared" si="0"/>
        <v>100</v>
      </c>
      <c r="T14" s="663" t="s">
        <v>14</v>
      </c>
      <c r="U14" s="664">
        <f t="shared" si="1"/>
        <v>100</v>
      </c>
      <c r="V14" s="663" t="s">
        <v>14</v>
      </c>
      <c r="W14" s="664">
        <f t="shared" si="2"/>
        <v>100</v>
      </c>
      <c r="X14" s="665"/>
      <c r="Y14" s="3261"/>
      <c r="Z14" s="49">
        <f t="shared" si="7"/>
        <v>111</v>
      </c>
      <c r="AA14" s="49">
        <f t="shared" si="3"/>
        <v>1</v>
      </c>
      <c r="AB14" s="49">
        <f t="shared" si="4"/>
        <v>1</v>
      </c>
      <c r="AC14" s="801">
        <f t="shared" si="5"/>
        <v>1</v>
      </c>
    </row>
    <row r="15" spans="1:29" ht="110.4">
      <c r="A15" s="378" t="s">
        <v>1690</v>
      </c>
      <c r="B15" s="553" t="s">
        <v>1811</v>
      </c>
      <c r="C15" s="1810" t="str">
        <f>估价对象房地状况!C5</f>
        <v>估价对象位于朝阳门商圈，周边办公楼项目较多，有联合大厦、华普国际大厦等写字楼，入驻率高，办公集聚程度较好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14" t="s">
        <v>1691</v>
      </c>
      <c r="Q15" s="1262" t="str">
        <f t="shared" si="6"/>
        <v>办公集聚程度</v>
      </c>
      <c r="R15" s="666" t="s">
        <v>14</v>
      </c>
      <c r="S15" s="667">
        <f t="shared" si="0"/>
        <v>100</v>
      </c>
      <c r="T15" s="666" t="s">
        <v>14</v>
      </c>
      <c r="U15" s="667">
        <f t="shared" si="1"/>
        <v>100</v>
      </c>
      <c r="V15" s="666" t="s">
        <v>14</v>
      </c>
      <c r="W15" s="667">
        <f t="shared" si="2"/>
        <v>100</v>
      </c>
      <c r="X15" s="1264"/>
      <c r="Y15" s="340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15"/>
      <c r="Q16" s="1262"/>
      <c r="R16" s="666"/>
      <c r="S16" s="667"/>
      <c r="T16" s="666"/>
      <c r="U16" s="667"/>
      <c r="V16" s="666"/>
      <c r="W16" s="667"/>
      <c r="X16" s="1264"/>
      <c r="Y16" s="3408"/>
      <c r="Z16" s="1263"/>
      <c r="AA16" s="1263">
        <v>1</v>
      </c>
      <c r="AB16" s="1263">
        <v>1</v>
      </c>
      <c r="AC16" s="1811">
        <v>1</v>
      </c>
    </row>
    <row r="17" spans="1:29" ht="96.6">
      <c r="A17" s="366"/>
      <c r="B17" s="555" t="s">
        <v>1259</v>
      </c>
      <c r="C17" s="1812" t="str">
        <f>估价对象房地状况!C6</f>
        <v>周边有75、110、420路及地铁2号、6号线，周边道路密集，停车便捷程度，综合评价交通便捷度较好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15"/>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15"/>
      <c r="Q18" s="1262"/>
      <c r="R18" s="666"/>
      <c r="S18" s="667"/>
      <c r="T18" s="666"/>
      <c r="U18" s="667"/>
      <c r="V18" s="666"/>
      <c r="W18" s="667"/>
      <c r="X18" s="1264"/>
      <c r="Y18" s="3408"/>
      <c r="Z18" s="1263"/>
      <c r="AA18" s="1263">
        <v>1</v>
      </c>
      <c r="AB18" s="1263">
        <v>1</v>
      </c>
      <c r="AC18" s="1811">
        <v>1</v>
      </c>
    </row>
    <row r="19" spans="1:29" ht="82.8">
      <c r="A19" s="366"/>
      <c r="B19" s="555" t="s">
        <v>1812</v>
      </c>
      <c r="C19" s="1812"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15"/>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15"/>
      <c r="Q20" s="1262"/>
      <c r="R20" s="666"/>
      <c r="S20" s="667"/>
      <c r="T20" s="666"/>
      <c r="U20" s="667"/>
      <c r="V20" s="666"/>
      <c r="W20" s="667"/>
      <c r="X20" s="1264"/>
      <c r="Y20" s="3408"/>
      <c r="Z20" s="1263"/>
      <c r="AA20" s="1263">
        <v>1</v>
      </c>
      <c r="AB20" s="1263">
        <v>1</v>
      </c>
      <c r="AC20" s="1811">
        <v>1</v>
      </c>
    </row>
    <row r="21" spans="1:29" ht="41.4">
      <c r="A21" s="366"/>
      <c r="B21" s="556" t="s">
        <v>1813</v>
      </c>
      <c r="C21" s="1812"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15"/>
      <c r="Q22" s="1262"/>
      <c r="R22" s="666"/>
      <c r="S22" s="667"/>
      <c r="T22" s="666"/>
      <c r="U22" s="667"/>
      <c r="V22" s="666"/>
      <c r="W22" s="667"/>
      <c r="X22" s="1264"/>
      <c r="Y22" s="3408"/>
      <c r="Z22" s="1263"/>
      <c r="AA22" s="1263">
        <v>1</v>
      </c>
      <c r="AB22" s="1263">
        <v>1</v>
      </c>
      <c r="AC22" s="1811">
        <v>1</v>
      </c>
    </row>
    <row r="23" spans="1:29" ht="96.6">
      <c r="A23" s="366"/>
      <c r="B23" s="555" t="s">
        <v>1814</v>
      </c>
      <c r="C23" s="1812" t="str">
        <f>估价对象房地状况!C9</f>
        <v>区域内有东城职业大学、日坛公园、富国海底世界等自然及人文环境，综合评价自然及人文环境状况较好。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15"/>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15"/>
      <c r="Q24" s="1262"/>
      <c r="R24" s="666"/>
      <c r="S24" s="667"/>
      <c r="T24" s="666"/>
      <c r="U24" s="667"/>
      <c r="V24" s="666"/>
      <c r="W24" s="667"/>
      <c r="X24" s="1264"/>
      <c r="Y24" s="340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15"/>
      <c r="Q25" s="1262" t="str">
        <f>B25</f>
        <v>毗邻道路的类型与等级</v>
      </c>
      <c r="R25" s="666" t="s">
        <v>14</v>
      </c>
      <c r="S25" s="667">
        <f>F25</f>
        <v>100</v>
      </c>
      <c r="T25" s="666" t="s">
        <v>14</v>
      </c>
      <c r="U25" s="667">
        <f>H25</f>
        <v>100</v>
      </c>
      <c r="V25" s="666" t="s">
        <v>14</v>
      </c>
      <c r="W25" s="667">
        <f>J25</f>
        <v>100</v>
      </c>
      <c r="X25" s="1264"/>
      <c r="Y25" s="340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15"/>
      <c r="Q26" s="1262"/>
      <c r="R26" s="666"/>
      <c r="S26" s="667"/>
      <c r="T26" s="666"/>
      <c r="U26" s="667"/>
      <c r="V26" s="666"/>
      <c r="W26" s="667"/>
      <c r="X26" s="1264"/>
      <c r="Y26" s="340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15"/>
      <c r="Q27" s="1262" t="str">
        <f t="shared" ref="Q27:Q47" si="11">B27</f>
        <v>楼层</v>
      </c>
      <c r="R27" s="666" t="s">
        <v>14</v>
      </c>
      <c r="S27" s="667">
        <f>F27</f>
        <v>100</v>
      </c>
      <c r="T27" s="666" t="s">
        <v>14</v>
      </c>
      <c r="U27" s="667">
        <f>H27</f>
        <v>100</v>
      </c>
      <c r="V27" s="666" t="s">
        <v>14</v>
      </c>
      <c r="W27" s="667">
        <f>J27</f>
        <v>100</v>
      </c>
      <c r="X27" s="1264"/>
      <c r="Y27" s="3408"/>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15"/>
      <c r="Q28" s="529" t="str">
        <f t="shared" si="11"/>
        <v>朝向</v>
      </c>
      <c r="R28" s="663" t="s">
        <v>14</v>
      </c>
      <c r="S28" s="664">
        <f>F28</f>
        <v>100</v>
      </c>
      <c r="T28" s="663" t="s">
        <v>14</v>
      </c>
      <c r="U28" s="664">
        <f>H28</f>
        <v>100</v>
      </c>
      <c r="V28" s="663" t="s">
        <v>14</v>
      </c>
      <c r="W28" s="664">
        <f>J28</f>
        <v>100</v>
      </c>
      <c r="X28" s="665"/>
      <c r="Y28" s="3408"/>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15"/>
      <c r="Q29" s="1262">
        <f t="shared" si="11"/>
        <v>111</v>
      </c>
      <c r="R29" s="666" t="s">
        <v>14</v>
      </c>
      <c r="S29" s="667">
        <f t="shared" ref="S29:S47" si="12">F29</f>
        <v>100</v>
      </c>
      <c r="T29" s="666" t="s">
        <v>14</v>
      </c>
      <c r="U29" s="667">
        <f t="shared" ref="U29:U47" si="13">H29</f>
        <v>100</v>
      </c>
      <c r="V29" s="666" t="s">
        <v>14</v>
      </c>
      <c r="W29" s="667">
        <f t="shared" ref="W29:W47" si="14">J29</f>
        <v>100</v>
      </c>
      <c r="X29" s="1264"/>
      <c r="Y29" s="340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15"/>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15"/>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15"/>
      <c r="Q32" s="1262">
        <f t="shared" si="11"/>
        <v>111</v>
      </c>
      <c r="R32" s="666" t="s">
        <v>14</v>
      </c>
      <c r="S32" s="667">
        <f t="shared" si="12"/>
        <v>100</v>
      </c>
      <c r="T32" s="666" t="s">
        <v>14</v>
      </c>
      <c r="U32" s="667">
        <f t="shared" si="13"/>
        <v>100</v>
      </c>
      <c r="V32" s="666" t="s">
        <v>14</v>
      </c>
      <c r="W32" s="667">
        <f t="shared" si="14"/>
        <v>100</v>
      </c>
      <c r="X32" s="1264"/>
      <c r="Y32" s="3408"/>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09" t="s">
        <v>1696</v>
      </c>
      <c r="Q33" s="1262" t="str">
        <f t="shared" si="11"/>
        <v>建筑类型</v>
      </c>
      <c r="R33" s="666" t="s">
        <v>14</v>
      </c>
      <c r="S33" s="667">
        <f t="shared" si="12"/>
        <v>100</v>
      </c>
      <c r="T33" s="666" t="s">
        <v>14</v>
      </c>
      <c r="U33" s="667">
        <f t="shared" si="13"/>
        <v>100</v>
      </c>
      <c r="V33" s="666" t="s">
        <v>14</v>
      </c>
      <c r="W33" s="667">
        <f t="shared" si="14"/>
        <v>100</v>
      </c>
      <c r="X33" s="1264"/>
      <c r="Y33" s="341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10"/>
      <c r="Q34" s="530" t="str">
        <f t="shared" si="11"/>
        <v>项目建筑规模</v>
      </c>
      <c r="R34" s="668" t="s">
        <v>14</v>
      </c>
      <c r="S34" s="669" t="e">
        <f t="shared" si="12"/>
        <v>#N/A</v>
      </c>
      <c r="T34" s="668" t="s">
        <v>14</v>
      </c>
      <c r="U34" s="669" t="e">
        <f t="shared" si="13"/>
        <v>#N/A</v>
      </c>
      <c r="V34" s="668" t="s">
        <v>14</v>
      </c>
      <c r="W34" s="669" t="e">
        <f t="shared" si="14"/>
        <v>#N/A</v>
      </c>
      <c r="X34" s="670"/>
      <c r="Y34" s="341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10"/>
      <c r="Q35" s="1262" t="str">
        <f t="shared" si="11"/>
        <v>建筑结构</v>
      </c>
      <c r="R35" s="666" t="s">
        <v>14</v>
      </c>
      <c r="S35" s="667">
        <f t="shared" si="12"/>
        <v>100</v>
      </c>
      <c r="T35" s="666" t="s">
        <v>14</v>
      </c>
      <c r="U35" s="667">
        <f t="shared" si="13"/>
        <v>100</v>
      </c>
      <c r="V35" s="666" t="s">
        <v>14</v>
      </c>
      <c r="W35" s="667">
        <f t="shared" si="14"/>
        <v>100</v>
      </c>
      <c r="X35" s="1264"/>
      <c r="Y35" s="341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10"/>
      <c r="Q36" s="1262" t="str">
        <f t="shared" si="11"/>
        <v>公共部分装修</v>
      </c>
      <c r="R36" s="666" t="s">
        <v>14</v>
      </c>
      <c r="S36" s="667">
        <f t="shared" si="12"/>
        <v>100</v>
      </c>
      <c r="T36" s="666" t="s">
        <v>14</v>
      </c>
      <c r="U36" s="667">
        <f t="shared" si="13"/>
        <v>100</v>
      </c>
      <c r="V36" s="666" t="s">
        <v>14</v>
      </c>
      <c r="W36" s="667">
        <f t="shared" si="14"/>
        <v>100</v>
      </c>
      <c r="X36" s="1264"/>
      <c r="Y36" s="341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10"/>
      <c r="Q37" s="1262" t="str">
        <f t="shared" si="11"/>
        <v>成新度</v>
      </c>
      <c r="R37" s="666" t="s">
        <v>14</v>
      </c>
      <c r="S37" s="667" t="e">
        <f t="shared" si="12"/>
        <v>#N/A</v>
      </c>
      <c r="T37" s="666" t="s">
        <v>14</v>
      </c>
      <c r="U37" s="667" t="e">
        <f t="shared" si="13"/>
        <v>#N/A</v>
      </c>
      <c r="V37" s="666" t="s">
        <v>14</v>
      </c>
      <c r="W37" s="667" t="e">
        <f t="shared" si="14"/>
        <v>#N/A</v>
      </c>
      <c r="X37" s="1264"/>
      <c r="Y37" s="341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10"/>
      <c r="Q38" s="529" t="str">
        <f t="shared" si="11"/>
        <v>写字楼等级</v>
      </c>
      <c r="R38" s="663" t="s">
        <v>14</v>
      </c>
      <c r="S38" s="664">
        <f t="shared" si="12"/>
        <v>100</v>
      </c>
      <c r="T38" s="663" t="s">
        <v>14</v>
      </c>
      <c r="U38" s="664">
        <f t="shared" si="13"/>
        <v>100</v>
      </c>
      <c r="V38" s="663" t="s">
        <v>14</v>
      </c>
      <c r="W38" s="664">
        <f t="shared" si="14"/>
        <v>100</v>
      </c>
      <c r="X38" s="665"/>
      <c r="Y38" s="3412"/>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10" t="s">
        <v>1696</v>
      </c>
      <c r="Q39" s="1262" t="str">
        <f t="shared" si="11"/>
        <v>物业管理</v>
      </c>
      <c r="R39" s="666" t="s">
        <v>14</v>
      </c>
      <c r="S39" s="667">
        <f t="shared" si="12"/>
        <v>100</v>
      </c>
      <c r="T39" s="666" t="s">
        <v>14</v>
      </c>
      <c r="U39" s="667">
        <f t="shared" si="13"/>
        <v>100</v>
      </c>
      <c r="V39" s="666" t="s">
        <v>14</v>
      </c>
      <c r="W39" s="667">
        <f t="shared" si="14"/>
        <v>100</v>
      </c>
      <c r="X39" s="1264"/>
      <c r="Y39" s="341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10"/>
      <c r="Q40" s="1262" t="str">
        <f t="shared" si="11"/>
        <v>市政基础设施</v>
      </c>
      <c r="R40" s="666" t="s">
        <v>14</v>
      </c>
      <c r="S40" s="667">
        <f t="shared" si="12"/>
        <v>100</v>
      </c>
      <c r="T40" s="666" t="s">
        <v>14</v>
      </c>
      <c r="U40" s="667">
        <f t="shared" si="13"/>
        <v>100</v>
      </c>
      <c r="V40" s="666" t="s">
        <v>14</v>
      </c>
      <c r="W40" s="667">
        <f t="shared" si="14"/>
        <v>100</v>
      </c>
      <c r="X40" s="1264"/>
      <c r="Y40" s="341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10"/>
      <c r="Q41" s="1262" t="str">
        <f t="shared" si="11"/>
        <v>层高</v>
      </c>
      <c r="R41" s="666" t="s">
        <v>14</v>
      </c>
      <c r="S41" s="667">
        <f t="shared" si="12"/>
        <v>100</v>
      </c>
      <c r="T41" s="666" t="s">
        <v>14</v>
      </c>
      <c r="U41" s="667">
        <f t="shared" si="13"/>
        <v>100</v>
      </c>
      <c r="V41" s="666" t="s">
        <v>14</v>
      </c>
      <c r="W41" s="667">
        <f t="shared" si="14"/>
        <v>100</v>
      </c>
      <c r="X41" s="1264"/>
      <c r="Y41" s="341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10"/>
      <c r="Q42" s="530" t="str">
        <f t="shared" si="11"/>
        <v>单套建筑面积</v>
      </c>
      <c r="R42" s="668" t="s">
        <v>14</v>
      </c>
      <c r="S42" s="669">
        <f t="shared" si="12"/>
        <v>100</v>
      </c>
      <c r="T42" s="668" t="s">
        <v>14</v>
      </c>
      <c r="U42" s="669">
        <f t="shared" si="13"/>
        <v>100</v>
      </c>
      <c r="V42" s="668" t="s">
        <v>14</v>
      </c>
      <c r="W42" s="669">
        <f t="shared" si="14"/>
        <v>100</v>
      </c>
      <c r="X42" s="670"/>
      <c r="Y42" s="341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10"/>
      <c r="Q43" s="1262" t="str">
        <f t="shared" si="11"/>
        <v>内部装修</v>
      </c>
      <c r="R43" s="666" t="s">
        <v>14</v>
      </c>
      <c r="S43" s="667">
        <f t="shared" si="12"/>
        <v>100</v>
      </c>
      <c r="T43" s="666" t="s">
        <v>14</v>
      </c>
      <c r="U43" s="667">
        <f t="shared" si="13"/>
        <v>100</v>
      </c>
      <c r="V43" s="666" t="s">
        <v>14</v>
      </c>
      <c r="W43" s="667">
        <f t="shared" si="14"/>
        <v>100</v>
      </c>
      <c r="X43" s="1264"/>
      <c r="Y43" s="341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10"/>
      <c r="Q44" s="1262" t="str">
        <f t="shared" si="11"/>
        <v>内部装修维护情况</v>
      </c>
      <c r="R44" s="666" t="s">
        <v>14</v>
      </c>
      <c r="S44" s="667">
        <f t="shared" si="12"/>
        <v>100</v>
      </c>
      <c r="T44" s="666" t="s">
        <v>14</v>
      </c>
      <c r="U44" s="667">
        <f t="shared" si="13"/>
        <v>100</v>
      </c>
      <c r="V44" s="666" t="s">
        <v>14</v>
      </c>
      <c r="W44" s="667">
        <f t="shared" si="14"/>
        <v>100</v>
      </c>
      <c r="X44" s="1264"/>
      <c r="Y44" s="341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10"/>
      <c r="Q45" s="529">
        <f t="shared" si="11"/>
        <v>111</v>
      </c>
      <c r="R45" s="663" t="s">
        <v>14</v>
      </c>
      <c r="S45" s="664">
        <f t="shared" si="12"/>
        <v>100</v>
      </c>
      <c r="T45" s="663" t="s">
        <v>14</v>
      </c>
      <c r="U45" s="664">
        <f t="shared" si="13"/>
        <v>100</v>
      </c>
      <c r="V45" s="663" t="s">
        <v>14</v>
      </c>
      <c r="W45" s="664">
        <f t="shared" si="14"/>
        <v>100</v>
      </c>
      <c r="X45" s="665"/>
      <c r="Y45" s="3412"/>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10"/>
      <c r="Q46" s="1262">
        <f t="shared" si="11"/>
        <v>111</v>
      </c>
      <c r="R46" s="666" t="s">
        <v>14</v>
      </c>
      <c r="S46" s="667">
        <f t="shared" si="12"/>
        <v>100</v>
      </c>
      <c r="T46" s="666" t="s">
        <v>14</v>
      </c>
      <c r="U46" s="667">
        <f t="shared" si="13"/>
        <v>100</v>
      </c>
      <c r="V46" s="666" t="s">
        <v>14</v>
      </c>
      <c r="W46" s="667">
        <f t="shared" si="14"/>
        <v>100</v>
      </c>
      <c r="X46" s="1264"/>
      <c r="Y46" s="341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11"/>
      <c r="Q47" s="1262">
        <f t="shared" si="11"/>
        <v>111</v>
      </c>
      <c r="R47" s="666" t="s">
        <v>14</v>
      </c>
      <c r="S47" s="667">
        <f t="shared" si="12"/>
        <v>100</v>
      </c>
      <c r="T47" s="666" t="s">
        <v>14</v>
      </c>
      <c r="U47" s="667">
        <f t="shared" si="13"/>
        <v>100</v>
      </c>
      <c r="V47" s="666" t="s">
        <v>14</v>
      </c>
      <c r="W47" s="667">
        <f t="shared" si="14"/>
        <v>100</v>
      </c>
      <c r="X47" s="1264"/>
      <c r="Y47" s="3413"/>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416" t="str">
        <f>A48</f>
        <v>成交单价（元/平方米）</v>
      </c>
      <c r="Q48" s="3405"/>
      <c r="R48" s="3406">
        <f>E48</f>
        <v>0</v>
      </c>
      <c r="S48" s="3406"/>
      <c r="T48" s="3406">
        <f>G48</f>
        <v>0</v>
      </c>
      <c r="U48" s="3406"/>
      <c r="V48" s="3406">
        <f>I48</f>
        <v>0</v>
      </c>
      <c r="W48" s="3406"/>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0"/>
      <c r="E62" s="30"/>
      <c r="F62" s="30"/>
      <c r="G62" s="30"/>
      <c r="H62" s="30"/>
      <c r="I62" s="30"/>
      <c r="J62" s="30"/>
      <c r="K62" s="30"/>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0"/>
      <c r="D75" s="30"/>
      <c r="E75" s="30"/>
      <c r="F75" s="30"/>
      <c r="G75" s="30"/>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0"/>
      <c r="D99" s="30"/>
      <c r="E99" s="30"/>
      <c r="F99" s="30"/>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0"/>
      <c r="D131" s="30"/>
      <c r="E131" s="30"/>
      <c r="F131" s="30"/>
      <c r="G131" s="516"/>
      <c r="H131" s="516"/>
      <c r="I131" s="516"/>
      <c r="J131" s="516"/>
      <c r="K131" s="30"/>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受贵公司委托，我公司对北京市朝阳区朝阳门外大街18号房地产抵押价值进行了预评估。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估价对象为北京市朝阳区朝阳门外大街18号房地产，为所有。根据《国有土地使用证》[]，估价对象（分摊）出让国有建设用地使用权面积为22.89平方米，建筑面积为195.79平方米。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开发建设的，该项目尚在开发建设中。根据《国有土地使用证》[]，估价对象（分摊）出让国有建设用地使用权面积为22.89平方米，规划建筑面积为195.79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2025年8月8日（评估专业人员实地查勘之日）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195.79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859"/>
      <c r="M4" s="860"/>
      <c r="N4" s="860"/>
      <c r="O4" s="860"/>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7"/>
      <c r="B5" s="348"/>
      <c r="C5" s="3438" t="s">
        <v>1673</v>
      </c>
      <c r="D5" s="3439"/>
      <c r="E5" s="3445" t="s">
        <v>1674</v>
      </c>
      <c r="F5" s="3446"/>
      <c r="G5" s="3438" t="s">
        <v>1675</v>
      </c>
      <c r="H5" s="3439"/>
      <c r="I5" s="3438" t="s">
        <v>1676</v>
      </c>
      <c r="J5" s="3439"/>
      <c r="K5" s="536"/>
      <c r="L5" s="859"/>
      <c r="M5" s="860"/>
      <c r="N5" s="860"/>
      <c r="O5" s="860"/>
      <c r="P5" s="3426"/>
      <c r="Q5" s="3427"/>
      <c r="R5" s="3432"/>
      <c r="S5" s="3433"/>
      <c r="T5" s="3432"/>
      <c r="U5" s="3433"/>
      <c r="V5" s="3406"/>
      <c r="W5" s="3406"/>
      <c r="X5" s="1264"/>
      <c r="Y5" s="3432"/>
      <c r="Z5" s="3433"/>
      <c r="AA5" s="3418"/>
      <c r="AB5" s="3418"/>
      <c r="AC5" s="3418"/>
    </row>
    <row r="6" spans="1:29" ht="15" thickBot="1">
      <c r="A6" s="349"/>
      <c r="B6" s="350"/>
      <c r="C6" s="3436" t="s">
        <v>1677</v>
      </c>
      <c r="D6" s="3437"/>
      <c r="E6" s="3443" t="s">
        <v>1677</v>
      </c>
      <c r="F6" s="3444"/>
      <c r="G6" s="3436" t="s">
        <v>1677</v>
      </c>
      <c r="H6" s="3437"/>
      <c r="I6" s="3436" t="s">
        <v>1677</v>
      </c>
      <c r="J6" s="3437"/>
      <c r="K6" s="536" t="s">
        <v>1678</v>
      </c>
      <c r="L6" s="859"/>
      <c r="M6" s="860"/>
      <c r="N6" s="860"/>
      <c r="O6" s="860"/>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SUMIF(52:52,YEAR(E7)&amp;"-"&amp;MONTH(E7),53:53)</f>
        <v>0</v>
      </c>
      <c r="G7" s="355"/>
      <c r="H7" s="354">
        <f>SUMIF(52:52,YEAR(G7)&amp;"-"&amp;MONTH(G7),53:53)</f>
        <v>0</v>
      </c>
      <c r="I7" s="355"/>
      <c r="J7" s="354">
        <f>SUMIF(52:52,YEAR(I7)&amp;"-"&amp;MONTH(I7),53:53)</f>
        <v>0</v>
      </c>
      <c r="K7" s="37"/>
      <c r="L7" s="861"/>
      <c r="M7" s="862"/>
      <c r="N7" s="862"/>
      <c r="O7" s="862"/>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40" t="s">
        <v>1683</v>
      </c>
      <c r="Q8" s="3441"/>
      <c r="R8" s="663" t="s">
        <v>14</v>
      </c>
      <c r="S8" s="664">
        <f t="shared" si="0"/>
        <v>100</v>
      </c>
      <c r="T8" s="663" t="s">
        <v>14</v>
      </c>
      <c r="U8" s="664">
        <f t="shared" si="1"/>
        <v>100</v>
      </c>
      <c r="V8" s="663" t="s">
        <v>14</v>
      </c>
      <c r="W8" s="664">
        <f t="shared" si="2"/>
        <v>100</v>
      </c>
      <c r="X8" s="665"/>
      <c r="Y8" s="3440" t="s">
        <v>1683</v>
      </c>
      <c r="Z8" s="3441"/>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49">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7"/>
      <c r="L10" s="864"/>
      <c r="M10" s="865"/>
      <c r="N10" s="865"/>
      <c r="O10" s="866"/>
      <c r="P10" s="3405"/>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5"/>
      <c r="Q11" s="529" t="str">
        <f t="shared" si="6"/>
        <v>容积率</v>
      </c>
      <c r="R11" s="663" t="s">
        <v>14</v>
      </c>
      <c r="S11" s="664">
        <f t="shared" si="0"/>
        <v>100</v>
      </c>
      <c r="T11" s="663" t="s">
        <v>14</v>
      </c>
      <c r="U11" s="664">
        <f t="shared" si="1"/>
        <v>100</v>
      </c>
      <c r="V11" s="663" t="s">
        <v>14</v>
      </c>
      <c r="W11" s="664">
        <f t="shared" si="2"/>
        <v>100</v>
      </c>
      <c r="X11" s="665"/>
      <c r="Y11" s="3261"/>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5"/>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5"/>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49">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5"/>
      <c r="Q14" s="529">
        <f t="shared" si="6"/>
        <v>111</v>
      </c>
      <c r="R14" s="663" t="s">
        <v>14</v>
      </c>
      <c r="S14" s="664">
        <f t="shared" si="0"/>
        <v>100</v>
      </c>
      <c r="T14" s="663" t="s">
        <v>14</v>
      </c>
      <c r="U14" s="664">
        <f t="shared" si="1"/>
        <v>100</v>
      </c>
      <c r="V14" s="663" t="s">
        <v>14</v>
      </c>
      <c r="W14" s="664">
        <f t="shared" si="2"/>
        <v>100</v>
      </c>
      <c r="X14" s="665"/>
      <c r="Y14" s="3261"/>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8"/>
      <c r="Q16" s="1262"/>
      <c r="R16" s="666"/>
      <c r="S16" s="667"/>
      <c r="T16" s="666"/>
      <c r="U16" s="667"/>
      <c r="V16" s="666"/>
      <c r="W16" s="667"/>
      <c r="X16" s="1264"/>
      <c r="Y16" s="3408"/>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8"/>
      <c r="Q18" s="1262"/>
      <c r="R18" s="666"/>
      <c r="S18" s="667"/>
      <c r="T18" s="666"/>
      <c r="U18" s="667"/>
      <c r="V18" s="666"/>
      <c r="W18" s="667"/>
      <c r="X18" s="1264"/>
      <c r="Y18" s="3408"/>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8"/>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8"/>
      <c r="Q20" s="1262"/>
      <c r="R20" s="666"/>
      <c r="S20" s="667"/>
      <c r="T20" s="666"/>
      <c r="U20" s="667"/>
      <c r="V20" s="666"/>
      <c r="W20" s="667"/>
      <c r="X20" s="1264"/>
      <c r="Y20" s="3408"/>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8"/>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8"/>
      <c r="Q22" s="1262"/>
      <c r="R22" s="666"/>
      <c r="S22" s="667"/>
      <c r="T22" s="666"/>
      <c r="U22" s="667"/>
      <c r="V22" s="666"/>
      <c r="W22" s="667"/>
      <c r="X22" s="1264"/>
      <c r="Y22" s="3408"/>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8"/>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8"/>
      <c r="Q24" s="1262"/>
      <c r="R24" s="666"/>
      <c r="S24" s="667"/>
      <c r="T24" s="666"/>
      <c r="U24" s="667"/>
      <c r="V24" s="666"/>
      <c r="W24" s="667"/>
      <c r="X24" s="1264"/>
      <c r="Y24" s="340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8"/>
      <c r="Q25" s="1262">
        <f>B25</f>
        <v>111</v>
      </c>
      <c r="R25" s="666" t="s">
        <v>14</v>
      </c>
      <c r="S25" s="667">
        <f>F25</f>
        <v>100</v>
      </c>
      <c r="T25" s="666" t="s">
        <v>14</v>
      </c>
      <c r="U25" s="667">
        <f>H25</f>
        <v>100</v>
      </c>
      <c r="V25" s="666" t="s">
        <v>14</v>
      </c>
      <c r="W25" s="667">
        <f>J25</f>
        <v>100</v>
      </c>
      <c r="X25" s="1264"/>
      <c r="Y25" s="340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8"/>
      <c r="Q26" s="1262">
        <f t="shared" ref="Q26:Q40" si="11">B26</f>
        <v>111</v>
      </c>
      <c r="R26" s="666" t="s">
        <v>14</v>
      </c>
      <c r="S26" s="667">
        <f>F26</f>
        <v>100</v>
      </c>
      <c r="T26" s="666" t="s">
        <v>14</v>
      </c>
      <c r="U26" s="667">
        <f>H26</f>
        <v>100</v>
      </c>
      <c r="V26" s="666" t="s">
        <v>14</v>
      </c>
      <c r="W26" s="667">
        <f>J26</f>
        <v>100</v>
      </c>
      <c r="X26" s="1264"/>
      <c r="Y26" s="340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8"/>
      <c r="Q27" s="529">
        <f t="shared" si="11"/>
        <v>111</v>
      </c>
      <c r="R27" s="663" t="s">
        <v>14</v>
      </c>
      <c r="S27" s="664">
        <f>F27</f>
        <v>100</v>
      </c>
      <c r="T27" s="663" t="s">
        <v>14</v>
      </c>
      <c r="U27" s="664">
        <f>H27</f>
        <v>100</v>
      </c>
      <c r="V27" s="663" t="s">
        <v>14</v>
      </c>
      <c r="W27" s="664">
        <f>J27</f>
        <v>100</v>
      </c>
      <c r="X27" s="665"/>
      <c r="Y27" s="3408"/>
      <c r="Z27" s="49">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8"/>
      <c r="Q28" s="1262">
        <f t="shared" si="11"/>
        <v>111</v>
      </c>
      <c r="R28" s="666" t="s">
        <v>14</v>
      </c>
      <c r="S28" s="667">
        <f t="shared" ref="S28:S40" si="12">F28</f>
        <v>100</v>
      </c>
      <c r="T28" s="666" t="s">
        <v>14</v>
      </c>
      <c r="U28" s="667">
        <f t="shared" ref="U28:U40" si="13">H28</f>
        <v>100</v>
      </c>
      <c r="V28" s="666" t="s">
        <v>14</v>
      </c>
      <c r="W28" s="667">
        <f t="shared" ref="W28:W40" si="14">J28</f>
        <v>100</v>
      </c>
      <c r="X28" s="1264"/>
      <c r="Y28" s="3408"/>
      <c r="Z28" s="1263">
        <f t="shared" ref="Z28:Z40" si="15">Q28</f>
        <v>111</v>
      </c>
      <c r="AA28" s="1263">
        <f t="shared" si="3"/>
        <v>1</v>
      </c>
      <c r="AB28" s="1263">
        <f t="shared" si="4"/>
        <v>1</v>
      </c>
      <c r="AC28" s="1263">
        <f t="shared" si="5"/>
        <v>1</v>
      </c>
    </row>
    <row r="29" spans="1:29" ht="30">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2" t="s">
        <v>1696</v>
      </c>
      <c r="Q29" s="1262" t="str">
        <f t="shared" si="11"/>
        <v>建筑类型</v>
      </c>
      <c r="R29" s="666" t="s">
        <v>14</v>
      </c>
      <c r="S29" s="667">
        <f t="shared" si="12"/>
        <v>100</v>
      </c>
      <c r="T29" s="666" t="s">
        <v>14</v>
      </c>
      <c r="U29" s="667">
        <f t="shared" si="13"/>
        <v>100</v>
      </c>
      <c r="V29" s="666" t="s">
        <v>14</v>
      </c>
      <c r="W29" s="667">
        <f t="shared" si="14"/>
        <v>100</v>
      </c>
      <c r="X29" s="1264"/>
      <c r="Y29" s="341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2"/>
      <c r="Q30" s="530" t="str">
        <f t="shared" si="11"/>
        <v>项目建筑规模</v>
      </c>
      <c r="R30" s="668" t="s">
        <v>14</v>
      </c>
      <c r="S30" s="669" t="e">
        <f t="shared" si="12"/>
        <v>#N/A</v>
      </c>
      <c r="T30" s="668" t="s">
        <v>14</v>
      </c>
      <c r="U30" s="669" t="e">
        <f t="shared" si="13"/>
        <v>#N/A</v>
      </c>
      <c r="V30" s="668" t="s">
        <v>14</v>
      </c>
      <c r="W30" s="669" t="e">
        <f t="shared" si="14"/>
        <v>#N/A</v>
      </c>
      <c r="X30" s="670"/>
      <c r="Y30" s="341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2"/>
      <c r="Q31" s="1262" t="str">
        <f t="shared" si="11"/>
        <v>建筑结构</v>
      </c>
      <c r="R31" s="666" t="s">
        <v>14</v>
      </c>
      <c r="S31" s="667">
        <f t="shared" si="12"/>
        <v>100</v>
      </c>
      <c r="T31" s="666" t="s">
        <v>14</v>
      </c>
      <c r="U31" s="667">
        <f t="shared" si="13"/>
        <v>100</v>
      </c>
      <c r="V31" s="666" t="s">
        <v>14</v>
      </c>
      <c r="W31" s="667">
        <f t="shared" si="14"/>
        <v>100</v>
      </c>
      <c r="X31" s="1264"/>
      <c r="Y31" s="341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2"/>
      <c r="Q32" s="1262" t="str">
        <f t="shared" si="11"/>
        <v>公共部分装修</v>
      </c>
      <c r="R32" s="666" t="s">
        <v>14</v>
      </c>
      <c r="S32" s="667">
        <f t="shared" si="12"/>
        <v>100</v>
      </c>
      <c r="T32" s="666" t="s">
        <v>14</v>
      </c>
      <c r="U32" s="667">
        <f t="shared" si="13"/>
        <v>100</v>
      </c>
      <c r="V32" s="666" t="s">
        <v>14</v>
      </c>
      <c r="W32" s="667">
        <f t="shared" si="14"/>
        <v>100</v>
      </c>
      <c r="X32" s="1264"/>
      <c r="Y32" s="341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2"/>
      <c r="Q33" s="1262" t="str">
        <f t="shared" si="11"/>
        <v>成新度</v>
      </c>
      <c r="R33" s="666" t="s">
        <v>14</v>
      </c>
      <c r="S33" s="667" t="e">
        <f t="shared" si="12"/>
        <v>#N/A</v>
      </c>
      <c r="T33" s="666" t="s">
        <v>14</v>
      </c>
      <c r="U33" s="667" t="e">
        <f t="shared" si="13"/>
        <v>#N/A</v>
      </c>
      <c r="V33" s="666" t="s">
        <v>14</v>
      </c>
      <c r="W33" s="667" t="e">
        <f t="shared" si="14"/>
        <v>#N/A</v>
      </c>
      <c r="X33" s="1264"/>
      <c r="Y33" s="341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2"/>
      <c r="Q34" s="529" t="str">
        <f t="shared" si="11"/>
        <v>物业管理</v>
      </c>
      <c r="R34" s="663" t="s">
        <v>14</v>
      </c>
      <c r="S34" s="664">
        <f t="shared" si="12"/>
        <v>100</v>
      </c>
      <c r="T34" s="663" t="s">
        <v>14</v>
      </c>
      <c r="U34" s="664">
        <f t="shared" si="13"/>
        <v>100</v>
      </c>
      <c r="V34" s="663" t="s">
        <v>14</v>
      </c>
      <c r="W34" s="664">
        <f t="shared" si="14"/>
        <v>100</v>
      </c>
      <c r="X34" s="665"/>
      <c r="Y34" s="3412"/>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2" t="s">
        <v>1696</v>
      </c>
      <c r="Q35" s="1262" t="str">
        <f t="shared" si="11"/>
        <v>市政基础设施</v>
      </c>
      <c r="R35" s="666" t="s">
        <v>14</v>
      </c>
      <c r="S35" s="667">
        <f t="shared" si="12"/>
        <v>100</v>
      </c>
      <c r="T35" s="666" t="s">
        <v>14</v>
      </c>
      <c r="U35" s="667">
        <f t="shared" si="13"/>
        <v>100</v>
      </c>
      <c r="V35" s="666" t="s">
        <v>14</v>
      </c>
      <c r="W35" s="667">
        <f t="shared" si="14"/>
        <v>100</v>
      </c>
      <c r="X35" s="1264"/>
      <c r="Y35" s="341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2"/>
      <c r="Q36" s="1262" t="str">
        <f t="shared" si="11"/>
        <v>内部装修</v>
      </c>
      <c r="R36" s="666" t="s">
        <v>14</v>
      </c>
      <c r="S36" s="667">
        <f t="shared" si="12"/>
        <v>100</v>
      </c>
      <c r="T36" s="666" t="s">
        <v>14</v>
      </c>
      <c r="U36" s="667">
        <f t="shared" si="13"/>
        <v>100</v>
      </c>
      <c r="V36" s="666" t="s">
        <v>14</v>
      </c>
      <c r="W36" s="667">
        <f t="shared" si="14"/>
        <v>100</v>
      </c>
      <c r="X36" s="1264"/>
      <c r="Y36" s="341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2"/>
      <c r="Q37" s="1262" t="str">
        <f t="shared" si="11"/>
        <v>内部装修状况</v>
      </c>
      <c r="R37" s="666" t="s">
        <v>14</v>
      </c>
      <c r="S37" s="667">
        <f t="shared" si="12"/>
        <v>100</v>
      </c>
      <c r="T37" s="666" t="s">
        <v>14</v>
      </c>
      <c r="U37" s="667">
        <f t="shared" si="13"/>
        <v>100</v>
      </c>
      <c r="V37" s="666" t="s">
        <v>14</v>
      </c>
      <c r="W37" s="667">
        <f t="shared" si="14"/>
        <v>100</v>
      </c>
      <c r="X37" s="1264"/>
      <c r="Y37" s="341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2"/>
      <c r="Q38" s="530">
        <f t="shared" si="11"/>
        <v>111</v>
      </c>
      <c r="R38" s="668" t="s">
        <v>14</v>
      </c>
      <c r="S38" s="669">
        <f t="shared" si="12"/>
        <v>100</v>
      </c>
      <c r="T38" s="668" t="s">
        <v>14</v>
      </c>
      <c r="U38" s="669">
        <f t="shared" si="13"/>
        <v>100</v>
      </c>
      <c r="V38" s="668" t="s">
        <v>14</v>
      </c>
      <c r="W38" s="669">
        <f t="shared" si="14"/>
        <v>100</v>
      </c>
      <c r="X38" s="670"/>
      <c r="Y38" s="341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2"/>
      <c r="Q39" s="1262">
        <f t="shared" si="11"/>
        <v>111</v>
      </c>
      <c r="R39" s="666" t="s">
        <v>14</v>
      </c>
      <c r="S39" s="667">
        <f t="shared" si="12"/>
        <v>100</v>
      </c>
      <c r="T39" s="666" t="s">
        <v>14</v>
      </c>
      <c r="U39" s="667">
        <f t="shared" si="13"/>
        <v>100</v>
      </c>
      <c r="V39" s="666" t="s">
        <v>14</v>
      </c>
      <c r="W39" s="667">
        <f t="shared" si="14"/>
        <v>100</v>
      </c>
      <c r="X39" s="1264"/>
      <c r="Y39" s="341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2">
        <f t="shared" si="11"/>
        <v>111</v>
      </c>
      <c r="R40" s="666" t="s">
        <v>14</v>
      </c>
      <c r="S40" s="667">
        <f t="shared" si="12"/>
        <v>100</v>
      </c>
      <c r="T40" s="666" t="s">
        <v>14</v>
      </c>
      <c r="U40" s="667">
        <f t="shared" si="13"/>
        <v>100</v>
      </c>
      <c r="V40" s="666" t="s">
        <v>14</v>
      </c>
      <c r="W40" s="667">
        <f t="shared" si="14"/>
        <v>100</v>
      </c>
      <c r="X40" s="1264"/>
      <c r="Y40" s="341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05" t="str">
        <f>A41</f>
        <v>成交单价（元/平方米）</v>
      </c>
      <c r="Q41" s="3405"/>
      <c r="R41" s="3406">
        <f>E41</f>
        <v>0</v>
      </c>
      <c r="S41" s="3406"/>
      <c r="T41" s="3406">
        <f>G41</f>
        <v>0</v>
      </c>
      <c r="U41" s="3406"/>
      <c r="V41" s="3406">
        <f>I41</f>
        <v>0</v>
      </c>
      <c r="W41" s="3406"/>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3324</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4"/>
      <c r="Y5" s="3432"/>
      <c r="Z5" s="3433"/>
      <c r="AA5" s="3418"/>
      <c r="AB5" s="3418"/>
      <c r="AC5" s="3418"/>
    </row>
    <row r="6" spans="1:29" ht="1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SUMIF(48:48,YEAR(E7)&amp;"-"&amp;MONTH(E7),49:49)</f>
        <v>0</v>
      </c>
      <c r="G7" s="355"/>
      <c r="H7" s="354">
        <f>SUMIF(48:48,YEAR(G7)&amp;"-"&amp;MONTH(G7),49:49)</f>
        <v>0</v>
      </c>
      <c r="I7" s="355"/>
      <c r="J7" s="354">
        <f>SUMIF(48:48,YEAR(I7)&amp;"-"&amp;MONTH(I7),49:49)</f>
        <v>0</v>
      </c>
      <c r="K7" s="37"/>
      <c r="L7" s="2486"/>
      <c r="M7" s="2438"/>
      <c r="N7" s="2438"/>
      <c r="O7" s="2438"/>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6"/>
      <c r="M8" s="2438"/>
      <c r="N8" s="2438"/>
      <c r="O8" s="2438"/>
      <c r="P8" s="3440" t="s">
        <v>1683</v>
      </c>
      <c r="Q8" s="3441"/>
      <c r="R8" s="663" t="s">
        <v>14</v>
      </c>
      <c r="S8" s="664">
        <f t="shared" si="0"/>
        <v>100</v>
      </c>
      <c r="T8" s="663" t="s">
        <v>14</v>
      </c>
      <c r="U8" s="664">
        <f t="shared" si="1"/>
        <v>100</v>
      </c>
      <c r="V8" s="663" t="s">
        <v>14</v>
      </c>
      <c r="W8" s="664">
        <f t="shared" si="2"/>
        <v>100</v>
      </c>
      <c r="X8" s="665"/>
      <c r="Y8" s="3440" t="s">
        <v>1683</v>
      </c>
      <c r="Z8" s="3441"/>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6"/>
      <c r="M9" s="2438"/>
      <c r="N9" s="2438"/>
      <c r="O9" s="2438"/>
      <c r="P9" s="3405" t="s">
        <v>1686</v>
      </c>
      <c r="Q9" s="529" t="str">
        <f t="shared" ref="Q9:Q14" si="6">B9</f>
        <v>用途</v>
      </c>
      <c r="R9" s="663" t="s">
        <v>14</v>
      </c>
      <c r="S9" s="664">
        <f t="shared" si="0"/>
        <v>100</v>
      </c>
      <c r="T9" s="663" t="s">
        <v>14</v>
      </c>
      <c r="U9" s="664">
        <f t="shared" si="1"/>
        <v>100</v>
      </c>
      <c r="V9" s="663" t="s">
        <v>14</v>
      </c>
      <c r="W9" s="664">
        <f t="shared" si="2"/>
        <v>100</v>
      </c>
      <c r="X9" s="665"/>
      <c r="Y9" s="3261" t="s">
        <v>1687</v>
      </c>
      <c r="Z9" s="49" t="str">
        <f t="shared" ref="Z9:Z14" si="7">Q9</f>
        <v>用途</v>
      </c>
      <c r="AA9" s="49">
        <f t="shared" si="3"/>
        <v>1</v>
      </c>
      <c r="AB9" s="49">
        <f t="shared" si="4"/>
        <v>1</v>
      </c>
      <c r="AC9" s="49">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7"/>
      <c r="L10" s="2487"/>
      <c r="M10" s="2488"/>
      <c r="N10" s="2488"/>
      <c r="O10" s="2488"/>
      <c r="P10" s="3405"/>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05"/>
      <c r="Q11" s="529">
        <f t="shared" si="6"/>
        <v>111</v>
      </c>
      <c r="R11" s="663" t="s">
        <v>14</v>
      </c>
      <c r="S11" s="664">
        <f t="shared" si="0"/>
        <v>100</v>
      </c>
      <c r="T11" s="663" t="s">
        <v>14</v>
      </c>
      <c r="U11" s="664">
        <f t="shared" si="1"/>
        <v>100</v>
      </c>
      <c r="V11" s="663" t="s">
        <v>14</v>
      </c>
      <c r="W11" s="664">
        <f t="shared" si="2"/>
        <v>100</v>
      </c>
      <c r="X11" s="665"/>
      <c r="Y11" s="3261"/>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05"/>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05"/>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49">
        <f t="shared" si="5"/>
        <v>1</v>
      </c>
    </row>
    <row r="14" spans="1:29" ht="110.4">
      <c r="A14" s="344" t="s">
        <v>1690</v>
      </c>
      <c r="B14" s="553" t="s">
        <v>1833</v>
      </c>
      <c r="C14" s="1818" t="str">
        <f>IF(B1="工业",估价对象房地状况!G4,估价对象房地状况!C6)</f>
        <v>周边有75、110、420路及地铁2号、6号线，周边道路密集，停车便捷程度，综合评价交通便捷度较好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08"/>
      <c r="Q15" s="1262"/>
      <c r="R15" s="666"/>
      <c r="S15" s="667"/>
      <c r="T15" s="666"/>
      <c r="U15" s="667"/>
      <c r="V15" s="666"/>
      <c r="W15" s="667"/>
      <c r="X15" s="1264"/>
      <c r="Y15" s="3408"/>
      <c r="Z15" s="1263"/>
      <c r="AA15" s="1263">
        <v>1</v>
      </c>
      <c r="AB15" s="1263">
        <v>1</v>
      </c>
      <c r="AC15" s="1263">
        <v>1</v>
      </c>
    </row>
    <row r="16" spans="1:29" ht="96.6">
      <c r="A16" s="347"/>
      <c r="B16" s="555" t="s">
        <v>1812</v>
      </c>
      <c r="C16" s="1753"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08"/>
      <c r="Q17" s="1262"/>
      <c r="R17" s="666"/>
      <c r="S17" s="667"/>
      <c r="T17" s="666"/>
      <c r="U17" s="667"/>
      <c r="V17" s="666"/>
      <c r="W17" s="667"/>
      <c r="X17" s="1264"/>
      <c r="Y17" s="3408"/>
      <c r="Z17" s="1263"/>
      <c r="AA17" s="1263">
        <v>1</v>
      </c>
      <c r="AB17" s="1263">
        <v>1</v>
      </c>
      <c r="AC17" s="1263">
        <v>1</v>
      </c>
    </row>
    <row r="18" spans="1:29" ht="41.4">
      <c r="A18" s="347"/>
      <c r="B18" s="556" t="s">
        <v>1813</v>
      </c>
      <c r="C18" s="1753"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08"/>
      <c r="Q19" s="1262"/>
      <c r="R19" s="666"/>
      <c r="S19" s="667"/>
      <c r="T19" s="666"/>
      <c r="U19" s="667"/>
      <c r="V19" s="666"/>
      <c r="W19" s="667"/>
      <c r="X19" s="1264"/>
      <c r="Y19" s="3408"/>
      <c r="Z19" s="1263"/>
      <c r="AA19" s="1263">
        <v>1</v>
      </c>
      <c r="AB19" s="1263">
        <v>1</v>
      </c>
      <c r="AC19" s="1263">
        <v>1</v>
      </c>
    </row>
    <row r="20" spans="1:29" ht="110.4">
      <c r="A20" s="347"/>
      <c r="B20" s="555" t="s">
        <v>1834</v>
      </c>
      <c r="C20" s="1753" t="str">
        <f>IF(B1="工业",估价对象房地状况!G7,估价对象房地状况!C9)</f>
        <v>区域内有东城职业大学、日坛公园、富国海底世界等自然及人文环境，综合评价自然及人文环境状况较好。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08"/>
      <c r="Q21" s="1262"/>
      <c r="R21" s="666"/>
      <c r="S21" s="667"/>
      <c r="T21" s="666"/>
      <c r="U21" s="667"/>
      <c r="V21" s="666"/>
      <c r="W21" s="667"/>
      <c r="X21" s="1264"/>
      <c r="Y21" s="340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08"/>
      <c r="Q24" s="1262">
        <f t="shared" ref="Q24:Q36"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08"/>
      <c r="Q25" s="529">
        <f t="shared" si="11"/>
        <v>111</v>
      </c>
      <c r="R25" s="663" t="s">
        <v>14</v>
      </c>
      <c r="S25" s="664">
        <f>F25</f>
        <v>100</v>
      </c>
      <c r="T25" s="663" t="s">
        <v>14</v>
      </c>
      <c r="U25" s="664">
        <f>H25</f>
        <v>100</v>
      </c>
      <c r="V25" s="663" t="s">
        <v>14</v>
      </c>
      <c r="W25" s="664">
        <f>J25</f>
        <v>100</v>
      </c>
      <c r="X25" s="665"/>
      <c r="Y25" s="3408"/>
      <c r="Z25" s="49">
        <f>Q25</f>
        <v>111</v>
      </c>
      <c r="AA25" s="1263">
        <f>D25/F25</f>
        <v>1</v>
      </c>
      <c r="AB25" s="1263">
        <f>D25/H25</f>
        <v>1</v>
      </c>
      <c r="AC25" s="1263">
        <f>D25/J25</f>
        <v>1</v>
      </c>
    </row>
    <row r="26" spans="1:29" ht="30">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12"/>
      <c r="Q27" s="530" t="str">
        <f t="shared" si="11"/>
        <v>项目停车位配比</v>
      </c>
      <c r="R27" s="668" t="s">
        <v>14</v>
      </c>
      <c r="S27" s="669">
        <f t="shared" si="12"/>
        <v>100</v>
      </c>
      <c r="T27" s="668" t="s">
        <v>14</v>
      </c>
      <c r="U27" s="669">
        <f t="shared" si="13"/>
        <v>100</v>
      </c>
      <c r="V27" s="668" t="s">
        <v>14</v>
      </c>
      <c r="W27" s="669">
        <f t="shared" si="14"/>
        <v>100</v>
      </c>
      <c r="X27" s="670"/>
      <c r="Y27" s="341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12"/>
      <c r="Q28" s="1262" t="str">
        <f t="shared" si="11"/>
        <v>公共部分装修</v>
      </c>
      <c r="R28" s="666" t="s">
        <v>14</v>
      </c>
      <c r="S28" s="667">
        <f t="shared" si="12"/>
        <v>100</v>
      </c>
      <c r="T28" s="666" t="s">
        <v>14</v>
      </c>
      <c r="U28" s="667">
        <f t="shared" si="13"/>
        <v>100</v>
      </c>
      <c r="V28" s="666" t="s">
        <v>14</v>
      </c>
      <c r="W28" s="667">
        <f t="shared" si="14"/>
        <v>100</v>
      </c>
      <c r="X28" s="1264"/>
      <c r="Y28" s="341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12"/>
      <c r="Q29" s="1262" t="str">
        <f t="shared" si="11"/>
        <v>成新率</v>
      </c>
      <c r="R29" s="666" t="s">
        <v>14</v>
      </c>
      <c r="S29" s="667" t="e">
        <f t="shared" si="12"/>
        <v>#N/A</v>
      </c>
      <c r="T29" s="666" t="s">
        <v>14</v>
      </c>
      <c r="U29" s="667" t="e">
        <f t="shared" si="13"/>
        <v>#N/A</v>
      </c>
      <c r="V29" s="666" t="s">
        <v>14</v>
      </c>
      <c r="W29" s="667" t="e">
        <f t="shared" si="14"/>
        <v>#N/A</v>
      </c>
      <c r="X29" s="1264"/>
      <c r="Y29" s="341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12"/>
      <c r="Q30" s="1262" t="str">
        <f t="shared" si="11"/>
        <v>物业等级</v>
      </c>
      <c r="R30" s="666" t="s">
        <v>14</v>
      </c>
      <c r="S30" s="667">
        <f t="shared" si="12"/>
        <v>100</v>
      </c>
      <c r="T30" s="666" t="s">
        <v>14</v>
      </c>
      <c r="U30" s="667">
        <f t="shared" si="13"/>
        <v>100</v>
      </c>
      <c r="V30" s="666" t="s">
        <v>14</v>
      </c>
      <c r="W30" s="667">
        <f t="shared" si="14"/>
        <v>100</v>
      </c>
      <c r="X30" s="1264"/>
      <c r="Y30" s="341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12"/>
      <c r="Q31" s="529" t="str">
        <f t="shared" si="11"/>
        <v>停车位面积</v>
      </c>
      <c r="R31" s="663" t="s">
        <v>14</v>
      </c>
      <c r="S31" s="664" t="e">
        <f t="shared" si="12"/>
        <v>#N/A</v>
      </c>
      <c r="T31" s="663" t="s">
        <v>14</v>
      </c>
      <c r="U31" s="664" t="e">
        <f t="shared" si="13"/>
        <v>#N/A</v>
      </c>
      <c r="V31" s="663" t="s">
        <v>14</v>
      </c>
      <c r="W31" s="664" t="e">
        <f t="shared" si="14"/>
        <v>#N/A</v>
      </c>
      <c r="X31" s="665"/>
      <c r="Y31" s="3412"/>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12" t="s">
        <v>1696</v>
      </c>
      <c r="Q32" s="1262" t="str">
        <f t="shared" si="11"/>
        <v>车位类型</v>
      </c>
      <c r="R32" s="666" t="s">
        <v>14</v>
      </c>
      <c r="S32" s="667">
        <f t="shared" si="12"/>
        <v>100</v>
      </c>
      <c r="T32" s="666" t="s">
        <v>14</v>
      </c>
      <c r="U32" s="667">
        <f t="shared" si="13"/>
        <v>100</v>
      </c>
      <c r="V32" s="666" t="s">
        <v>14</v>
      </c>
      <c r="W32" s="667">
        <f t="shared" si="14"/>
        <v>100</v>
      </c>
      <c r="X32" s="1264"/>
      <c r="Y32" s="341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12"/>
      <c r="Q33" s="1262" t="str">
        <f t="shared" si="11"/>
        <v>是否直接入户</v>
      </c>
      <c r="R33" s="666" t="s">
        <v>14</v>
      </c>
      <c r="S33" s="667">
        <f t="shared" si="12"/>
        <v>100</v>
      </c>
      <c r="T33" s="666" t="s">
        <v>14</v>
      </c>
      <c r="U33" s="667">
        <f t="shared" si="13"/>
        <v>100</v>
      </c>
      <c r="V33" s="666" t="s">
        <v>14</v>
      </c>
      <c r="W33" s="667">
        <f t="shared" si="14"/>
        <v>100</v>
      </c>
      <c r="X33" s="1264"/>
      <c r="Y33" s="341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12"/>
      <c r="Q35" s="530">
        <f t="shared" si="11"/>
        <v>111</v>
      </c>
      <c r="R35" s="668" t="s">
        <v>14</v>
      </c>
      <c r="S35" s="669">
        <f t="shared" si="12"/>
        <v>100</v>
      </c>
      <c r="T35" s="668" t="s">
        <v>14</v>
      </c>
      <c r="U35" s="669">
        <f t="shared" si="13"/>
        <v>100</v>
      </c>
      <c r="V35" s="668" t="s">
        <v>14</v>
      </c>
      <c r="W35" s="669">
        <f t="shared" si="14"/>
        <v>100</v>
      </c>
      <c r="X35" s="670"/>
      <c r="Y35" s="341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12"/>
      <c r="Q36" s="1262">
        <f t="shared" si="11"/>
        <v>111</v>
      </c>
      <c r="R36" s="666" t="s">
        <v>14</v>
      </c>
      <c r="S36" s="667">
        <f t="shared" si="12"/>
        <v>100</v>
      </c>
      <c r="T36" s="666" t="s">
        <v>14</v>
      </c>
      <c r="U36" s="667">
        <f t="shared" si="13"/>
        <v>100</v>
      </c>
      <c r="V36" s="666" t="s">
        <v>14</v>
      </c>
      <c r="W36" s="667">
        <f t="shared" si="14"/>
        <v>100</v>
      </c>
      <c r="X36" s="1264"/>
      <c r="Y36" s="3412"/>
      <c r="Z36" s="1263">
        <f t="shared" si="15"/>
        <v>111</v>
      </c>
      <c r="AA36" s="1263">
        <f t="shared" si="3"/>
        <v>1</v>
      </c>
      <c r="AB36" s="1263">
        <f t="shared" si="4"/>
        <v>1</v>
      </c>
      <c r="AC36" s="1263">
        <f t="shared" si="5"/>
        <v>1</v>
      </c>
    </row>
    <row r="37" spans="1:29" ht="14.4">
      <c r="A37" s="415" t="s">
        <v>1844</v>
      </c>
      <c r="B37" s="1820" t="s">
        <v>3345</v>
      </c>
      <c r="C37" s="1080" t="s">
        <v>0</v>
      </c>
      <c r="D37" s="417"/>
      <c r="E37" s="418"/>
      <c r="F37" s="419"/>
      <c r="G37" s="420"/>
      <c r="H37" s="421"/>
      <c r="I37" s="418"/>
      <c r="J37" s="421"/>
      <c r="K37" s="544"/>
      <c r="L37" s="2492"/>
      <c r="M37" s="2485"/>
      <c r="N37" s="2485"/>
      <c r="O37" s="2485"/>
      <c r="P37" s="3405" t="str">
        <f>A37</f>
        <v>成交单价</v>
      </c>
      <c r="Q37" s="3405"/>
      <c r="R37" s="3406">
        <f>E37</f>
        <v>0</v>
      </c>
      <c r="S37" s="3406"/>
      <c r="T37" s="3406">
        <f>G37</f>
        <v>0</v>
      </c>
      <c r="U37" s="3406"/>
      <c r="V37" s="3406">
        <f>I37</f>
        <v>0</v>
      </c>
      <c r="W37" s="3406"/>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0"/>
      <c r="E51" s="30"/>
      <c r="F51" s="30"/>
      <c r="G51" s="30"/>
      <c r="H51" s="30"/>
      <c r="I51" s="30"/>
      <c r="J51" s="30"/>
      <c r="K51" s="30"/>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3325</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4"/>
      <c r="Y5" s="3432"/>
      <c r="Z5" s="3433"/>
      <c r="AA5" s="3418"/>
      <c r="AB5" s="3418"/>
      <c r="AC5" s="3418"/>
    </row>
    <row r="6" spans="1:29" ht="1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SUMIF(46:46,YEAR(E7)&amp;"-"&amp;MONTH(E7),47:47)</f>
        <v>0</v>
      </c>
      <c r="G7" s="1821"/>
      <c r="H7" s="354">
        <f>SUMIF(46:46,YEAR(G7)&amp;"-"&amp;MONTH(G7),47:47)</f>
        <v>0</v>
      </c>
      <c r="I7" s="355"/>
      <c r="J7" s="354">
        <f>SUMIF(46:46,YEAR(I7)&amp;"-"&amp;MONTH(I7),47:47)</f>
        <v>0</v>
      </c>
      <c r="K7" s="37"/>
      <c r="L7" s="2486"/>
      <c r="M7" s="2438"/>
      <c r="N7" s="2438"/>
      <c r="O7" s="2438"/>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6"/>
      <c r="M8" s="2438"/>
      <c r="N8" s="2438"/>
      <c r="O8" s="2438"/>
      <c r="P8" s="3440" t="s">
        <v>1683</v>
      </c>
      <c r="Q8" s="3441"/>
      <c r="R8" s="663" t="s">
        <v>14</v>
      </c>
      <c r="S8" s="664">
        <f t="shared" si="0"/>
        <v>100</v>
      </c>
      <c r="T8" s="663" t="s">
        <v>14</v>
      </c>
      <c r="U8" s="664">
        <f t="shared" si="1"/>
        <v>100</v>
      </c>
      <c r="V8" s="663" t="s">
        <v>14</v>
      </c>
      <c r="W8" s="664">
        <f t="shared" si="2"/>
        <v>100</v>
      </c>
      <c r="X8" s="665"/>
      <c r="Y8" s="3440" t="s">
        <v>1683</v>
      </c>
      <c r="Z8" s="3441"/>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6"/>
      <c r="M9" s="2438"/>
      <c r="N9" s="2438"/>
      <c r="O9" s="2538"/>
      <c r="P9" s="3405" t="s">
        <v>1686</v>
      </c>
      <c r="Q9" s="529" t="str">
        <f t="shared" ref="Q9:Q14" si="6">B9</f>
        <v>用途</v>
      </c>
      <c r="R9" s="663" t="s">
        <v>14</v>
      </c>
      <c r="S9" s="664">
        <f t="shared" si="0"/>
        <v>100</v>
      </c>
      <c r="T9" s="663" t="s">
        <v>14</v>
      </c>
      <c r="U9" s="664">
        <f t="shared" si="1"/>
        <v>100</v>
      </c>
      <c r="V9" s="663" t="s">
        <v>14</v>
      </c>
      <c r="W9" s="664">
        <f t="shared" si="2"/>
        <v>100</v>
      </c>
      <c r="X9" s="665"/>
      <c r="Y9" s="3261" t="s">
        <v>1687</v>
      </c>
      <c r="Z9" s="49" t="str">
        <f t="shared" ref="Z9:Z14" si="7">Q9</f>
        <v>用途</v>
      </c>
      <c r="AA9" s="49">
        <f t="shared" si="3"/>
        <v>1</v>
      </c>
      <c r="AB9" s="49">
        <f t="shared" si="4"/>
        <v>1</v>
      </c>
      <c r="AC9" s="49">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7"/>
      <c r="L10" s="2487"/>
      <c r="M10" s="2488"/>
      <c r="N10" s="2488"/>
      <c r="O10" s="2539"/>
      <c r="P10" s="3405"/>
      <c r="Q10" s="529" t="str">
        <f t="shared" si="6"/>
        <v>土地使用年限（年）</v>
      </c>
      <c r="R10" s="663" t="s">
        <v>14</v>
      </c>
      <c r="S10" s="664">
        <f t="shared" si="0"/>
        <v>100</v>
      </c>
      <c r="T10" s="663" t="s">
        <v>14</v>
      </c>
      <c r="U10" s="664">
        <f t="shared" si="1"/>
        <v>100</v>
      </c>
      <c r="V10" s="663" t="s">
        <v>14</v>
      </c>
      <c r="W10" s="664">
        <f t="shared" si="2"/>
        <v>100</v>
      </c>
      <c r="X10" s="665"/>
      <c r="Y10" s="3261"/>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05"/>
      <c r="Q11" s="529">
        <f t="shared" si="6"/>
        <v>111</v>
      </c>
      <c r="R11" s="663" t="s">
        <v>14</v>
      </c>
      <c r="S11" s="664">
        <f t="shared" si="0"/>
        <v>100</v>
      </c>
      <c r="T11" s="663" t="s">
        <v>14</v>
      </c>
      <c r="U11" s="664">
        <f t="shared" si="1"/>
        <v>100</v>
      </c>
      <c r="V11" s="663" t="s">
        <v>14</v>
      </c>
      <c r="W11" s="664">
        <f t="shared" si="2"/>
        <v>100</v>
      </c>
      <c r="X11" s="665"/>
      <c r="Y11" s="3261"/>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05"/>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49">
        <f t="shared" si="5"/>
        <v>1</v>
      </c>
    </row>
    <row r="14" spans="1:29" ht="110.4">
      <c r="A14" s="378" t="s">
        <v>1690</v>
      </c>
      <c r="B14" s="57" t="s">
        <v>1833</v>
      </c>
      <c r="C14" s="1818" t="str">
        <f>IF(B1="工业",估价对象房地状况!G4,估价对象房地状况!C6)</f>
        <v>周边有75、110、420路及地铁2号、6号线，周边道路密集，停车便捷程度，综合评价交通便捷度较好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08"/>
      <c r="Q15" s="1262"/>
      <c r="R15" s="666"/>
      <c r="S15" s="667"/>
      <c r="T15" s="666"/>
      <c r="U15" s="667"/>
      <c r="V15" s="666"/>
      <c r="W15" s="667"/>
      <c r="X15" s="1264"/>
      <c r="Y15" s="3408"/>
      <c r="Z15" s="1263"/>
      <c r="AA15" s="1263">
        <v>1</v>
      </c>
      <c r="AB15" s="1263">
        <v>1</v>
      </c>
      <c r="AC15" s="1263">
        <v>1</v>
      </c>
    </row>
    <row r="16" spans="1:29" ht="96.6">
      <c r="A16" s="366"/>
      <c r="B16" s="389" t="s">
        <v>1812</v>
      </c>
      <c r="C16" s="1753"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08"/>
      <c r="Q17" s="1262"/>
      <c r="R17" s="666"/>
      <c r="S17" s="667"/>
      <c r="T17" s="666"/>
      <c r="U17" s="667"/>
      <c r="V17" s="666"/>
      <c r="W17" s="667"/>
      <c r="X17" s="1264"/>
      <c r="Y17" s="3408"/>
      <c r="Z17" s="1263"/>
      <c r="AA17" s="1263">
        <v>1</v>
      </c>
      <c r="AB17" s="1263">
        <v>1</v>
      </c>
      <c r="AC17" s="1263">
        <v>1</v>
      </c>
    </row>
    <row r="18" spans="1:29" ht="41.4">
      <c r="A18" s="366"/>
      <c r="B18" s="585" t="s">
        <v>1813</v>
      </c>
      <c r="C18" s="1753"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08"/>
      <c r="Q19" s="1262"/>
      <c r="R19" s="666"/>
      <c r="S19" s="667"/>
      <c r="T19" s="666"/>
      <c r="U19" s="667"/>
      <c r="V19" s="666"/>
      <c r="W19" s="667"/>
      <c r="X19" s="1264"/>
      <c r="Y19" s="3408"/>
      <c r="Z19" s="1263"/>
      <c r="AA19" s="1263">
        <v>1</v>
      </c>
      <c r="AB19" s="1263">
        <v>1</v>
      </c>
      <c r="AC19" s="1263">
        <v>1</v>
      </c>
    </row>
    <row r="20" spans="1:29" ht="110.4">
      <c r="A20" s="366"/>
      <c r="B20" s="389" t="s">
        <v>1834</v>
      </c>
      <c r="C20" s="1753" t="str">
        <f>IF(B1="工业",估价对象房地状况!G7,估价对象房地状况!C9)</f>
        <v>区域内有东城职业大学、日坛公园、富国海底世界等自然及人文环境，综合评价自然及人文环境状况较好。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08"/>
      <c r="Q21" s="1262"/>
      <c r="R21" s="666"/>
      <c r="S21" s="667"/>
      <c r="T21" s="666"/>
      <c r="U21" s="667"/>
      <c r="V21" s="666"/>
      <c r="W21" s="667"/>
      <c r="X21" s="1264"/>
      <c r="Y21" s="340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08"/>
      <c r="Q24" s="1262">
        <f t="shared" ref="Q24:Q34"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08"/>
      <c r="Q25" s="529">
        <f t="shared" si="11"/>
        <v>111</v>
      </c>
      <c r="R25" s="663" t="s">
        <v>14</v>
      </c>
      <c r="S25" s="664">
        <f>F25</f>
        <v>100</v>
      </c>
      <c r="T25" s="663" t="s">
        <v>14</v>
      </c>
      <c r="U25" s="664">
        <f>H25</f>
        <v>100</v>
      </c>
      <c r="V25" s="663" t="s">
        <v>14</v>
      </c>
      <c r="W25" s="664">
        <f>J25</f>
        <v>100</v>
      </c>
      <c r="X25" s="665"/>
      <c r="Y25" s="3408"/>
      <c r="Z25" s="49">
        <f>Q25</f>
        <v>111</v>
      </c>
      <c r="AA25" s="1263">
        <f>D25/F25</f>
        <v>1</v>
      </c>
      <c r="AB25" s="1263">
        <f>D25/H25</f>
        <v>1</v>
      </c>
      <c r="AC25" s="1263">
        <f>D25/J25</f>
        <v>1</v>
      </c>
    </row>
    <row r="26" spans="1:29" ht="30">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6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12"/>
      <c r="Q27" s="530" t="str">
        <f t="shared" si="11"/>
        <v>成新率</v>
      </c>
      <c r="R27" s="668" t="s">
        <v>14</v>
      </c>
      <c r="S27" s="669" t="e">
        <f t="shared" si="12"/>
        <v>#N/A</v>
      </c>
      <c r="T27" s="668" t="s">
        <v>14</v>
      </c>
      <c r="U27" s="669" t="e">
        <f t="shared" si="13"/>
        <v>#N/A</v>
      </c>
      <c r="V27" s="668" t="s">
        <v>14</v>
      </c>
      <c r="W27" s="669" t="e">
        <f t="shared" si="14"/>
        <v>#N/A</v>
      </c>
      <c r="X27" s="670"/>
      <c r="Y27" s="341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12"/>
      <c r="Q28" s="1262" t="str">
        <f t="shared" si="11"/>
        <v>物业等级</v>
      </c>
      <c r="R28" s="666" t="s">
        <v>14</v>
      </c>
      <c r="S28" s="667">
        <f t="shared" si="12"/>
        <v>100</v>
      </c>
      <c r="T28" s="666" t="s">
        <v>14</v>
      </c>
      <c r="U28" s="667">
        <f t="shared" si="13"/>
        <v>100</v>
      </c>
      <c r="V28" s="666" t="s">
        <v>14</v>
      </c>
      <c r="W28" s="667">
        <f t="shared" si="14"/>
        <v>100</v>
      </c>
      <c r="X28" s="1264"/>
      <c r="Y28" s="341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12"/>
      <c r="Q29" s="1262" t="str">
        <f t="shared" si="11"/>
        <v>有无电梯</v>
      </c>
      <c r="R29" s="666" t="s">
        <v>14</v>
      </c>
      <c r="S29" s="667">
        <f t="shared" si="12"/>
        <v>100</v>
      </c>
      <c r="T29" s="666" t="s">
        <v>14</v>
      </c>
      <c r="U29" s="667">
        <f t="shared" si="13"/>
        <v>100</v>
      </c>
      <c r="V29" s="666" t="s">
        <v>14</v>
      </c>
      <c r="W29" s="667">
        <f t="shared" si="14"/>
        <v>100</v>
      </c>
      <c r="X29" s="1264"/>
      <c r="Y29" s="341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12"/>
      <c r="Q30" s="1262" t="str">
        <f t="shared" si="11"/>
        <v>建筑面积</v>
      </c>
      <c r="R30" s="666" t="s">
        <v>14</v>
      </c>
      <c r="S30" s="667" t="e">
        <f t="shared" si="12"/>
        <v>#N/A</v>
      </c>
      <c r="T30" s="666" t="s">
        <v>14</v>
      </c>
      <c r="U30" s="667" t="e">
        <f t="shared" si="13"/>
        <v>#N/A</v>
      </c>
      <c r="V30" s="666" t="s">
        <v>14</v>
      </c>
      <c r="W30" s="667" t="e">
        <f t="shared" si="14"/>
        <v>#N/A</v>
      </c>
      <c r="X30" s="1264"/>
      <c r="Y30" s="341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12"/>
      <c r="Q31" s="529" t="str">
        <f t="shared" si="11"/>
        <v>是否封闭</v>
      </c>
      <c r="R31" s="663" t="s">
        <v>14</v>
      </c>
      <c r="S31" s="664">
        <f t="shared" si="12"/>
        <v>100</v>
      </c>
      <c r="T31" s="663" t="s">
        <v>14</v>
      </c>
      <c r="U31" s="664">
        <f t="shared" si="13"/>
        <v>100</v>
      </c>
      <c r="V31" s="663" t="s">
        <v>14</v>
      </c>
      <c r="W31" s="664">
        <f t="shared" si="14"/>
        <v>100</v>
      </c>
      <c r="X31" s="665"/>
      <c r="Y31" s="3412"/>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12" t="s">
        <v>1696</v>
      </c>
      <c r="Q32" s="1262">
        <f t="shared" si="11"/>
        <v>111</v>
      </c>
      <c r="R32" s="666" t="s">
        <v>14</v>
      </c>
      <c r="S32" s="667">
        <f t="shared" si="12"/>
        <v>100</v>
      </c>
      <c r="T32" s="666" t="s">
        <v>14</v>
      </c>
      <c r="U32" s="667">
        <f t="shared" si="13"/>
        <v>100</v>
      </c>
      <c r="V32" s="666" t="s">
        <v>14</v>
      </c>
      <c r="W32" s="667">
        <f t="shared" si="14"/>
        <v>100</v>
      </c>
      <c r="X32" s="1264"/>
      <c r="Y32" s="341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12"/>
      <c r="Q33" s="1262">
        <f t="shared" si="11"/>
        <v>111</v>
      </c>
      <c r="R33" s="666" t="s">
        <v>14</v>
      </c>
      <c r="S33" s="667">
        <f t="shared" si="12"/>
        <v>100</v>
      </c>
      <c r="T33" s="666" t="s">
        <v>14</v>
      </c>
      <c r="U33" s="667">
        <f t="shared" si="13"/>
        <v>100</v>
      </c>
      <c r="V33" s="666" t="s">
        <v>14</v>
      </c>
      <c r="W33" s="667">
        <f t="shared" si="14"/>
        <v>100</v>
      </c>
      <c r="X33" s="1264"/>
      <c r="Y33" s="341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405" t="str">
        <f>A35</f>
        <v>成交单价（元/平方米）</v>
      </c>
      <c r="Q35" s="3405"/>
      <c r="R35" s="3406">
        <f>E35</f>
        <v>0</v>
      </c>
      <c r="S35" s="3406"/>
      <c r="T35" s="3406">
        <f>G35</f>
        <v>0</v>
      </c>
      <c r="U35" s="3406"/>
      <c r="V35" s="3406">
        <f>I35</f>
        <v>0</v>
      </c>
      <c r="W35" s="3406"/>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0"/>
      <c r="E49" s="30"/>
      <c r="F49" s="30"/>
      <c r="G49" s="30"/>
      <c r="H49" s="30"/>
      <c r="I49" s="30"/>
      <c r="J49" s="30"/>
      <c r="K49" s="30"/>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4"/>
      <c r="Y5" s="3432"/>
      <c r="Z5" s="3433"/>
      <c r="AA5" s="3418"/>
      <c r="AB5" s="3418"/>
      <c r="AC5" s="3418"/>
    </row>
    <row r="6" spans="1:29" ht="1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SUMIF(69:69,YEAR(E7)&amp;"-"&amp;INT((MONTH(E7)+2)/3),70:70)</f>
        <v>0</v>
      </c>
      <c r="G7" s="1821"/>
      <c r="H7" s="354">
        <f>SUMIF(69:69,YEAR(G7)&amp;"-"&amp;INT((MONTH(G7)+2)/3),70:70)</f>
        <v>0</v>
      </c>
      <c r="I7" s="1821"/>
      <c r="J7" s="354">
        <f>SUMIF(69:69,YEAR(I7)&amp;"-"&amp;INT((MONTH(I7)+2)/3),70:70)</f>
        <v>0</v>
      </c>
      <c r="K7" s="37"/>
      <c r="L7" s="2486"/>
      <c r="M7" s="2438"/>
      <c r="N7" s="2438"/>
      <c r="O7" s="2438"/>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6"/>
      <c r="M8" s="2438"/>
      <c r="N8" s="2438"/>
      <c r="O8" s="2438"/>
      <c r="P8" s="3440" t="s">
        <v>1683</v>
      </c>
      <c r="Q8" s="3441"/>
      <c r="R8" s="663" t="s">
        <v>14</v>
      </c>
      <c r="S8" s="664">
        <f t="shared" si="0"/>
        <v>0</v>
      </c>
      <c r="T8" s="663" t="s">
        <v>14</v>
      </c>
      <c r="U8" s="664">
        <f t="shared" si="1"/>
        <v>0</v>
      </c>
      <c r="V8" s="663" t="s">
        <v>14</v>
      </c>
      <c r="W8" s="664">
        <f t="shared" si="2"/>
        <v>0</v>
      </c>
      <c r="X8" s="665"/>
      <c r="Y8" s="3440" t="s">
        <v>1683</v>
      </c>
      <c r="Z8" s="3441"/>
      <c r="AA8" s="49" t="e">
        <f t="shared" ref="AA8:AA45" si="3">D8/F8</f>
        <v>#DIV/0!</v>
      </c>
      <c r="AB8" s="49" t="e">
        <f t="shared" ref="AB8:AB45" si="4">D8/H8</f>
        <v>#DIV/0!</v>
      </c>
      <c r="AC8" s="49" t="e">
        <f t="shared" ref="AC8:AC45" si="5">D8/J8</f>
        <v>#DIV/0!</v>
      </c>
    </row>
    <row r="9" spans="1:29" s="101" customFormat="1" ht="14.4">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7"/>
      <c r="L9" s="2486"/>
      <c r="M9" s="2438"/>
      <c r="N9" s="2438"/>
      <c r="O9" s="2538"/>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154</v>
      </c>
      <c r="G10" s="401"/>
      <c r="H10" s="118">
        <f>ROUND(100/'数据-取费表'!G16,0)</f>
        <v>154</v>
      </c>
      <c r="I10" s="401"/>
      <c r="J10" s="118">
        <f>ROUND(100/'数据-取费表'!G16,0)</f>
        <v>154</v>
      </c>
      <c r="K10" s="591"/>
      <c r="L10" s="2487"/>
      <c r="M10" s="2488"/>
      <c r="N10" s="2488"/>
      <c r="O10" s="2539"/>
      <c r="P10" s="3405"/>
      <c r="Q10" s="529" t="str">
        <f t="shared" si="6"/>
        <v>土地使用年限（年）</v>
      </c>
      <c r="R10" s="663" t="s">
        <v>14</v>
      </c>
      <c r="S10" s="664">
        <f t="shared" si="0"/>
        <v>154</v>
      </c>
      <c r="T10" s="663" t="s">
        <v>14</v>
      </c>
      <c r="U10" s="664">
        <f t="shared" si="1"/>
        <v>154</v>
      </c>
      <c r="V10" s="663" t="s">
        <v>14</v>
      </c>
      <c r="W10" s="664">
        <f t="shared" si="2"/>
        <v>154</v>
      </c>
      <c r="X10" s="665"/>
      <c r="Y10" s="3261"/>
      <c r="Z10" s="49" t="str">
        <f t="shared" si="7"/>
        <v>土地使用年限（年）</v>
      </c>
      <c r="AA10" s="49">
        <f t="shared" si="3"/>
        <v>0.64935064935064934</v>
      </c>
      <c r="AB10" s="49">
        <f t="shared" si="4"/>
        <v>0.64935064935064934</v>
      </c>
      <c r="AC10" s="49">
        <f t="shared" si="5"/>
        <v>0.64935064935064934</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05"/>
      <c r="Q11" s="529" t="str">
        <f t="shared" si="6"/>
        <v>容积率</v>
      </c>
      <c r="R11" s="663" t="s">
        <v>14</v>
      </c>
      <c r="S11" s="664" t="e">
        <f t="shared" si="0"/>
        <v>#N/A</v>
      </c>
      <c r="T11" s="663" t="s">
        <v>14</v>
      </c>
      <c r="U11" s="664" t="e">
        <f t="shared" si="1"/>
        <v>#N/A</v>
      </c>
      <c r="V11" s="663" t="s">
        <v>14</v>
      </c>
      <c r="W11" s="664" t="e">
        <f t="shared" si="2"/>
        <v>#N/A</v>
      </c>
      <c r="X11" s="665"/>
      <c r="Y11" s="3261"/>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05"/>
      <c r="Q12" s="529" t="str">
        <f t="shared" si="6"/>
        <v>配建</v>
      </c>
      <c r="R12" s="663" t="s">
        <v>14</v>
      </c>
      <c r="S12" s="664">
        <f t="shared" si="0"/>
        <v>100</v>
      </c>
      <c r="T12" s="663" t="s">
        <v>14</v>
      </c>
      <c r="U12" s="664">
        <f t="shared" si="1"/>
        <v>100</v>
      </c>
      <c r="V12" s="663" t="s">
        <v>14</v>
      </c>
      <c r="W12" s="664">
        <f t="shared" si="2"/>
        <v>100</v>
      </c>
      <c r="X12" s="665"/>
      <c r="Y12" s="3261"/>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49">
        <f t="shared" si="7"/>
        <v>111</v>
      </c>
      <c r="AA13" s="49">
        <f>D13/F13</f>
        <v>1</v>
      </c>
      <c r="AB13" s="49">
        <f>D13/H13</f>
        <v>1</v>
      </c>
      <c r="AC13" s="49">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05"/>
      <c r="Q14" s="529">
        <f t="shared" si="6"/>
        <v>111</v>
      </c>
      <c r="R14" s="663" t="s">
        <v>14</v>
      </c>
      <c r="S14" s="664">
        <f t="shared" si="0"/>
        <v>100</v>
      </c>
      <c r="T14" s="663" t="s">
        <v>14</v>
      </c>
      <c r="U14" s="664">
        <f t="shared" si="1"/>
        <v>100</v>
      </c>
      <c r="V14" s="663" t="s">
        <v>14</v>
      </c>
      <c r="W14" s="664">
        <f t="shared" si="2"/>
        <v>100</v>
      </c>
      <c r="X14" s="665"/>
      <c r="Y14" s="3261"/>
      <c r="Z14" s="49">
        <f t="shared" si="7"/>
        <v>111</v>
      </c>
      <c r="AA14" s="49">
        <f>D14/F14</f>
        <v>1</v>
      </c>
      <c r="AB14" s="49">
        <f>D14/H14</f>
        <v>1</v>
      </c>
      <c r="AC14" s="49">
        <f>D14/J14</f>
        <v>1</v>
      </c>
    </row>
    <row r="15" spans="1:29" ht="15">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07" t="s">
        <v>1691</v>
      </c>
      <c r="Q15" s="1262" t="str">
        <f t="shared" si="6"/>
        <v>居住社区成熟度</v>
      </c>
      <c r="R15" s="666" t="s">
        <v>14</v>
      </c>
      <c r="S15" s="667">
        <f t="shared" si="0"/>
        <v>100</v>
      </c>
      <c r="T15" s="666" t="s">
        <v>14</v>
      </c>
      <c r="U15" s="667">
        <f t="shared" si="1"/>
        <v>100</v>
      </c>
      <c r="V15" s="666" t="s">
        <v>14</v>
      </c>
      <c r="W15" s="667">
        <f t="shared" si="2"/>
        <v>100</v>
      </c>
      <c r="X15" s="1264"/>
      <c r="Y15" s="340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08"/>
      <c r="Q16" s="1262"/>
      <c r="R16" s="666"/>
      <c r="S16" s="667"/>
      <c r="T16" s="666"/>
      <c r="U16" s="667"/>
      <c r="V16" s="666"/>
      <c r="W16" s="667"/>
      <c r="X16" s="1264"/>
      <c r="Y16" s="3408"/>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08"/>
      <c r="Q17" s="1262" t="str">
        <f>B17</f>
        <v>商业繁华度</v>
      </c>
      <c r="R17" s="666" t="s">
        <v>14</v>
      </c>
      <c r="S17" s="667">
        <f>F17</f>
        <v>100</v>
      </c>
      <c r="T17" s="666" t="s">
        <v>14</v>
      </c>
      <c r="U17" s="667">
        <f>H17</f>
        <v>100</v>
      </c>
      <c r="V17" s="666" t="s">
        <v>14</v>
      </c>
      <c r="W17" s="667">
        <f>J17</f>
        <v>100</v>
      </c>
      <c r="X17" s="1264"/>
      <c r="Y17" s="340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08"/>
      <c r="Q18" s="1262"/>
      <c r="R18" s="666"/>
      <c r="S18" s="667"/>
      <c r="T18" s="666"/>
      <c r="U18" s="667"/>
      <c r="V18" s="666"/>
      <c r="W18" s="667"/>
      <c r="X18" s="1264"/>
      <c r="Y18" s="3408"/>
      <c r="Z18" s="1263"/>
      <c r="AA18" s="1263">
        <v>1</v>
      </c>
      <c r="AB18" s="1263">
        <v>1</v>
      </c>
      <c r="AC18" s="1263">
        <v>1</v>
      </c>
    </row>
    <row r="19" spans="1:29" ht="124.2">
      <c r="A19" s="366"/>
      <c r="B19" s="389" t="s">
        <v>1811</v>
      </c>
      <c r="C19" s="1805" t="str">
        <f>估价对象房地状况!C17</f>
        <v>估价对象位于朝阳门商圈，周边办公楼项目较多，有联合大厦、华普国际大厦等写字楼，入驻率高，办公集聚程度较好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08"/>
      <c r="Q19" s="1262" t="str">
        <f>B19</f>
        <v>办公集聚程度</v>
      </c>
      <c r="R19" s="666" t="s">
        <v>14</v>
      </c>
      <c r="S19" s="667">
        <f>F19</f>
        <v>100</v>
      </c>
      <c r="T19" s="666" t="s">
        <v>14</v>
      </c>
      <c r="U19" s="667">
        <f>H19</f>
        <v>100</v>
      </c>
      <c r="V19" s="666" t="s">
        <v>14</v>
      </c>
      <c r="W19" s="667">
        <f>J19</f>
        <v>100</v>
      </c>
      <c r="X19" s="1264"/>
      <c r="Y19" s="340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08"/>
      <c r="Q20" s="1262"/>
      <c r="R20" s="666"/>
      <c r="S20" s="667"/>
      <c r="T20" s="666"/>
      <c r="U20" s="667"/>
      <c r="V20" s="666"/>
      <c r="W20" s="667"/>
      <c r="X20" s="1264"/>
      <c r="Y20" s="3408"/>
      <c r="Z20" s="1263"/>
      <c r="AA20" s="1263">
        <v>1</v>
      </c>
      <c r="AB20" s="1263">
        <v>1</v>
      </c>
      <c r="AC20" s="1263">
        <v>1</v>
      </c>
    </row>
    <row r="21" spans="1:29" ht="110.4">
      <c r="A21" s="366"/>
      <c r="B21" s="389" t="s">
        <v>1833</v>
      </c>
      <c r="C21" s="1753" t="str">
        <f>估价对象房地状况!C18</f>
        <v>周边有75、110、420路及地铁2号、6号线，周边道路密集，停车便捷程度，综合评价交通便捷度较好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08"/>
      <c r="Q21" s="1262" t="str">
        <f>B21</f>
        <v>交通便捷度</v>
      </c>
      <c r="R21" s="666" t="s">
        <v>14</v>
      </c>
      <c r="S21" s="667">
        <f>F21</f>
        <v>100</v>
      </c>
      <c r="T21" s="666" t="s">
        <v>14</v>
      </c>
      <c r="U21" s="667">
        <f>H21</f>
        <v>100</v>
      </c>
      <c r="V21" s="666" t="s">
        <v>14</v>
      </c>
      <c r="W21" s="667">
        <f>J21</f>
        <v>100</v>
      </c>
      <c r="X21" s="1264"/>
      <c r="Y21" s="340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08"/>
      <c r="Q22" s="1262"/>
      <c r="R22" s="666"/>
      <c r="S22" s="667"/>
      <c r="T22" s="666"/>
      <c r="U22" s="667"/>
      <c r="V22" s="666"/>
      <c r="W22" s="667"/>
      <c r="X22" s="1264"/>
      <c r="Y22" s="340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08"/>
      <c r="Q23" s="1262" t="str">
        <f t="shared" ref="Q23:Q37" si="8">B23</f>
        <v>区域土地利用方向</v>
      </c>
      <c r="R23" s="666" t="s">
        <v>14</v>
      </c>
      <c r="S23" s="667">
        <f>F23</f>
        <v>100</v>
      </c>
      <c r="T23" s="666" t="s">
        <v>14</v>
      </c>
      <c r="U23" s="667">
        <f>H23</f>
        <v>100</v>
      </c>
      <c r="V23" s="666" t="s">
        <v>14</v>
      </c>
      <c r="W23" s="667">
        <f>J23</f>
        <v>100</v>
      </c>
      <c r="X23" s="1264"/>
      <c r="Y23" s="340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08"/>
      <c r="Q24" s="1262"/>
      <c r="R24" s="666"/>
      <c r="S24" s="667"/>
      <c r="T24" s="666"/>
      <c r="U24" s="667"/>
      <c r="V24" s="666"/>
      <c r="W24" s="667"/>
      <c r="X24" s="1264"/>
      <c r="Y24" s="3408"/>
      <c r="Z24" s="1263"/>
      <c r="AA24" s="1263"/>
      <c r="AB24" s="1263"/>
      <c r="AC24" s="1263"/>
    </row>
    <row r="25" spans="1:29" ht="110.4">
      <c r="A25" s="347"/>
      <c r="B25" s="585" t="s">
        <v>1872</v>
      </c>
      <c r="C25" s="1805" t="str">
        <f>估价对象房地状况!C20</f>
        <v>区域内有东城职业大学、日坛公园、富国海底世界等自然及人文环境，综合评价自然及人文环境状况较好。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08"/>
      <c r="Q25" s="1262" t="str">
        <f t="shared" si="8"/>
        <v>自然及人文环境状况</v>
      </c>
      <c r="R25" s="666" t="s">
        <v>14</v>
      </c>
      <c r="S25" s="667">
        <f>F25</f>
        <v>100</v>
      </c>
      <c r="T25" s="666" t="s">
        <v>14</v>
      </c>
      <c r="U25" s="667">
        <f>H25</f>
        <v>100</v>
      </c>
      <c r="V25" s="666" t="s">
        <v>14</v>
      </c>
      <c r="W25" s="667">
        <f>J25</f>
        <v>100</v>
      </c>
      <c r="X25" s="1264"/>
      <c r="Y25" s="340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08"/>
      <c r="Q26" s="1262"/>
      <c r="R26" s="666"/>
      <c r="S26" s="667"/>
      <c r="T26" s="666"/>
      <c r="U26" s="667"/>
      <c r="V26" s="666"/>
      <c r="W26" s="667"/>
      <c r="X26" s="1264"/>
      <c r="Y26" s="3408"/>
      <c r="Z26" s="1263"/>
      <c r="AA26" s="1263">
        <v>1</v>
      </c>
      <c r="AB26" s="1263">
        <v>1</v>
      </c>
      <c r="AC26" s="1263">
        <v>1</v>
      </c>
    </row>
    <row r="27" spans="1:29" s="101" customFormat="1" ht="96.6">
      <c r="A27" s="442"/>
      <c r="B27" s="585" t="s">
        <v>1778</v>
      </c>
      <c r="C27" s="1753"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08"/>
      <c r="Q27" s="529" t="str">
        <f t="shared" si="8"/>
        <v>公共配套设施</v>
      </c>
      <c r="R27" s="663" t="s">
        <v>14</v>
      </c>
      <c r="S27" s="664">
        <f>F27</f>
        <v>100</v>
      </c>
      <c r="T27" s="663" t="s">
        <v>14</v>
      </c>
      <c r="U27" s="664">
        <f>H27</f>
        <v>100</v>
      </c>
      <c r="V27" s="663" t="s">
        <v>14</v>
      </c>
      <c r="W27" s="664">
        <f>J27</f>
        <v>100</v>
      </c>
      <c r="X27" s="665"/>
      <c r="Y27" s="3408"/>
      <c r="Z27" s="49"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408"/>
      <c r="Q28" s="529"/>
      <c r="R28" s="663"/>
      <c r="S28" s="664"/>
      <c r="T28" s="663"/>
      <c r="U28" s="664"/>
      <c r="V28" s="663"/>
      <c r="W28" s="664"/>
      <c r="X28" s="665"/>
      <c r="Y28" s="3408"/>
      <c r="Z28" s="49"/>
      <c r="AA28" s="1263">
        <v>1</v>
      </c>
      <c r="AB28" s="1263">
        <v>1</v>
      </c>
      <c r="AC28" s="1263">
        <v>1</v>
      </c>
    </row>
    <row r="29" spans="1:29" s="101" customFormat="1" ht="41.4">
      <c r="A29" s="442"/>
      <c r="B29" s="585" t="s">
        <v>1779</v>
      </c>
      <c r="C29" s="1753"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08"/>
      <c r="Q29" s="529" t="str">
        <f t="shared" ref="Q29" si="9">B29</f>
        <v>基础设施水平</v>
      </c>
      <c r="R29" s="663" t="s">
        <v>14</v>
      </c>
      <c r="S29" s="664">
        <f>F29</f>
        <v>100</v>
      </c>
      <c r="T29" s="663" t="s">
        <v>14</v>
      </c>
      <c r="U29" s="664">
        <f>H29</f>
        <v>100</v>
      </c>
      <c r="V29" s="663" t="s">
        <v>14</v>
      </c>
      <c r="W29" s="664">
        <f>J29</f>
        <v>100</v>
      </c>
      <c r="X29" s="665"/>
      <c r="Y29" s="3408"/>
      <c r="Z29" s="49"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408"/>
      <c r="Q30" s="529"/>
      <c r="R30" s="663"/>
      <c r="S30" s="664"/>
      <c r="T30" s="663"/>
      <c r="U30" s="664"/>
      <c r="V30" s="663"/>
      <c r="W30" s="664"/>
      <c r="X30" s="665"/>
      <c r="Y30" s="3408"/>
      <c r="Z30" s="49"/>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0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08"/>
      <c r="Q32" s="1262" t="str">
        <f t="shared" si="8"/>
        <v>毗邻道路的类型与等级</v>
      </c>
      <c r="R32" s="666" t="s">
        <v>14</v>
      </c>
      <c r="S32" s="667">
        <f t="shared" si="10"/>
        <v>100</v>
      </c>
      <c r="T32" s="666" t="s">
        <v>14</v>
      </c>
      <c r="U32" s="667">
        <f t="shared" si="11"/>
        <v>100</v>
      </c>
      <c r="V32" s="666" t="s">
        <v>14</v>
      </c>
      <c r="W32" s="667">
        <f t="shared" si="12"/>
        <v>100</v>
      </c>
      <c r="X32" s="1264"/>
      <c r="Y32" s="340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08"/>
      <c r="Q33" s="1262"/>
      <c r="R33" s="666"/>
      <c r="S33" s="667"/>
      <c r="T33" s="666"/>
      <c r="U33" s="667"/>
      <c r="V33" s="666"/>
      <c r="W33" s="667"/>
      <c r="X33" s="1264"/>
      <c r="Y33" s="340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08"/>
      <c r="Q34" s="1262" t="str">
        <f t="shared" si="8"/>
        <v>土地级别</v>
      </c>
      <c r="R34" s="666" t="s">
        <v>14</v>
      </c>
      <c r="S34" s="667">
        <f t="shared" si="10"/>
        <v>100</v>
      </c>
      <c r="T34" s="666" t="s">
        <v>14</v>
      </c>
      <c r="U34" s="667">
        <f t="shared" si="11"/>
        <v>100</v>
      </c>
      <c r="V34" s="666" t="s">
        <v>14</v>
      </c>
      <c r="W34" s="667">
        <f t="shared" si="12"/>
        <v>100</v>
      </c>
      <c r="X34" s="1264"/>
      <c r="Y34" s="340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08"/>
      <c r="Q35" s="1262">
        <f t="shared" si="8"/>
        <v>111</v>
      </c>
      <c r="R35" s="666" t="s">
        <v>14</v>
      </c>
      <c r="S35" s="667">
        <f t="shared" si="10"/>
        <v>100</v>
      </c>
      <c r="T35" s="666" t="s">
        <v>14</v>
      </c>
      <c r="U35" s="667">
        <f t="shared" si="11"/>
        <v>100</v>
      </c>
      <c r="V35" s="666" t="s">
        <v>14</v>
      </c>
      <c r="W35" s="667">
        <f t="shared" si="12"/>
        <v>100</v>
      </c>
      <c r="X35" s="1264"/>
      <c r="Y35" s="340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2" t="s">
        <v>1696</v>
      </c>
      <c r="Q36" s="1262">
        <f t="shared" si="8"/>
        <v>111</v>
      </c>
      <c r="R36" s="666" t="s">
        <v>14</v>
      </c>
      <c r="S36" s="667">
        <f t="shared" si="10"/>
        <v>100</v>
      </c>
      <c r="T36" s="666" t="s">
        <v>14</v>
      </c>
      <c r="U36" s="667">
        <f t="shared" si="11"/>
        <v>100</v>
      </c>
      <c r="V36" s="666" t="s">
        <v>14</v>
      </c>
      <c r="W36" s="667">
        <f t="shared" si="12"/>
        <v>100</v>
      </c>
      <c r="X36" s="1264"/>
      <c r="Y36" s="341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12"/>
      <c r="Q37" s="1262">
        <f t="shared" si="8"/>
        <v>111</v>
      </c>
      <c r="R37" s="668" t="s">
        <v>14</v>
      </c>
      <c r="S37" s="669">
        <f t="shared" si="10"/>
        <v>100</v>
      </c>
      <c r="T37" s="668" t="s">
        <v>14</v>
      </c>
      <c r="U37" s="669">
        <f t="shared" si="11"/>
        <v>100</v>
      </c>
      <c r="V37" s="668" t="s">
        <v>14</v>
      </c>
      <c r="W37" s="669">
        <f t="shared" si="12"/>
        <v>100</v>
      </c>
      <c r="X37" s="670"/>
      <c r="Y37" s="341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12"/>
      <c r="Q38" s="1262" t="str">
        <f>B38</f>
        <v>宗地面积</v>
      </c>
      <c r="R38" s="666" t="s">
        <v>14</v>
      </c>
      <c r="S38" s="667" t="e">
        <f t="shared" si="10"/>
        <v>#N/A</v>
      </c>
      <c r="T38" s="666" t="s">
        <v>14</v>
      </c>
      <c r="U38" s="667" t="e">
        <f t="shared" si="11"/>
        <v>#N/A</v>
      </c>
      <c r="V38" s="666" t="s">
        <v>14</v>
      </c>
      <c r="W38" s="667" t="e">
        <f t="shared" si="12"/>
        <v>#N/A</v>
      </c>
      <c r="X38" s="1264"/>
      <c r="Y38" s="341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12"/>
      <c r="Q39" s="1262" t="str">
        <f t="shared" ref="Q39:Q45" si="14">B39</f>
        <v>宗地形状</v>
      </c>
      <c r="R39" s="666" t="s">
        <v>14</v>
      </c>
      <c r="S39" s="667">
        <f t="shared" si="10"/>
        <v>100</v>
      </c>
      <c r="T39" s="666" t="s">
        <v>14</v>
      </c>
      <c r="U39" s="667">
        <f t="shared" si="11"/>
        <v>100</v>
      </c>
      <c r="V39" s="666" t="s">
        <v>14</v>
      </c>
      <c r="W39" s="667">
        <f t="shared" si="12"/>
        <v>100</v>
      </c>
      <c r="X39" s="1264"/>
      <c r="Y39" s="341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12"/>
      <c r="Q40" s="1262" t="str">
        <f t="shared" si="14"/>
        <v>临街宽度及深度</v>
      </c>
      <c r="R40" s="666" t="s">
        <v>14</v>
      </c>
      <c r="S40" s="667">
        <f t="shared" si="10"/>
        <v>100</v>
      </c>
      <c r="T40" s="666" t="s">
        <v>14</v>
      </c>
      <c r="U40" s="667">
        <f t="shared" si="11"/>
        <v>100</v>
      </c>
      <c r="V40" s="666" t="s">
        <v>14</v>
      </c>
      <c r="W40" s="667">
        <f t="shared" si="12"/>
        <v>100</v>
      </c>
      <c r="X40" s="1264"/>
      <c r="Y40" s="341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12"/>
      <c r="Q41" s="1262" t="str">
        <f t="shared" si="14"/>
        <v>宗地开发程度</v>
      </c>
      <c r="R41" s="663" t="s">
        <v>14</v>
      </c>
      <c r="S41" s="664">
        <f t="shared" si="10"/>
        <v>100</v>
      </c>
      <c r="T41" s="663" t="s">
        <v>14</v>
      </c>
      <c r="U41" s="664">
        <f t="shared" si="11"/>
        <v>100</v>
      </c>
      <c r="V41" s="663" t="s">
        <v>14</v>
      </c>
      <c r="W41" s="664">
        <f t="shared" si="12"/>
        <v>100</v>
      </c>
      <c r="X41" s="665"/>
      <c r="Y41" s="3412"/>
      <c r="Z41" s="49" t="str">
        <f t="shared" si="13"/>
        <v>宗地开发程度</v>
      </c>
      <c r="AA41" s="49">
        <f t="shared" si="3"/>
        <v>1</v>
      </c>
      <c r="AB41" s="49">
        <f t="shared" si="4"/>
        <v>1</v>
      </c>
      <c r="AC41" s="49">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12" t="s">
        <v>1696</v>
      </c>
      <c r="Q42" s="1262" t="str">
        <f t="shared" si="14"/>
        <v>工程地质条件</v>
      </c>
      <c r="R42" s="666" t="s">
        <v>14</v>
      </c>
      <c r="S42" s="667">
        <f t="shared" si="10"/>
        <v>100</v>
      </c>
      <c r="T42" s="666" t="s">
        <v>14</v>
      </c>
      <c r="U42" s="667">
        <f t="shared" si="11"/>
        <v>100</v>
      </c>
      <c r="V42" s="666" t="s">
        <v>14</v>
      </c>
      <c r="W42" s="667">
        <f t="shared" si="12"/>
        <v>100</v>
      </c>
      <c r="X42" s="1264"/>
      <c r="Y42" s="341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12"/>
      <c r="Q43" s="1262">
        <f t="shared" si="14"/>
        <v>111</v>
      </c>
      <c r="R43" s="666" t="s">
        <v>14</v>
      </c>
      <c r="S43" s="667">
        <f t="shared" si="10"/>
        <v>100</v>
      </c>
      <c r="T43" s="666" t="s">
        <v>14</v>
      </c>
      <c r="U43" s="667">
        <f t="shared" si="11"/>
        <v>100</v>
      </c>
      <c r="V43" s="666" t="s">
        <v>14</v>
      </c>
      <c r="W43" s="667">
        <f t="shared" si="12"/>
        <v>100</v>
      </c>
      <c r="X43" s="1264"/>
      <c r="Y43" s="341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12"/>
      <c r="Q44" s="1262">
        <f t="shared" si="14"/>
        <v>111</v>
      </c>
      <c r="R44" s="666" t="s">
        <v>14</v>
      </c>
      <c r="S44" s="667">
        <f t="shared" si="10"/>
        <v>100</v>
      </c>
      <c r="T44" s="666" t="s">
        <v>14</v>
      </c>
      <c r="U44" s="667">
        <f t="shared" si="11"/>
        <v>100</v>
      </c>
      <c r="V44" s="666" t="s">
        <v>14</v>
      </c>
      <c r="W44" s="667">
        <f t="shared" si="12"/>
        <v>100</v>
      </c>
      <c r="X44" s="1264"/>
      <c r="Y44" s="341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12"/>
      <c r="Q45" s="1262">
        <f t="shared" si="14"/>
        <v>111</v>
      </c>
      <c r="R45" s="668" t="s">
        <v>14</v>
      </c>
      <c r="S45" s="669">
        <f t="shared" si="10"/>
        <v>100</v>
      </c>
      <c r="T45" s="668" t="s">
        <v>14</v>
      </c>
      <c r="U45" s="669">
        <f t="shared" si="11"/>
        <v>100</v>
      </c>
      <c r="V45" s="668" t="s">
        <v>14</v>
      </c>
      <c r="W45" s="669">
        <f t="shared" si="12"/>
        <v>100</v>
      </c>
      <c r="X45" s="670"/>
      <c r="Y45" s="341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405" t="str">
        <f>A46</f>
        <v>成交单价</v>
      </c>
      <c r="Q46" s="3405"/>
      <c r="R46" s="3406">
        <f>E46</f>
        <v>0</v>
      </c>
      <c r="S46" s="3406"/>
      <c r="T46" s="3406">
        <f>G46</f>
        <v>0</v>
      </c>
      <c r="U46" s="3406"/>
      <c r="V46" s="3406">
        <f>I46</f>
        <v>0</v>
      </c>
      <c r="W46" s="3406"/>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405" t="str">
        <f>A47</f>
        <v>比较价值（元/平方米）</v>
      </c>
      <c r="Q47" s="3405"/>
      <c r="R47" s="3464" t="e">
        <f>ROUND(PRODUCT(R46,AA7:AA45),0)</f>
        <v>#DIV/0!</v>
      </c>
      <c r="S47" s="3464"/>
      <c r="T47" s="3464" t="e">
        <f>ROUND(PRODUCT(T46,AB7:AB45),0)</f>
        <v>#DIV/0!</v>
      </c>
      <c r="U47" s="3464"/>
      <c r="V47" s="3464" t="e">
        <f>ROUND(PRODUCT(V46,AC7:AC45),0)</f>
        <v>#DIV/0!</v>
      </c>
      <c r="W47" s="346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402" t="str">
        <f>A48</f>
        <v>估价对象XX用房的比较价值（楼面单价，元/平方米）</v>
      </c>
      <c r="Q48" s="3403"/>
      <c r="R48" s="3465" t="e">
        <f>ROUND(IF(D47="简单平均",AVERAGE(R47:W47),R47*F47+T47*H47+V47*J47),0)</f>
        <v>#DIV/0!</v>
      </c>
      <c r="S48" s="3465"/>
      <c r="T48" s="3465"/>
      <c r="U48" s="3465"/>
      <c r="V48" s="3465"/>
      <c r="W48" s="3465"/>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20" t="s">
        <v>1887</v>
      </c>
      <c r="H55" s="3466"/>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195.79</v>
      </c>
      <c r="F56" s="832" t="e">
        <f t="shared" ref="F56:F64" si="15">ROUND(B56*E56/10000,0)</f>
        <v>#DIV/0!</v>
      </c>
      <c r="G56" s="3416"/>
      <c r="H56" s="3405"/>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SUMIF(修正!A59:A70,H57,修正!B59:B70)</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SUMIF(修正!A59:A70,H58,修正!C59:C70)</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SUMIF(修正!A59:A70,H59,修正!D59:D70)</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90">
        <v>0.25</v>
      </c>
      <c r="E60" s="208">
        <f>'数据-汇总表'!E11</f>
        <v>0</v>
      </c>
      <c r="F60" s="832" t="e">
        <f t="shared" si="15"/>
        <v>#DIV/0!</v>
      </c>
      <c r="G60" s="1834" t="s">
        <v>1896</v>
      </c>
      <c r="H60" s="833" t="str">
        <f>项目基本情况!C37</f>
        <v>一级</v>
      </c>
      <c r="I60" s="837">
        <f>SUMIF(修正!A59:A70,H60,修正!E59:E70)</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90">
        <v>0.25</v>
      </c>
      <c r="E61" s="208">
        <f>'数据-汇总表'!E12</f>
        <v>0</v>
      </c>
      <c r="F61" s="832" t="e">
        <f t="shared" si="15"/>
        <v>#DIV/0!</v>
      </c>
      <c r="G61" s="838" t="s">
        <v>1898</v>
      </c>
      <c r="H61" s="833" t="str">
        <f>IF(G61="商业",项目基本情况!B37,IF(G61="办公",项目基本情况!C37,IF(G61="住宅",项目基本情况!D37,项目基本情况!E37)))</f>
        <v>一级</v>
      </c>
      <c r="I61" s="837">
        <f>SUMIF(修正!A59:A70,H61,修正!F59:F70)</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0.2</v>
      </c>
      <c r="D64" s="890">
        <v>0.25</v>
      </c>
      <c r="E64" s="208">
        <f>'数据-汇总表'!E15</f>
        <v>0</v>
      </c>
      <c r="F64" s="832" t="e">
        <f t="shared" si="15"/>
        <v>#DIV/0!</v>
      </c>
      <c r="G64" s="1835" t="s">
        <v>1896</v>
      </c>
      <c r="H64" s="843" t="str">
        <f>项目基本情况!C37</f>
        <v>一级</v>
      </c>
      <c r="I64" s="839">
        <f>SUMIF(修正!A59:A70,H64,修正!G59:G70)</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195.79</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0"/>
      <c r="E72" s="30"/>
      <c r="F72" s="30"/>
      <c r="G72" s="30"/>
      <c r="H72" s="30"/>
      <c r="I72" s="30"/>
      <c r="J72" s="30"/>
      <c r="K72" s="30"/>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0"/>
      <c r="D85" s="30"/>
      <c r="E85" s="30"/>
      <c r="F85" s="30"/>
      <c r="G85" s="30"/>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0"/>
      <c r="D111" s="30"/>
      <c r="E111" s="30"/>
      <c r="F111" s="30"/>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0"/>
      <c r="D128" s="30"/>
      <c r="E128" s="30"/>
      <c r="F128" s="30"/>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0"/>
      <c r="D130" s="30"/>
      <c r="E130" s="30"/>
      <c r="F130" s="30"/>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4"/>
      <c r="Y4" s="3430" t="s">
        <v>1775</v>
      </c>
      <c r="Z4" s="3431"/>
      <c r="AA4" s="3417" t="s">
        <v>1771</v>
      </c>
      <c r="AB4" s="3418" t="s">
        <v>1772</v>
      </c>
      <c r="AC4" s="3417" t="s">
        <v>1773</v>
      </c>
    </row>
    <row r="5" spans="1:29">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4"/>
      <c r="Y5" s="3432"/>
      <c r="Z5" s="3433"/>
      <c r="AA5" s="3418"/>
      <c r="AB5" s="3418"/>
      <c r="AC5" s="3418"/>
    </row>
    <row r="6" spans="1:29" ht="15" thickBot="1">
      <c r="A6" s="349"/>
      <c r="B6" s="350"/>
      <c r="C6" s="3467" t="s">
        <v>1919</v>
      </c>
      <c r="D6" s="3468"/>
      <c r="E6" s="3469" t="s">
        <v>1919</v>
      </c>
      <c r="F6" s="3470"/>
      <c r="G6" s="3467" t="s">
        <v>1919</v>
      </c>
      <c r="H6" s="3468"/>
      <c r="I6" s="3467" t="s">
        <v>1919</v>
      </c>
      <c r="J6" s="3468"/>
      <c r="K6" s="536" t="s">
        <v>1678</v>
      </c>
      <c r="L6" s="2484"/>
      <c r="M6" s="2485"/>
      <c r="N6" s="2485"/>
      <c r="O6" s="2485"/>
      <c r="P6" s="3428"/>
      <c r="Q6" s="3429"/>
      <c r="R6" s="3432"/>
      <c r="S6" s="3433"/>
      <c r="T6" s="3434"/>
      <c r="U6" s="3435"/>
      <c r="V6" s="3406"/>
      <c r="W6" s="3406"/>
      <c r="X6" s="1264"/>
      <c r="Y6" s="3434"/>
      <c r="Z6" s="3435"/>
      <c r="AA6" s="3419"/>
      <c r="AB6" s="3419"/>
      <c r="AC6" s="3419"/>
    </row>
    <row r="7" spans="1:29" s="101" customFormat="1" ht="15" thickBot="1">
      <c r="A7" s="351" t="s">
        <v>1679</v>
      </c>
      <c r="B7" s="352"/>
      <c r="C7" s="353">
        <f>'数据-取费表'!B2</f>
        <v>45877</v>
      </c>
      <c r="D7" s="354">
        <v>100</v>
      </c>
      <c r="E7" s="355"/>
      <c r="F7" s="356">
        <f>SUMIF(65:65,YEAR(E7)&amp;"-"&amp;INT((MONTH(E7)+2)/3),66:66)</f>
        <v>0</v>
      </c>
      <c r="G7" s="1821"/>
      <c r="H7" s="354">
        <f>SUMIF(65:65,YEAR(G7)&amp;"-"&amp;INT((MONTH(G7)+2)/3),66:66)</f>
        <v>0</v>
      </c>
      <c r="I7" s="1821"/>
      <c r="J7" s="354">
        <f>SUMIF(65:65,YEAR(I7)&amp;"-"&amp;INT((MONTH(I7)+2)/3),66:66)</f>
        <v>0</v>
      </c>
      <c r="K7" s="37"/>
      <c r="L7" s="2486"/>
      <c r="M7" s="2438"/>
      <c r="N7" s="2438"/>
      <c r="O7" s="2438"/>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6"/>
      <c r="M8" s="2438"/>
      <c r="N8" s="2438"/>
      <c r="O8" s="2438"/>
      <c r="P8" s="3440" t="s">
        <v>1683</v>
      </c>
      <c r="Q8" s="3441"/>
      <c r="R8" s="663" t="s">
        <v>14</v>
      </c>
      <c r="S8" s="664">
        <f t="shared" si="0"/>
        <v>0</v>
      </c>
      <c r="T8" s="663" t="s">
        <v>14</v>
      </c>
      <c r="U8" s="664">
        <f t="shared" si="1"/>
        <v>0</v>
      </c>
      <c r="V8" s="663" t="s">
        <v>14</v>
      </c>
      <c r="W8" s="664">
        <f t="shared" si="2"/>
        <v>0</v>
      </c>
      <c r="X8" s="665"/>
      <c r="Y8" s="3440" t="s">
        <v>1683</v>
      </c>
      <c r="Z8" s="3441"/>
      <c r="AA8" s="49" t="e">
        <f t="shared" ref="AA8:AA40" si="3">D8/F8</f>
        <v>#DIV/0!</v>
      </c>
      <c r="AB8" s="49" t="e">
        <f t="shared" ref="AB8:AB40" si="4">D8/H8</f>
        <v>#DIV/0!</v>
      </c>
      <c r="AC8" s="49" t="e">
        <f t="shared" ref="AC8:AC40" si="5">D8/J8</f>
        <v>#DIV/0!</v>
      </c>
    </row>
    <row r="9" spans="1:29" s="101" customFormat="1" ht="14.4">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6"/>
      <c r="M9" s="2438"/>
      <c r="N9" s="2438"/>
      <c r="O9" s="2538"/>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154</v>
      </c>
      <c r="G10" s="370"/>
      <c r="H10" s="118">
        <f>ROUND(100/'数据-取费表'!G16,0)</f>
        <v>154</v>
      </c>
      <c r="I10" s="370"/>
      <c r="J10" s="118">
        <f>ROUND(100/'数据-取费表'!G16,0)</f>
        <v>154</v>
      </c>
      <c r="K10" s="591"/>
      <c r="L10" s="2487"/>
      <c r="M10" s="2488"/>
      <c r="N10" s="2488"/>
      <c r="O10" s="2539"/>
      <c r="P10" s="3405"/>
      <c r="Q10" s="529" t="str">
        <f t="shared" si="6"/>
        <v>土地使用年限（年）</v>
      </c>
      <c r="R10" s="663" t="s">
        <v>14</v>
      </c>
      <c r="S10" s="664">
        <f t="shared" si="0"/>
        <v>154</v>
      </c>
      <c r="T10" s="663" t="s">
        <v>14</v>
      </c>
      <c r="U10" s="664">
        <f t="shared" si="1"/>
        <v>154</v>
      </c>
      <c r="V10" s="663" t="s">
        <v>14</v>
      </c>
      <c r="W10" s="664">
        <f t="shared" si="2"/>
        <v>154</v>
      </c>
      <c r="X10" s="665"/>
      <c r="Y10" s="3261"/>
      <c r="Z10" s="49" t="str">
        <f t="shared" si="7"/>
        <v>土地使用年限（年）</v>
      </c>
      <c r="AA10" s="49">
        <f t="shared" si="3"/>
        <v>0.64935064935064934</v>
      </c>
      <c r="AB10" s="49">
        <f t="shared" si="4"/>
        <v>0.64935064935064934</v>
      </c>
      <c r="AC10" s="49">
        <f t="shared" si="5"/>
        <v>0.64935064935064934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05"/>
      <c r="Q11" s="529" t="str">
        <f t="shared" si="6"/>
        <v>容积率</v>
      </c>
      <c r="R11" s="663" t="s">
        <v>14</v>
      </c>
      <c r="S11" s="664" t="e">
        <f t="shared" si="0"/>
        <v>#N/A</v>
      </c>
      <c r="T11" s="663" t="s">
        <v>14</v>
      </c>
      <c r="U11" s="664" t="e">
        <f t="shared" si="1"/>
        <v>#N/A</v>
      </c>
      <c r="V11" s="663" t="s">
        <v>14</v>
      </c>
      <c r="W11" s="664" t="e">
        <f t="shared" si="2"/>
        <v>#N/A</v>
      </c>
      <c r="X11" s="665"/>
      <c r="Y11" s="3261"/>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05"/>
      <c r="Q12" s="529">
        <f t="shared" si="6"/>
        <v>111</v>
      </c>
      <c r="R12" s="663" t="s">
        <v>14</v>
      </c>
      <c r="S12" s="664">
        <f t="shared" si="0"/>
        <v>100</v>
      </c>
      <c r="T12" s="663" t="s">
        <v>14</v>
      </c>
      <c r="U12" s="664">
        <f t="shared" si="1"/>
        <v>100</v>
      </c>
      <c r="V12" s="663" t="s">
        <v>14</v>
      </c>
      <c r="W12" s="664">
        <f t="shared" si="2"/>
        <v>100</v>
      </c>
      <c r="X12" s="665"/>
      <c r="Y12" s="3261"/>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49">
        <f t="shared" si="7"/>
        <v>111</v>
      </c>
      <c r="AA13" s="49">
        <f t="shared" si="3"/>
        <v>1</v>
      </c>
      <c r="AB13" s="49">
        <f t="shared" si="4"/>
        <v>1</v>
      </c>
      <c r="AC13" s="49">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05"/>
      <c r="Q14" s="529">
        <f t="shared" si="6"/>
        <v>111</v>
      </c>
      <c r="R14" s="663" t="s">
        <v>14</v>
      </c>
      <c r="S14" s="664">
        <f t="shared" si="0"/>
        <v>100</v>
      </c>
      <c r="T14" s="663" t="s">
        <v>14</v>
      </c>
      <c r="U14" s="664">
        <f t="shared" si="1"/>
        <v>100</v>
      </c>
      <c r="V14" s="663" t="s">
        <v>14</v>
      </c>
      <c r="W14" s="664">
        <f t="shared" si="2"/>
        <v>100</v>
      </c>
      <c r="X14" s="665"/>
      <c r="Y14" s="3261"/>
      <c r="Z14" s="49">
        <f t="shared" si="7"/>
        <v>111</v>
      </c>
      <c r="AA14" s="49">
        <f t="shared" si="3"/>
        <v>1</v>
      </c>
      <c r="AB14" s="49">
        <f t="shared" si="4"/>
        <v>1</v>
      </c>
      <c r="AC14" s="49">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08"/>
      <c r="Q16" s="1262"/>
      <c r="R16" s="666"/>
      <c r="S16" s="667"/>
      <c r="T16" s="666"/>
      <c r="U16" s="667"/>
      <c r="V16" s="666"/>
      <c r="W16" s="667"/>
      <c r="X16" s="1264"/>
      <c r="Y16" s="3408"/>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08"/>
      <c r="Q18" s="1262"/>
      <c r="R18" s="666"/>
      <c r="S18" s="667"/>
      <c r="T18" s="666"/>
      <c r="U18" s="667"/>
      <c r="V18" s="666"/>
      <c r="W18" s="667"/>
      <c r="X18" s="1264"/>
      <c r="Y18" s="340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08"/>
      <c r="Q19" s="1262" t="str">
        <f t="shared" ref="Q19:Q33" si="8">B19</f>
        <v>区域土地利用方向</v>
      </c>
      <c r="R19" s="666" t="s">
        <v>14</v>
      </c>
      <c r="S19" s="667">
        <f>F19</f>
        <v>100</v>
      </c>
      <c r="T19" s="666" t="s">
        <v>14</v>
      </c>
      <c r="U19" s="667">
        <f>H19</f>
        <v>100</v>
      </c>
      <c r="V19" s="666" t="s">
        <v>14</v>
      </c>
      <c r="W19" s="667">
        <f>J19</f>
        <v>100</v>
      </c>
      <c r="X19" s="1264"/>
      <c r="Y19" s="340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08"/>
      <c r="Q20" s="1262"/>
      <c r="R20" s="666"/>
      <c r="S20" s="667"/>
      <c r="T20" s="666"/>
      <c r="U20" s="667"/>
      <c r="V20" s="666"/>
      <c r="W20" s="667"/>
      <c r="X20" s="1264"/>
      <c r="Y20" s="3408"/>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08"/>
      <c r="Q21" s="1262" t="str">
        <f t="shared" si="8"/>
        <v>环境状况</v>
      </c>
      <c r="R21" s="666" t="s">
        <v>14</v>
      </c>
      <c r="S21" s="667">
        <f>F21</f>
        <v>100</v>
      </c>
      <c r="T21" s="666" t="s">
        <v>14</v>
      </c>
      <c r="U21" s="667">
        <f>H21</f>
        <v>100</v>
      </c>
      <c r="V21" s="666" t="s">
        <v>14</v>
      </c>
      <c r="W21" s="667">
        <f>J21</f>
        <v>100</v>
      </c>
      <c r="X21" s="1264"/>
      <c r="Y21" s="340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08"/>
      <c r="Q22" s="1262"/>
      <c r="R22" s="666"/>
      <c r="S22" s="667"/>
      <c r="T22" s="666"/>
      <c r="U22" s="667"/>
      <c r="V22" s="666"/>
      <c r="W22" s="667"/>
      <c r="X22" s="1264"/>
      <c r="Y22" s="3408"/>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08"/>
      <c r="Q23" s="529" t="str">
        <f t="shared" si="8"/>
        <v>公共配套设施</v>
      </c>
      <c r="R23" s="663" t="s">
        <v>14</v>
      </c>
      <c r="S23" s="664">
        <f>F23</f>
        <v>100</v>
      </c>
      <c r="T23" s="663" t="s">
        <v>14</v>
      </c>
      <c r="U23" s="664">
        <f>H23</f>
        <v>100</v>
      </c>
      <c r="V23" s="663" t="s">
        <v>14</v>
      </c>
      <c r="W23" s="664">
        <f>J23</f>
        <v>100</v>
      </c>
      <c r="X23" s="665"/>
      <c r="Y23" s="3408"/>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408"/>
      <c r="Q24" s="529"/>
      <c r="R24" s="663"/>
      <c r="S24" s="664"/>
      <c r="T24" s="663"/>
      <c r="U24" s="664"/>
      <c r="V24" s="663"/>
      <c r="W24" s="664"/>
      <c r="X24" s="665"/>
      <c r="Y24" s="3408"/>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08"/>
      <c r="Q25" s="529" t="str">
        <f t="shared" ref="Q25" si="9">B25</f>
        <v>基础设施水平</v>
      </c>
      <c r="R25" s="663" t="s">
        <v>14</v>
      </c>
      <c r="S25" s="664">
        <f>F25</f>
        <v>100</v>
      </c>
      <c r="T25" s="663" t="s">
        <v>14</v>
      </c>
      <c r="U25" s="664">
        <f>H25</f>
        <v>100</v>
      </c>
      <c r="V25" s="663" t="s">
        <v>14</v>
      </c>
      <c r="W25" s="664">
        <f>J25</f>
        <v>100</v>
      </c>
      <c r="X25" s="665"/>
      <c r="Y25" s="3408"/>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408"/>
      <c r="Q26" s="529"/>
      <c r="R26" s="663"/>
      <c r="S26" s="664"/>
      <c r="T26" s="663"/>
      <c r="U26" s="664"/>
      <c r="V26" s="663"/>
      <c r="W26" s="664"/>
      <c r="X26" s="665"/>
      <c r="Y26" s="3408"/>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0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08"/>
      <c r="Q28" s="1262" t="str">
        <f t="shared" si="8"/>
        <v>毗邻道路的类型与等级</v>
      </c>
      <c r="R28" s="666" t="s">
        <v>14</v>
      </c>
      <c r="S28" s="667">
        <f t="shared" si="10"/>
        <v>100</v>
      </c>
      <c r="T28" s="666" t="s">
        <v>14</v>
      </c>
      <c r="U28" s="667">
        <f t="shared" si="11"/>
        <v>100</v>
      </c>
      <c r="V28" s="666" t="s">
        <v>14</v>
      </c>
      <c r="W28" s="667">
        <f t="shared" si="12"/>
        <v>100</v>
      </c>
      <c r="X28" s="1264"/>
      <c r="Y28" s="340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08"/>
      <c r="Q29" s="1262"/>
      <c r="R29" s="666"/>
      <c r="S29" s="667"/>
      <c r="T29" s="666"/>
      <c r="U29" s="667"/>
      <c r="V29" s="666"/>
      <c r="W29" s="667"/>
      <c r="X29" s="1264"/>
      <c r="Y29" s="340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08"/>
      <c r="Q30" s="1262" t="str">
        <f t="shared" si="8"/>
        <v>土地级别</v>
      </c>
      <c r="R30" s="666" t="s">
        <v>14</v>
      </c>
      <c r="S30" s="667">
        <f t="shared" si="10"/>
        <v>100</v>
      </c>
      <c r="T30" s="666" t="s">
        <v>14</v>
      </c>
      <c r="U30" s="667">
        <f t="shared" si="11"/>
        <v>100</v>
      </c>
      <c r="V30" s="666" t="s">
        <v>14</v>
      </c>
      <c r="W30" s="667">
        <f t="shared" si="12"/>
        <v>100</v>
      </c>
      <c r="X30" s="1264"/>
      <c r="Y30" s="340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08"/>
      <c r="Q31" s="1262">
        <f t="shared" si="8"/>
        <v>111</v>
      </c>
      <c r="R31" s="666" t="s">
        <v>14</v>
      </c>
      <c r="S31" s="667">
        <f t="shared" si="10"/>
        <v>100</v>
      </c>
      <c r="T31" s="666" t="s">
        <v>14</v>
      </c>
      <c r="U31" s="667">
        <f t="shared" si="11"/>
        <v>100</v>
      </c>
      <c r="V31" s="666" t="s">
        <v>14</v>
      </c>
      <c r="W31" s="667">
        <f t="shared" si="12"/>
        <v>100</v>
      </c>
      <c r="X31" s="1264"/>
      <c r="Y31" s="340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2" t="s">
        <v>1696</v>
      </c>
      <c r="Q32" s="1262">
        <f t="shared" si="8"/>
        <v>111</v>
      </c>
      <c r="R32" s="666" t="s">
        <v>14</v>
      </c>
      <c r="S32" s="667">
        <f t="shared" si="10"/>
        <v>100</v>
      </c>
      <c r="T32" s="666" t="s">
        <v>14</v>
      </c>
      <c r="U32" s="667">
        <f t="shared" si="11"/>
        <v>100</v>
      </c>
      <c r="V32" s="666" t="s">
        <v>14</v>
      </c>
      <c r="W32" s="667">
        <f t="shared" si="12"/>
        <v>100</v>
      </c>
      <c r="X32" s="1264"/>
      <c r="Y32" s="341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12"/>
      <c r="Q33" s="1262">
        <f t="shared" si="8"/>
        <v>111</v>
      </c>
      <c r="R33" s="668" t="s">
        <v>14</v>
      </c>
      <c r="S33" s="669">
        <f t="shared" si="10"/>
        <v>100</v>
      </c>
      <c r="T33" s="668" t="s">
        <v>14</v>
      </c>
      <c r="U33" s="669">
        <f t="shared" si="11"/>
        <v>100</v>
      </c>
      <c r="V33" s="668" t="s">
        <v>14</v>
      </c>
      <c r="W33" s="669">
        <f t="shared" si="12"/>
        <v>100</v>
      </c>
      <c r="X33" s="670"/>
      <c r="Y33" s="341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12"/>
      <c r="Q34" s="1262" t="str">
        <f>B34</f>
        <v>宗地面积</v>
      </c>
      <c r="R34" s="666" t="s">
        <v>14</v>
      </c>
      <c r="S34" s="667" t="e">
        <f t="shared" si="10"/>
        <v>#N/A</v>
      </c>
      <c r="T34" s="666" t="s">
        <v>14</v>
      </c>
      <c r="U34" s="667" t="e">
        <f t="shared" si="11"/>
        <v>#N/A</v>
      </c>
      <c r="V34" s="666" t="s">
        <v>14</v>
      </c>
      <c r="W34" s="667" t="e">
        <f t="shared" si="12"/>
        <v>#N/A</v>
      </c>
      <c r="X34" s="1264"/>
      <c r="Y34" s="341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12"/>
      <c r="Q35" s="1262" t="str">
        <f t="shared" ref="Q35:Q40" si="14">B35</f>
        <v>宗地形状</v>
      </c>
      <c r="R35" s="666" t="s">
        <v>14</v>
      </c>
      <c r="S35" s="667">
        <f t="shared" si="10"/>
        <v>100</v>
      </c>
      <c r="T35" s="666" t="s">
        <v>14</v>
      </c>
      <c r="U35" s="667">
        <f t="shared" si="11"/>
        <v>100</v>
      </c>
      <c r="V35" s="666" t="s">
        <v>14</v>
      </c>
      <c r="W35" s="667">
        <f t="shared" si="12"/>
        <v>100</v>
      </c>
      <c r="X35" s="1264"/>
      <c r="Y35" s="341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12"/>
      <c r="Q36" s="1262" t="str">
        <f t="shared" si="14"/>
        <v>宗地开发程度</v>
      </c>
      <c r="R36" s="663" t="s">
        <v>14</v>
      </c>
      <c r="S36" s="664">
        <f t="shared" si="10"/>
        <v>100</v>
      </c>
      <c r="T36" s="663" t="s">
        <v>14</v>
      </c>
      <c r="U36" s="664">
        <f t="shared" si="11"/>
        <v>100</v>
      </c>
      <c r="V36" s="663" t="s">
        <v>14</v>
      </c>
      <c r="W36" s="664">
        <f t="shared" si="12"/>
        <v>100</v>
      </c>
      <c r="X36" s="665"/>
      <c r="Y36" s="3412"/>
      <c r="Z36" s="49" t="str">
        <f t="shared" si="13"/>
        <v>宗地开发程度</v>
      </c>
      <c r="AA36" s="49">
        <f t="shared" si="3"/>
        <v>1</v>
      </c>
      <c r="AB36" s="49">
        <f t="shared" si="4"/>
        <v>1</v>
      </c>
      <c r="AC36" s="49">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12" t="s">
        <v>1696</v>
      </c>
      <c r="Q37" s="1262" t="str">
        <f t="shared" si="14"/>
        <v>工程地质条件</v>
      </c>
      <c r="R37" s="666" t="s">
        <v>14</v>
      </c>
      <c r="S37" s="667">
        <f t="shared" si="10"/>
        <v>100</v>
      </c>
      <c r="T37" s="666" t="s">
        <v>14</v>
      </c>
      <c r="U37" s="667">
        <f t="shared" si="11"/>
        <v>100</v>
      </c>
      <c r="V37" s="666" t="s">
        <v>14</v>
      </c>
      <c r="W37" s="667">
        <f t="shared" si="12"/>
        <v>100</v>
      </c>
      <c r="X37" s="1264"/>
      <c r="Y37" s="341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12"/>
      <c r="Q38" s="1262">
        <f t="shared" si="14"/>
        <v>111</v>
      </c>
      <c r="R38" s="666" t="s">
        <v>14</v>
      </c>
      <c r="S38" s="667">
        <f t="shared" si="10"/>
        <v>100</v>
      </c>
      <c r="T38" s="666" t="s">
        <v>14</v>
      </c>
      <c r="U38" s="667">
        <f t="shared" si="11"/>
        <v>100</v>
      </c>
      <c r="V38" s="666" t="s">
        <v>14</v>
      </c>
      <c r="W38" s="667">
        <f t="shared" si="12"/>
        <v>100</v>
      </c>
      <c r="X38" s="1264"/>
      <c r="Y38" s="341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12"/>
      <c r="Q39" s="1262">
        <f t="shared" si="14"/>
        <v>111</v>
      </c>
      <c r="R39" s="666" t="s">
        <v>14</v>
      </c>
      <c r="S39" s="667">
        <f t="shared" si="10"/>
        <v>100</v>
      </c>
      <c r="T39" s="666" t="s">
        <v>14</v>
      </c>
      <c r="U39" s="667">
        <f t="shared" si="11"/>
        <v>100</v>
      </c>
      <c r="V39" s="666" t="s">
        <v>14</v>
      </c>
      <c r="W39" s="667">
        <f t="shared" si="12"/>
        <v>100</v>
      </c>
      <c r="X39" s="1264"/>
      <c r="Y39" s="341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12"/>
      <c r="Q40" s="1262">
        <f t="shared" si="14"/>
        <v>111</v>
      </c>
      <c r="R40" s="668" t="s">
        <v>14</v>
      </c>
      <c r="S40" s="669">
        <f t="shared" si="10"/>
        <v>100</v>
      </c>
      <c r="T40" s="668" t="s">
        <v>14</v>
      </c>
      <c r="U40" s="669">
        <f t="shared" si="11"/>
        <v>100</v>
      </c>
      <c r="V40" s="668" t="s">
        <v>14</v>
      </c>
      <c r="W40" s="669">
        <f t="shared" si="12"/>
        <v>100</v>
      </c>
      <c r="X40" s="670"/>
      <c r="Y40" s="341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405" t="str">
        <f>A41</f>
        <v>成交单价</v>
      </c>
      <c r="Q41" s="3405"/>
      <c r="R41" s="3406">
        <f>E41</f>
        <v>0</v>
      </c>
      <c r="S41" s="3406"/>
      <c r="T41" s="3406">
        <f>G41</f>
        <v>0</v>
      </c>
      <c r="U41" s="3406"/>
      <c r="V41" s="3406">
        <f>I41</f>
        <v>0</v>
      </c>
      <c r="W41" s="3406"/>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405" t="str">
        <f>A42</f>
        <v>比较价值（元/平方米）</v>
      </c>
      <c r="Q42" s="3405"/>
      <c r="R42" s="3464" t="e">
        <f>ROUND(PRODUCT(R41,AA7:AA40),0)</f>
        <v>#DIV/0!</v>
      </c>
      <c r="S42" s="3464"/>
      <c r="T42" s="3464" t="e">
        <f>ROUND(PRODUCT(T41,AB7:AB40),0)</f>
        <v>#DIV/0!</v>
      </c>
      <c r="U42" s="3464"/>
      <c r="V42" s="3464" t="e">
        <f>ROUND(PRODUCT(V41,AC7:AC40),0)</f>
        <v>#DIV/0!</v>
      </c>
      <c r="W42" s="3464"/>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402" t="str">
        <f>A43</f>
        <v>估价对象XX用房的比较价值（楼面单价，元/平方米）</v>
      </c>
      <c r="Q43" s="3403"/>
      <c r="R43" s="3465" t="e">
        <f>ROUND(IF(D42="简单平均",AVERAGE(R42:W42),R42*F42+T42*H42+V42*J42),0)</f>
        <v>#DIV/0!</v>
      </c>
      <c r="S43" s="3465"/>
      <c r="T43" s="3465"/>
      <c r="U43" s="3465"/>
      <c r="V43" s="3465"/>
      <c r="W43" s="3465"/>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20" t="s">
        <v>1887</v>
      </c>
      <c r="H50" s="3466"/>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195.79</v>
      </c>
      <c r="F51" s="610" t="e">
        <f t="shared" ref="F51:F60" si="15">ROUND(B51*E51/10000,0)</f>
        <v>#DIV/0!</v>
      </c>
      <c r="G51" s="3416"/>
      <c r="H51" s="3405"/>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SUMIF(修正!A59:A70,H52,修正!B59:B70)</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SUMIF(修正!A59:A70,H53,修正!C59:C70)</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SUMIF(修正!A59:A70,H54,修正!D59:D70)</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90">
        <v>0.25</v>
      </c>
      <c r="E56" s="208">
        <f>'数据-汇总表'!E11</f>
        <v>0</v>
      </c>
      <c r="F56" s="610" t="e">
        <f t="shared" si="15"/>
        <v>#DIV/0!</v>
      </c>
      <c r="G56" s="1834" t="s">
        <v>1896</v>
      </c>
      <c r="H56" s="833" t="str">
        <f>项目基本情况!C37</f>
        <v>一级</v>
      </c>
      <c r="I56" s="726">
        <f>SUMIF(修正!A59:A70,H56,修正!E59:E70)</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90">
        <v>0.25</v>
      </c>
      <c r="E57" s="208">
        <f>'数据-汇总表'!E12</f>
        <v>0</v>
      </c>
      <c r="F57" s="610" t="e">
        <f t="shared" si="15"/>
        <v>#DIV/0!</v>
      </c>
      <c r="G57" s="838" t="s">
        <v>1898</v>
      </c>
      <c r="H57" s="833" t="str">
        <f>IF(G57="商业",项目基本情况!B37,IF(G57="办公",项目基本情况!C37,IF(G57="住宅",项目基本情况!D37,项目基本情况!E37)))</f>
        <v>一级</v>
      </c>
      <c r="I57" s="726">
        <f>SUMIF(修正!A59:A70,H57,修正!F59:F70)</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0.2</v>
      </c>
      <c r="D60" s="890">
        <v>0.25</v>
      </c>
      <c r="E60" s="208">
        <f>'数据-汇总表'!E15</f>
        <v>0</v>
      </c>
      <c r="F60" s="610" t="e">
        <f t="shared" si="15"/>
        <v>#DIV/0!</v>
      </c>
      <c r="G60" s="1835" t="s">
        <v>1896</v>
      </c>
      <c r="H60" s="843" t="str">
        <f>项目基本情况!C37</f>
        <v>一级</v>
      </c>
      <c r="I60" s="726">
        <f>SUMIF(修正!A59:A70,H60,修正!G59:G70)</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22.89</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0"/>
      <c r="E68" s="30"/>
      <c r="F68" s="30"/>
      <c r="G68" s="30"/>
      <c r="H68" s="30"/>
      <c r="I68" s="30"/>
      <c r="J68" s="30"/>
      <c r="K68" s="30"/>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0"/>
      <c r="D81" s="30"/>
      <c r="E81" s="30"/>
      <c r="F81" s="30"/>
      <c r="G81" s="30"/>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0"/>
      <c r="D105" s="30"/>
      <c r="E105" s="30"/>
      <c r="F105" s="30"/>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0"/>
      <c r="D120" s="30"/>
      <c r="E120" s="30"/>
      <c r="F120" s="30"/>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74" t="s">
        <v>2084</v>
      </c>
      <c r="D1" s="3475"/>
      <c r="E1" s="3475"/>
      <c r="F1" s="3475"/>
      <c r="G1" s="3475"/>
      <c r="H1" s="3475"/>
      <c r="I1" s="3475"/>
      <c r="J1" s="3475"/>
      <c r="K1" s="3475"/>
      <c r="L1" s="3475"/>
      <c r="M1" s="3475"/>
      <c r="N1" s="3475"/>
      <c r="O1" s="3475"/>
      <c r="P1" s="3475"/>
      <c r="Q1" s="3475"/>
      <c r="R1" s="3475"/>
      <c r="S1" s="3476"/>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71" t="s">
        <v>27</v>
      </c>
      <c r="D22" s="3472"/>
      <c r="E22" s="3472"/>
      <c r="F22" s="3472"/>
      <c r="G22" s="3472"/>
      <c r="H22" s="3472"/>
      <c r="I22" s="3472"/>
      <c r="J22" s="3472"/>
      <c r="K22" s="3472"/>
      <c r="L22" s="3472"/>
      <c r="M22" s="3472"/>
      <c r="N22" s="3472"/>
      <c r="O22" s="3472"/>
      <c r="P22" s="3472"/>
      <c r="Q22" s="3473"/>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402</v>
      </c>
      <c r="C2" s="1983" t="s">
        <v>2074</v>
      </c>
      <c r="D2" s="1983" t="s">
        <v>2075</v>
      </c>
      <c r="E2" s="2396">
        <f ca="1">SUMIF(E6:E13,"&lt;&gt;#ref!",E6:E13)</f>
        <v>195.79</v>
      </c>
      <c r="F2" s="2542"/>
      <c r="G2" s="2542"/>
      <c r="H2" s="2542"/>
      <c r="I2" s="2542"/>
      <c r="J2" s="2542"/>
      <c r="K2" s="2542"/>
      <c r="L2" s="2542"/>
      <c r="M2" s="2542"/>
      <c r="N2" s="2542"/>
      <c r="O2" s="2542"/>
      <c r="P2" s="2542"/>
    </row>
    <row r="3" spans="1:16" ht="15.6">
      <c r="A3" s="1983" t="s">
        <v>2076</v>
      </c>
      <c r="B3" s="2386">
        <f ca="1">ROUND(B2*10000/E2,0)</f>
        <v>20532</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402</v>
      </c>
      <c r="C6" s="1983" t="s">
        <v>2074</v>
      </c>
      <c r="D6" s="2542"/>
      <c r="E6" s="2396">
        <f ca="1">SUMIF(INDIRECT("'"&amp;A6&amp;"'"&amp;"!C:C"),"建筑面积",INDIRECT("'"&amp;A6&amp;"'"&amp;"!D:D"))</f>
        <v>195.79</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8" t="s">
        <v>2598</v>
      </c>
      <c r="B20" s="3481" t="s">
        <v>2619</v>
      </c>
      <c r="C20" s="3166" t="s">
        <v>2430</v>
      </c>
      <c r="D20" s="3166"/>
      <c r="E20" s="2842">
        <v>1</v>
      </c>
      <c r="F20" s="2843" t="s">
        <v>2431</v>
      </c>
      <c r="G20" s="2843"/>
    </row>
    <row r="21" spans="1:13" ht="19.5" customHeight="1">
      <c r="A21" s="3489"/>
      <c r="B21" s="3477"/>
      <c r="C21" s="2855" t="s">
        <v>2432</v>
      </c>
      <c r="D21" s="2855"/>
      <c r="E21" s="2846">
        <v>1</v>
      </c>
      <c r="F21" s="2843" t="s">
        <v>2433</v>
      </c>
      <c r="G21" s="2843"/>
    </row>
    <row r="22" spans="1:13" ht="19.5" customHeight="1">
      <c r="A22" s="3489"/>
      <c r="B22" s="3477"/>
      <c r="C22" s="2855" t="s">
        <v>2434</v>
      </c>
      <c r="D22" s="2855"/>
      <c r="E22" s="2846">
        <v>0.9</v>
      </c>
      <c r="F22" s="2843" t="s">
        <v>2435</v>
      </c>
      <c r="G22" s="2843"/>
    </row>
    <row r="23" spans="1:13" ht="19.5" customHeight="1">
      <c r="A23" s="3489"/>
      <c r="B23" s="3477"/>
      <c r="C23" s="2855" t="s">
        <v>2436</v>
      </c>
      <c r="D23" s="2855"/>
      <c r="E23" s="2846">
        <v>0.9</v>
      </c>
      <c r="F23" s="2843" t="s">
        <v>2437</v>
      </c>
      <c r="G23" s="2843"/>
    </row>
    <row r="24" spans="1:13" ht="19.5" customHeight="1">
      <c r="A24" s="3489"/>
      <c r="B24" s="3477"/>
      <c r="C24" s="2855" t="s">
        <v>2438</v>
      </c>
      <c r="D24" s="2855"/>
      <c r="E24" s="2846">
        <v>0.8</v>
      </c>
      <c r="F24" s="2843" t="s">
        <v>2439</v>
      </c>
      <c r="G24" s="2843"/>
    </row>
    <row r="25" spans="1:13" ht="19.5" customHeight="1">
      <c r="A25" s="3489"/>
      <c r="B25" s="3477"/>
      <c r="C25" s="2855" t="s">
        <v>2440</v>
      </c>
      <c r="D25" s="2855"/>
      <c r="E25" s="2846">
        <v>0.8</v>
      </c>
      <c r="F25" s="2843"/>
      <c r="G25" s="2843"/>
    </row>
    <row r="26" spans="1:13" ht="19.5" customHeight="1">
      <c r="A26" s="3489"/>
      <c r="B26" s="3477"/>
      <c r="C26" s="2855" t="s">
        <v>3403</v>
      </c>
      <c r="D26" s="2855"/>
      <c r="E26" s="2846">
        <v>0.43</v>
      </c>
      <c r="F26" s="2843"/>
      <c r="G26" s="2843"/>
    </row>
    <row r="27" spans="1:13" ht="19.5" customHeight="1" thickBot="1">
      <c r="A27" s="3490"/>
      <c r="B27" s="3482"/>
      <c r="C27" s="3162" t="s">
        <v>3404</v>
      </c>
      <c r="D27" s="3162"/>
      <c r="E27" s="2849">
        <f>E26*0.9</f>
        <v>0.38700000000000001</v>
      </c>
      <c r="F27" s="2843" t="s">
        <v>2441</v>
      </c>
      <c r="G27" s="2843"/>
    </row>
    <row r="28" spans="1:13" ht="19.5" customHeight="1" thickBot="1">
      <c r="A28" s="3161" t="s">
        <v>2620</v>
      </c>
      <c r="B28" s="3160" t="s">
        <v>2619</v>
      </c>
      <c r="C28" s="3163" t="s">
        <v>2621</v>
      </c>
      <c r="D28" s="3164"/>
      <c r="E28" s="3165">
        <v>1</v>
      </c>
      <c r="F28" s="2843" t="s">
        <v>2442</v>
      </c>
      <c r="G28" s="2843"/>
    </row>
    <row r="29" spans="1:13" ht="19.5" customHeight="1">
      <c r="A29" s="3483" t="s">
        <v>2622</v>
      </c>
      <c r="B29" s="3486" t="s">
        <v>2603</v>
      </c>
      <c r="C29" s="2840" t="s">
        <v>2443</v>
      </c>
      <c r="D29" s="2841"/>
      <c r="E29" s="2842">
        <v>1</v>
      </c>
      <c r="F29" s="2843" t="s">
        <v>2444</v>
      </c>
      <c r="G29" s="2843"/>
    </row>
    <row r="30" spans="1:13" ht="19.5" customHeight="1">
      <c r="A30" s="3484"/>
      <c r="B30" s="3480"/>
      <c r="C30" s="2844" t="s">
        <v>2445</v>
      </c>
      <c r="D30" s="2845"/>
      <c r="E30" s="2846">
        <v>1</v>
      </c>
      <c r="F30" s="2843" t="s">
        <v>2446</v>
      </c>
      <c r="G30" s="2843"/>
    </row>
    <row r="31" spans="1:13" ht="19.5" customHeight="1">
      <c r="A31" s="3484"/>
      <c r="B31" s="3480"/>
      <c r="C31" s="2844" t="s">
        <v>2447</v>
      </c>
      <c r="D31" s="2845"/>
      <c r="E31" s="2846">
        <v>0.8</v>
      </c>
      <c r="F31" s="2843" t="s">
        <v>2448</v>
      </c>
      <c r="G31" s="2843"/>
    </row>
    <row r="32" spans="1:13" ht="19.5" customHeight="1">
      <c r="A32" s="3484"/>
      <c r="B32" s="3480"/>
      <c r="C32" s="2844" t="s">
        <v>2449</v>
      </c>
      <c r="D32" s="2845"/>
      <c r="E32" s="2846">
        <v>0.8</v>
      </c>
      <c r="F32" s="2843" t="s">
        <v>2450</v>
      </c>
      <c r="G32" s="2843"/>
    </row>
    <row r="33" spans="1:7" ht="19.5" customHeight="1">
      <c r="A33" s="3484"/>
      <c r="B33" s="3480"/>
      <c r="C33" s="2844" t="s">
        <v>2451</v>
      </c>
      <c r="D33" s="2845"/>
      <c r="E33" s="2846">
        <v>0.8</v>
      </c>
      <c r="F33" s="2843" t="s">
        <v>2452</v>
      </c>
      <c r="G33" s="2843"/>
    </row>
    <row r="34" spans="1:7" ht="19.5" customHeight="1">
      <c r="A34" s="3484"/>
      <c r="B34" s="3480"/>
      <c r="C34" s="2844" t="s">
        <v>2453</v>
      </c>
      <c r="D34" s="2845"/>
      <c r="E34" s="2846">
        <v>0.7</v>
      </c>
      <c r="F34" s="2843" t="s">
        <v>2454</v>
      </c>
      <c r="G34" s="2843"/>
    </row>
    <row r="35" spans="1:7" ht="19.5" customHeight="1">
      <c r="A35" s="3484"/>
      <c r="B35" s="3480"/>
      <c r="C35" s="2844" t="s">
        <v>2455</v>
      </c>
      <c r="D35" s="2845"/>
      <c r="E35" s="2846">
        <v>0.8</v>
      </c>
      <c r="F35" s="2843" t="s">
        <v>2456</v>
      </c>
      <c r="G35" s="2843"/>
    </row>
    <row r="36" spans="1:7" ht="19.5" customHeight="1">
      <c r="A36" s="3484"/>
      <c r="B36" s="3480"/>
      <c r="C36" s="2844" t="s">
        <v>2457</v>
      </c>
      <c r="D36" s="2845"/>
      <c r="E36" s="2846">
        <v>0.6</v>
      </c>
      <c r="F36" s="2843" t="s">
        <v>2458</v>
      </c>
      <c r="G36" s="2843"/>
    </row>
    <row r="37" spans="1:7" ht="19.5" customHeight="1">
      <c r="A37" s="3484"/>
      <c r="B37" s="3480"/>
      <c r="C37" s="2844" t="s">
        <v>2459</v>
      </c>
      <c r="D37" s="2845"/>
      <c r="E37" s="2846">
        <v>0.2</v>
      </c>
      <c r="F37" s="2843" t="s">
        <v>2460</v>
      </c>
      <c r="G37" s="2843"/>
    </row>
    <row r="38" spans="1:7" ht="19.5" customHeight="1">
      <c r="A38" s="3484"/>
      <c r="B38" s="3480"/>
      <c r="C38" s="2844" t="s">
        <v>2461</v>
      </c>
      <c r="D38" s="2845"/>
      <c r="E38" s="2846">
        <v>0.2</v>
      </c>
      <c r="F38" s="2843" t="s">
        <v>2462</v>
      </c>
      <c r="G38" s="2843"/>
    </row>
    <row r="39" spans="1:7" ht="19.5" customHeight="1">
      <c r="A39" s="3484"/>
      <c r="B39" s="3478" t="s">
        <v>2623</v>
      </c>
      <c r="C39" s="2844" t="s">
        <v>2463</v>
      </c>
      <c r="D39" s="2845"/>
      <c r="E39" s="2846">
        <v>0.6</v>
      </c>
      <c r="F39" s="2843" t="s">
        <v>2464</v>
      </c>
      <c r="G39" s="2843"/>
    </row>
    <row r="40" spans="1:7" ht="19.5" customHeight="1">
      <c r="A40" s="3484"/>
      <c r="B40" s="3480"/>
      <c r="C40" s="2844" t="s">
        <v>2465</v>
      </c>
      <c r="D40" s="2845"/>
      <c r="E40" s="2846">
        <v>0.6</v>
      </c>
      <c r="F40" s="2843" t="s">
        <v>2466</v>
      </c>
      <c r="G40" s="2843"/>
    </row>
    <row r="41" spans="1:7" ht="19.5" customHeight="1" thickBot="1">
      <c r="A41" s="3485"/>
      <c r="B41" s="3487"/>
      <c r="C41" s="2847" t="s">
        <v>2467</v>
      </c>
      <c r="D41" s="2848"/>
      <c r="E41" s="2849">
        <v>0.6</v>
      </c>
      <c r="F41" s="2843" t="s">
        <v>2468</v>
      </c>
      <c r="G41" s="2843"/>
    </row>
    <row r="42" spans="1:7" ht="19.5" customHeight="1" thickBot="1">
      <c r="A42" s="2850" t="s">
        <v>2600</v>
      </c>
      <c r="B42" s="2851" t="s">
        <v>2600</v>
      </c>
      <c r="C42" s="2852" t="s">
        <v>2624</v>
      </c>
      <c r="D42" s="2853"/>
      <c r="E42" s="2854">
        <v>1</v>
      </c>
      <c r="F42" s="2843" t="s">
        <v>2469</v>
      </c>
      <c r="G42" s="2843"/>
    </row>
    <row r="43" spans="1:7" ht="19.5" customHeight="1">
      <c r="A43" s="3488" t="s">
        <v>2601</v>
      </c>
      <c r="B43" s="3486" t="s">
        <v>2625</v>
      </c>
      <c r="C43" s="2840" t="s">
        <v>2470</v>
      </c>
      <c r="D43" s="2841"/>
      <c r="E43" s="2842">
        <v>1</v>
      </c>
      <c r="F43" s="2843" t="s">
        <v>2471</v>
      </c>
      <c r="G43" s="2843"/>
    </row>
    <row r="44" spans="1:7" ht="19.5" customHeight="1">
      <c r="A44" s="3489"/>
      <c r="B44" s="3480"/>
      <c r="C44" s="2844" t="s">
        <v>2472</v>
      </c>
      <c r="D44" s="2845"/>
      <c r="E44" s="2846">
        <v>1</v>
      </c>
      <c r="F44" s="2843" t="s">
        <v>2473</v>
      </c>
      <c r="G44" s="2843"/>
    </row>
    <row r="45" spans="1:7" ht="19.5" customHeight="1">
      <c r="A45" s="3489"/>
      <c r="B45" s="3479"/>
      <c r="C45" s="2844" t="s">
        <v>2474</v>
      </c>
      <c r="D45" s="2845"/>
      <c r="E45" s="2846">
        <v>1.5</v>
      </c>
      <c r="F45" s="2843" t="s">
        <v>2475</v>
      </c>
      <c r="G45" s="2843"/>
    </row>
    <row r="46" spans="1:7" ht="19.5" customHeight="1">
      <c r="A46" s="3489"/>
      <c r="B46" s="2855" t="s">
        <v>2626</v>
      </c>
      <c r="C46" s="2844" t="s">
        <v>2627</v>
      </c>
      <c r="D46" s="2845"/>
      <c r="E46" s="2846">
        <v>2</v>
      </c>
      <c r="F46" s="2843" t="s">
        <v>2476</v>
      </c>
      <c r="G46" s="2843"/>
    </row>
    <row r="47" spans="1:7" ht="19.5" customHeight="1">
      <c r="A47" s="3489"/>
      <c r="B47" s="3478" t="s">
        <v>2628</v>
      </c>
      <c r="C47" s="2844" t="s">
        <v>2477</v>
      </c>
      <c r="D47" s="2845"/>
      <c r="E47" s="2846">
        <v>1</v>
      </c>
      <c r="F47" s="2843" t="s">
        <v>2478</v>
      </c>
      <c r="G47" s="2843"/>
    </row>
    <row r="48" spans="1:7" ht="19.5" customHeight="1">
      <c r="A48" s="3489"/>
      <c r="B48" s="3480"/>
      <c r="C48" s="2844" t="s">
        <v>2479</v>
      </c>
      <c r="D48" s="2845"/>
      <c r="E48" s="2846">
        <v>1</v>
      </c>
      <c r="F48" s="2843" t="s">
        <v>2480</v>
      </c>
      <c r="G48" s="2843"/>
    </row>
    <row r="49" spans="1:7" ht="19.5" customHeight="1">
      <c r="A49" s="3489"/>
      <c r="B49" s="3480"/>
      <c r="C49" s="2844" t="s">
        <v>2481</v>
      </c>
      <c r="D49" s="2845"/>
      <c r="E49" s="2846">
        <v>1</v>
      </c>
      <c r="F49" s="2843" t="s">
        <v>2482</v>
      </c>
      <c r="G49" s="2843"/>
    </row>
    <row r="50" spans="1:7" ht="19.5" customHeight="1">
      <c r="A50" s="3489"/>
      <c r="B50" s="3480"/>
      <c r="C50" s="2844" t="s">
        <v>2483</v>
      </c>
      <c r="D50" s="2845"/>
      <c r="E50" s="2846">
        <v>1</v>
      </c>
      <c r="F50" s="2843" t="s">
        <v>2484</v>
      </c>
      <c r="G50" s="2843"/>
    </row>
    <row r="51" spans="1:7" ht="19.5" customHeight="1">
      <c r="A51" s="3489"/>
      <c r="B51" s="3480"/>
      <c r="C51" s="2844" t="s">
        <v>2485</v>
      </c>
      <c r="D51" s="2845"/>
      <c r="E51" s="2846">
        <v>1</v>
      </c>
      <c r="F51" s="2843" t="s">
        <v>2486</v>
      </c>
      <c r="G51" s="2843"/>
    </row>
    <row r="52" spans="1:7" ht="19.5" customHeight="1">
      <c r="A52" s="3489"/>
      <c r="B52" s="3480"/>
      <c r="C52" s="2844" t="s">
        <v>2487</v>
      </c>
      <c r="D52" s="2845"/>
      <c r="E52" s="2846">
        <v>1</v>
      </c>
      <c r="F52" s="2843" t="s">
        <v>2488</v>
      </c>
      <c r="G52" s="2843"/>
    </row>
    <row r="53" spans="1:7" ht="19.5" customHeight="1" thickBot="1">
      <c r="A53" s="3490"/>
      <c r="B53" s="3487"/>
      <c r="C53" s="2847" t="s">
        <v>2489</v>
      </c>
      <c r="D53" s="2848"/>
      <c r="E53" s="2849">
        <v>1</v>
      </c>
      <c r="F53" s="2843" t="s">
        <v>2490</v>
      </c>
      <c r="G53" s="2843"/>
    </row>
    <row r="54" spans="1:7" ht="19.5" customHeight="1">
      <c r="A54" s="2856"/>
      <c r="B54" s="2856"/>
      <c r="C54" s="2856"/>
      <c r="D54" s="2856"/>
      <c r="E54" s="2856"/>
      <c r="F54" s="2856"/>
      <c r="G54" s="2856"/>
    </row>
    <row r="56" spans="1:7" ht="19.5" customHeight="1">
      <c r="A56" s="2857"/>
      <c r="B56" s="2829" t="s">
        <v>2629</v>
      </c>
      <c r="C56" s="2829" t="s">
        <v>2629</v>
      </c>
      <c r="D56" s="2829" t="s">
        <v>2629</v>
      </c>
      <c r="E56" s="2832" t="s">
        <v>2629</v>
      </c>
      <c r="F56" s="2832" t="s">
        <v>2630</v>
      </c>
      <c r="G56" s="2832" t="s">
        <v>2631</v>
      </c>
    </row>
    <row r="57" spans="1:7" ht="19.5" customHeight="1">
      <c r="A57" s="2858"/>
      <c r="B57" s="2832" t="s">
        <v>2598</v>
      </c>
      <c r="C57" s="2832" t="s">
        <v>2598</v>
      </c>
      <c r="D57" s="2832" t="s">
        <v>2598</v>
      </c>
      <c r="E57" s="2829" t="s">
        <v>2599</v>
      </c>
      <c r="F57" s="2829" t="s">
        <v>2601</v>
      </c>
      <c r="G57" s="2829" t="s">
        <v>2632</v>
      </c>
    </row>
    <row r="58" spans="1:7" ht="19.5" customHeight="1">
      <c r="A58" s="2859"/>
      <c r="B58" s="2829">
        <v>1</v>
      </c>
      <c r="C58" s="2829">
        <v>2</v>
      </c>
      <c r="D58" s="2829">
        <v>3</v>
      </c>
      <c r="E58" s="2860" t="s">
        <v>2633</v>
      </c>
      <c r="F58" s="2860" t="s">
        <v>2633</v>
      </c>
      <c r="G58" s="2860" t="s">
        <v>2633</v>
      </c>
    </row>
    <row r="59" spans="1:7" ht="19.5" customHeight="1">
      <c r="A59" s="2861" t="s">
        <v>2586</v>
      </c>
      <c r="B59" s="2829">
        <v>0.7</v>
      </c>
      <c r="C59" s="2829">
        <v>0.4</v>
      </c>
      <c r="D59" s="2829">
        <v>0.3</v>
      </c>
      <c r="E59" s="2860">
        <v>0.3</v>
      </c>
      <c r="F59" s="2829">
        <v>0.3</v>
      </c>
      <c r="G59" s="2829">
        <v>0.2</v>
      </c>
    </row>
    <row r="60" spans="1:7" ht="19.5" customHeight="1">
      <c r="A60" s="2861" t="s">
        <v>2587</v>
      </c>
      <c r="B60" s="2829">
        <v>0.7</v>
      </c>
      <c r="C60" s="2829">
        <v>0.4</v>
      </c>
      <c r="D60" s="2829">
        <v>0.3</v>
      </c>
      <c r="E60" s="2829">
        <v>0.3</v>
      </c>
      <c r="F60" s="2829">
        <v>0.3</v>
      </c>
      <c r="G60" s="2829">
        <v>0.2</v>
      </c>
    </row>
    <row r="61" spans="1:7" ht="19.5" customHeight="1">
      <c r="A61" s="2861" t="s">
        <v>2588</v>
      </c>
      <c r="B61" s="2829">
        <v>0.6</v>
      </c>
      <c r="C61" s="2829">
        <v>0.3</v>
      </c>
      <c r="D61" s="2829">
        <v>0.25</v>
      </c>
      <c r="E61" s="2829">
        <v>0.25</v>
      </c>
      <c r="F61" s="2829">
        <v>0.25</v>
      </c>
      <c r="G61" s="2829">
        <v>0.15</v>
      </c>
    </row>
    <row r="62" spans="1:7" ht="19.5" customHeight="1">
      <c r="A62" s="2861" t="s">
        <v>2589</v>
      </c>
      <c r="B62" s="2829">
        <v>0.6</v>
      </c>
      <c r="C62" s="2829">
        <v>0.3</v>
      </c>
      <c r="D62" s="2829">
        <v>0.25</v>
      </c>
      <c r="E62" s="2829">
        <v>0.25</v>
      </c>
      <c r="F62" s="2829">
        <v>0.25</v>
      </c>
      <c r="G62" s="2829">
        <v>0.15</v>
      </c>
    </row>
    <row r="63" spans="1:7" ht="19.5" customHeight="1">
      <c r="A63" s="2861" t="s">
        <v>2590</v>
      </c>
      <c r="B63" s="2829">
        <v>0.6</v>
      </c>
      <c r="C63" s="2829">
        <v>0.3</v>
      </c>
      <c r="D63" s="2829">
        <v>0.25</v>
      </c>
      <c r="E63" s="2829">
        <v>0.25</v>
      </c>
      <c r="F63" s="2829">
        <v>0.25</v>
      </c>
      <c r="G63" s="2829">
        <v>0.15</v>
      </c>
    </row>
    <row r="64" spans="1:7" ht="19.5" customHeight="1">
      <c r="A64" s="2861" t="s">
        <v>2591</v>
      </c>
      <c r="B64" s="2829">
        <v>0.6</v>
      </c>
      <c r="C64" s="2829">
        <v>0.3</v>
      </c>
      <c r="D64" s="2829">
        <v>0.25</v>
      </c>
      <c r="E64" s="2829">
        <v>0.25</v>
      </c>
      <c r="F64" s="2829">
        <v>0.25</v>
      </c>
      <c r="G64" s="2829">
        <v>0.15</v>
      </c>
    </row>
    <row r="65" spans="1:7" ht="19.5" customHeight="1">
      <c r="A65" s="2861" t="s">
        <v>2592</v>
      </c>
      <c r="B65" s="2829">
        <v>0.6</v>
      </c>
      <c r="C65" s="2829">
        <v>0.3</v>
      </c>
      <c r="D65" s="2829">
        <v>0.25</v>
      </c>
      <c r="E65" s="2829">
        <v>0.25</v>
      </c>
      <c r="F65" s="2829">
        <v>0.25</v>
      </c>
      <c r="G65" s="2829">
        <v>0.15</v>
      </c>
    </row>
    <row r="66" spans="1:7" ht="19.5" customHeight="1">
      <c r="A66" s="2861" t="s">
        <v>2593</v>
      </c>
      <c r="B66" s="2829">
        <v>0.5</v>
      </c>
      <c r="C66" s="2829">
        <v>0.2</v>
      </c>
      <c r="D66" s="2829">
        <v>0.2</v>
      </c>
      <c r="E66" s="2829">
        <v>0.2</v>
      </c>
      <c r="F66" s="2829">
        <v>0.2</v>
      </c>
      <c r="G66" s="2829">
        <v>0.1</v>
      </c>
    </row>
    <row r="67" spans="1:7" ht="19.5" customHeight="1">
      <c r="A67" s="2861" t="s">
        <v>2594</v>
      </c>
      <c r="B67" s="2829">
        <v>0.5</v>
      </c>
      <c r="C67" s="2829">
        <v>0.2</v>
      </c>
      <c r="D67" s="2829">
        <v>0.2</v>
      </c>
      <c r="E67" s="2829">
        <v>0.2</v>
      </c>
      <c r="F67" s="2829">
        <v>0.2</v>
      </c>
      <c r="G67" s="2829">
        <v>0.1</v>
      </c>
    </row>
    <row r="68" spans="1:7" ht="19.5" customHeight="1">
      <c r="A68" s="2861" t="s">
        <v>2595</v>
      </c>
      <c r="B68" s="2829">
        <v>0.5</v>
      </c>
      <c r="C68" s="2829">
        <v>0.2</v>
      </c>
      <c r="D68" s="2829">
        <v>0.2</v>
      </c>
      <c r="E68" s="2829">
        <v>0.2</v>
      </c>
      <c r="F68" s="2829">
        <v>0.2</v>
      </c>
      <c r="G68" s="2829">
        <v>0.1</v>
      </c>
    </row>
    <row r="69" spans="1:7" ht="19.5" customHeight="1">
      <c r="A69" s="2861" t="s">
        <v>2596</v>
      </c>
      <c r="B69" s="2829">
        <v>0.5</v>
      </c>
      <c r="C69" s="2829">
        <v>0.2</v>
      </c>
      <c r="D69" s="2829">
        <v>0.2</v>
      </c>
      <c r="E69" s="2829">
        <v>0.2</v>
      </c>
      <c r="F69" s="2829">
        <v>0.2</v>
      </c>
      <c r="G69" s="2829">
        <v>0.1</v>
      </c>
    </row>
    <row r="70" spans="1:7" ht="19.5" customHeight="1">
      <c r="A70" s="2861" t="s">
        <v>2597</v>
      </c>
      <c r="B70" s="2829">
        <v>0.5</v>
      </c>
      <c r="C70" s="2829">
        <v>0.2</v>
      </c>
      <c r="D70" s="2829">
        <v>0.2</v>
      </c>
      <c r="E70" s="2829">
        <v>0.2</v>
      </c>
      <c r="F70" s="2829">
        <v>0.2</v>
      </c>
      <c r="G70" s="2829">
        <v>0.1</v>
      </c>
    </row>
    <row r="72" spans="1:7" ht="19.5" customHeight="1">
      <c r="A72" s="2843"/>
      <c r="B72" s="2862"/>
      <c r="C72" s="2862"/>
      <c r="D72" s="2862" t="s">
        <v>2634</v>
      </c>
      <c r="E72" s="2862"/>
      <c r="F72" s="2862"/>
    </row>
    <row r="73" spans="1:7" ht="19.5" customHeight="1">
      <c r="A73" s="2855" t="s">
        <v>2635</v>
      </c>
      <c r="B73" s="2855" t="s">
        <v>2636</v>
      </c>
      <c r="C73" s="2855" t="s">
        <v>2637</v>
      </c>
      <c r="D73" s="2855" t="s">
        <v>2638</v>
      </c>
      <c r="E73" s="2855" t="s">
        <v>2639</v>
      </c>
      <c r="F73" s="2855" t="s">
        <v>2640</v>
      </c>
    </row>
    <row r="74" spans="1:7" ht="14.4">
      <c r="A74" s="2855"/>
      <c r="B74" s="2855"/>
      <c r="C74" s="2855" t="s">
        <v>2641</v>
      </c>
      <c r="D74" s="2855"/>
      <c r="E74" s="2855" t="s">
        <v>2612</v>
      </c>
      <c r="F74" s="2855" t="s">
        <v>2612</v>
      </c>
    </row>
    <row r="75" spans="1:7" ht="14.4">
      <c r="A75" s="2855">
        <v>1</v>
      </c>
      <c r="B75" s="3478" t="s">
        <v>2642</v>
      </c>
      <c r="C75" s="2829" t="s">
        <v>2643</v>
      </c>
      <c r="D75" s="2829" t="s">
        <v>2644</v>
      </c>
      <c r="E75" s="2855">
        <v>0.2</v>
      </c>
      <c r="F75" s="2855">
        <v>25</v>
      </c>
    </row>
    <row r="76" spans="1:7" ht="24">
      <c r="A76" s="2855">
        <v>2</v>
      </c>
      <c r="B76" s="3480"/>
      <c r="C76" s="2829" t="s">
        <v>2645</v>
      </c>
      <c r="D76" s="2829" t="s">
        <v>2646</v>
      </c>
      <c r="E76" s="2855">
        <v>0.2</v>
      </c>
      <c r="F76" s="2855">
        <v>25</v>
      </c>
    </row>
    <row r="77" spans="1:7" ht="24">
      <c r="A77" s="2855">
        <v>3</v>
      </c>
      <c r="B77" s="3480"/>
      <c r="C77" s="2829" t="s">
        <v>2647</v>
      </c>
      <c r="D77" s="2829" t="s">
        <v>2648</v>
      </c>
      <c r="E77" s="2855">
        <v>0.2</v>
      </c>
      <c r="F77" s="2855">
        <v>25</v>
      </c>
    </row>
    <row r="78" spans="1:7" ht="14.4">
      <c r="A78" s="2855">
        <v>4</v>
      </c>
      <c r="B78" s="3480"/>
      <c r="C78" s="2829" t="s">
        <v>2649</v>
      </c>
      <c r="D78" s="2829" t="s">
        <v>2650</v>
      </c>
      <c r="E78" s="2855">
        <v>0.15</v>
      </c>
      <c r="F78" s="2855">
        <v>20</v>
      </c>
    </row>
    <row r="79" spans="1:7" ht="24">
      <c r="A79" s="2855">
        <v>5</v>
      </c>
      <c r="B79" s="3480"/>
      <c r="C79" s="2829" t="s">
        <v>2651</v>
      </c>
      <c r="D79" s="2829" t="s">
        <v>2652</v>
      </c>
      <c r="E79" s="2855">
        <v>0.15</v>
      </c>
      <c r="F79" s="2855">
        <v>20</v>
      </c>
    </row>
    <row r="80" spans="1:7" ht="24">
      <c r="A80" s="2855">
        <v>6</v>
      </c>
      <c r="B80" s="3480"/>
      <c r="C80" s="2829" t="s">
        <v>2653</v>
      </c>
      <c r="D80" s="2829" t="s">
        <v>2654</v>
      </c>
      <c r="E80" s="2855">
        <v>0.15</v>
      </c>
      <c r="F80" s="2855">
        <v>20</v>
      </c>
    </row>
    <row r="81" spans="1:6" ht="24">
      <c r="A81" s="2855">
        <v>7</v>
      </c>
      <c r="B81" s="3480"/>
      <c r="C81" s="2829" t="s">
        <v>2655</v>
      </c>
      <c r="D81" s="2829" t="s">
        <v>2656</v>
      </c>
      <c r="E81" s="2855">
        <v>0.15</v>
      </c>
      <c r="F81" s="2855">
        <v>20</v>
      </c>
    </row>
    <row r="82" spans="1:6" ht="24">
      <c r="A82" s="2855">
        <v>8</v>
      </c>
      <c r="B82" s="3480"/>
      <c r="C82" s="2829" t="s">
        <v>2657</v>
      </c>
      <c r="D82" s="2829" t="s">
        <v>2658</v>
      </c>
      <c r="E82" s="2855">
        <v>0.1</v>
      </c>
      <c r="F82" s="2855">
        <v>15</v>
      </c>
    </row>
    <row r="83" spans="1:6" ht="24">
      <c r="A83" s="2855">
        <v>9</v>
      </c>
      <c r="B83" s="3480"/>
      <c r="C83" s="2829" t="s">
        <v>2659</v>
      </c>
      <c r="D83" s="2829" t="s">
        <v>2660</v>
      </c>
      <c r="E83" s="2855">
        <v>0.1</v>
      </c>
      <c r="F83" s="2855">
        <v>15</v>
      </c>
    </row>
    <row r="84" spans="1:6" ht="24">
      <c r="A84" s="2855">
        <v>10</v>
      </c>
      <c r="B84" s="3480"/>
      <c r="C84" s="2829" t="s">
        <v>2661</v>
      </c>
      <c r="D84" s="2829" t="s">
        <v>2662</v>
      </c>
      <c r="E84" s="2855">
        <v>0.1</v>
      </c>
      <c r="F84" s="2855">
        <v>15</v>
      </c>
    </row>
    <row r="85" spans="1:6" ht="24">
      <c r="A85" s="2855">
        <v>11</v>
      </c>
      <c r="B85" s="3480"/>
      <c r="C85" s="2829" t="s">
        <v>2663</v>
      </c>
      <c r="D85" s="2829" t="s">
        <v>2664</v>
      </c>
      <c r="E85" s="2855">
        <v>0.1</v>
      </c>
      <c r="F85" s="2855">
        <v>15</v>
      </c>
    </row>
    <row r="86" spans="1:6" ht="24">
      <c r="A86" s="2855">
        <v>12</v>
      </c>
      <c r="B86" s="3480"/>
      <c r="C86" s="2829" t="s">
        <v>2665</v>
      </c>
      <c r="D86" s="2829" t="s">
        <v>2666</v>
      </c>
      <c r="E86" s="2855">
        <v>0.1</v>
      </c>
      <c r="F86" s="2855">
        <v>15</v>
      </c>
    </row>
    <row r="87" spans="1:6" ht="24">
      <c r="A87" s="2855">
        <v>13</v>
      </c>
      <c r="B87" s="3480"/>
      <c r="C87" s="2829" t="s">
        <v>2667</v>
      </c>
      <c r="D87" s="2829" t="s">
        <v>2668</v>
      </c>
      <c r="E87" s="2855">
        <v>0.1</v>
      </c>
      <c r="F87" s="2855">
        <v>15</v>
      </c>
    </row>
    <row r="88" spans="1:6" ht="24">
      <c r="A88" s="2855">
        <v>14</v>
      </c>
      <c r="B88" s="3480"/>
      <c r="C88" s="2829" t="s">
        <v>2669</v>
      </c>
      <c r="D88" s="2829" t="s">
        <v>2670</v>
      </c>
      <c r="E88" s="2855">
        <v>0.1</v>
      </c>
      <c r="F88" s="2855">
        <v>15</v>
      </c>
    </row>
    <row r="89" spans="1:6" ht="24">
      <c r="A89" s="2855">
        <v>15</v>
      </c>
      <c r="B89" s="3480"/>
      <c r="C89" s="2829" t="s">
        <v>2671</v>
      </c>
      <c r="D89" s="2829" t="s">
        <v>2672</v>
      </c>
      <c r="E89" s="2855">
        <v>0.1</v>
      </c>
      <c r="F89" s="2855">
        <v>15</v>
      </c>
    </row>
    <row r="90" spans="1:6" ht="24">
      <c r="A90" s="2855">
        <v>16</v>
      </c>
      <c r="B90" s="3480"/>
      <c r="C90" s="2829" t="s">
        <v>2673</v>
      </c>
      <c r="D90" s="2829" t="s">
        <v>2674</v>
      </c>
      <c r="E90" s="2855">
        <v>0.1</v>
      </c>
      <c r="F90" s="2855">
        <v>15</v>
      </c>
    </row>
    <row r="91" spans="1:6" ht="24">
      <c r="A91" s="2855">
        <v>17</v>
      </c>
      <c r="B91" s="3479"/>
      <c r="C91" s="2829" t="s">
        <v>2675</v>
      </c>
      <c r="D91" s="2829" t="s">
        <v>2676</v>
      </c>
      <c r="E91" s="2855">
        <v>0.1</v>
      </c>
      <c r="F91" s="2855">
        <v>15</v>
      </c>
    </row>
    <row r="92" spans="1:6" ht="14.4">
      <c r="A92" s="2855">
        <v>18</v>
      </c>
      <c r="B92" s="3478" t="s">
        <v>2677</v>
      </c>
      <c r="C92" s="2829" t="s">
        <v>2678</v>
      </c>
      <c r="D92" s="2829" t="s">
        <v>2679</v>
      </c>
      <c r="E92" s="2855">
        <v>0.2</v>
      </c>
      <c r="F92" s="2855">
        <v>25</v>
      </c>
    </row>
    <row r="93" spans="1:6" ht="24">
      <c r="A93" s="2855">
        <v>19</v>
      </c>
      <c r="B93" s="3480"/>
      <c r="C93" s="2829" t="s">
        <v>2680</v>
      </c>
      <c r="D93" s="2829" t="s">
        <v>2681</v>
      </c>
      <c r="E93" s="2855">
        <v>0.2</v>
      </c>
      <c r="F93" s="2855">
        <v>25</v>
      </c>
    </row>
    <row r="94" spans="1:6" ht="14.4">
      <c r="A94" s="2855">
        <v>20</v>
      </c>
      <c r="B94" s="3480"/>
      <c r="C94" s="2829" t="s">
        <v>2682</v>
      </c>
      <c r="D94" s="2829" t="s">
        <v>2683</v>
      </c>
      <c r="E94" s="2855">
        <v>0.15</v>
      </c>
      <c r="F94" s="2855">
        <v>20</v>
      </c>
    </row>
    <row r="95" spans="1:6" ht="24">
      <c r="A95" s="2855">
        <v>21</v>
      </c>
      <c r="B95" s="3480"/>
      <c r="C95" s="2829" t="s">
        <v>2684</v>
      </c>
      <c r="D95" s="2829" t="s">
        <v>2685</v>
      </c>
      <c r="E95" s="2855">
        <v>0.15</v>
      </c>
      <c r="F95" s="2855">
        <v>20</v>
      </c>
    </row>
    <row r="96" spans="1:6" ht="24">
      <c r="A96" s="2855">
        <v>22</v>
      </c>
      <c r="B96" s="3480"/>
      <c r="C96" s="2829" t="s">
        <v>2686</v>
      </c>
      <c r="D96" s="2829" t="s">
        <v>2687</v>
      </c>
      <c r="E96" s="2855">
        <v>0.15</v>
      </c>
      <c r="F96" s="2855">
        <v>20</v>
      </c>
    </row>
    <row r="97" spans="1:6" ht="36">
      <c r="A97" s="2855">
        <v>23</v>
      </c>
      <c r="B97" s="3480"/>
      <c r="C97" s="2829" t="s">
        <v>2688</v>
      </c>
      <c r="D97" s="2829" t="s">
        <v>2689</v>
      </c>
      <c r="E97" s="2855">
        <v>0.15</v>
      </c>
      <c r="F97" s="2855">
        <v>20</v>
      </c>
    </row>
    <row r="98" spans="1:6" ht="24">
      <c r="A98" s="2855">
        <v>24</v>
      </c>
      <c r="B98" s="3480"/>
      <c r="C98" s="2829" t="s">
        <v>2690</v>
      </c>
      <c r="D98" s="2829" t="s">
        <v>2691</v>
      </c>
      <c r="E98" s="2855">
        <v>0.1</v>
      </c>
      <c r="F98" s="2855">
        <v>15</v>
      </c>
    </row>
    <row r="99" spans="1:6" ht="24">
      <c r="A99" s="2855">
        <v>25</v>
      </c>
      <c r="B99" s="3480"/>
      <c r="C99" s="2829" t="s">
        <v>2692</v>
      </c>
      <c r="D99" s="2829" t="s">
        <v>2693</v>
      </c>
      <c r="E99" s="2855">
        <v>0.1</v>
      </c>
      <c r="F99" s="2855">
        <v>15</v>
      </c>
    </row>
    <row r="100" spans="1:6" ht="24">
      <c r="A100" s="2855">
        <v>26</v>
      </c>
      <c r="B100" s="3480"/>
      <c r="C100" s="2829" t="s">
        <v>2694</v>
      </c>
      <c r="D100" s="2829" t="s">
        <v>2695</v>
      </c>
      <c r="E100" s="2855">
        <v>0.1</v>
      </c>
      <c r="F100" s="2855">
        <v>15</v>
      </c>
    </row>
    <row r="101" spans="1:6" ht="24">
      <c r="A101" s="2855">
        <v>27</v>
      </c>
      <c r="B101" s="3480"/>
      <c r="C101" s="2829" t="s">
        <v>2696</v>
      </c>
      <c r="D101" s="2829" t="s">
        <v>2697</v>
      </c>
      <c r="E101" s="2855">
        <v>0.1</v>
      </c>
      <c r="F101" s="2855">
        <v>15</v>
      </c>
    </row>
    <row r="102" spans="1:6" ht="24">
      <c r="A102" s="2855">
        <v>28</v>
      </c>
      <c r="B102" s="3480"/>
      <c r="C102" s="2829" t="s">
        <v>2698</v>
      </c>
      <c r="D102" s="2829" t="s">
        <v>2699</v>
      </c>
      <c r="E102" s="2855">
        <v>0.1</v>
      </c>
      <c r="F102" s="2855">
        <v>15</v>
      </c>
    </row>
    <row r="103" spans="1:6" ht="24">
      <c r="A103" s="2855">
        <v>29</v>
      </c>
      <c r="B103" s="3480"/>
      <c r="C103" s="2829" t="s">
        <v>2700</v>
      </c>
      <c r="D103" s="2829" t="s">
        <v>2701</v>
      </c>
      <c r="E103" s="2855">
        <v>0.1</v>
      </c>
      <c r="F103" s="2855">
        <v>15</v>
      </c>
    </row>
    <row r="104" spans="1:6" ht="24">
      <c r="A104" s="2855">
        <v>30</v>
      </c>
      <c r="B104" s="3480"/>
      <c r="C104" s="2829" t="s">
        <v>2702</v>
      </c>
      <c r="D104" s="2829" t="s">
        <v>2703</v>
      </c>
      <c r="E104" s="2855">
        <v>0.1</v>
      </c>
      <c r="F104" s="2855">
        <v>15</v>
      </c>
    </row>
    <row r="105" spans="1:6" ht="24">
      <c r="A105" s="2855">
        <v>31</v>
      </c>
      <c r="B105" s="3480"/>
      <c r="C105" s="2829" t="s">
        <v>2704</v>
      </c>
      <c r="D105" s="2829" t="s">
        <v>2705</v>
      </c>
      <c r="E105" s="2855">
        <v>0.1</v>
      </c>
      <c r="F105" s="2855">
        <v>15</v>
      </c>
    </row>
    <row r="106" spans="1:6" ht="24">
      <c r="A106" s="2855">
        <v>32</v>
      </c>
      <c r="B106" s="3480"/>
      <c r="C106" s="2829" t="s">
        <v>2706</v>
      </c>
      <c r="D106" s="2829" t="s">
        <v>2707</v>
      </c>
      <c r="E106" s="2855">
        <v>0.1</v>
      </c>
      <c r="F106" s="2855">
        <v>15</v>
      </c>
    </row>
    <row r="107" spans="1:6" ht="24">
      <c r="A107" s="2855">
        <v>33</v>
      </c>
      <c r="B107" s="3480"/>
      <c r="C107" s="2829" t="s">
        <v>2708</v>
      </c>
      <c r="D107" s="2829" t="s">
        <v>2709</v>
      </c>
      <c r="E107" s="2855">
        <v>0.1</v>
      </c>
      <c r="F107" s="2855">
        <v>15</v>
      </c>
    </row>
    <row r="108" spans="1:6" ht="24">
      <c r="A108" s="2855">
        <v>34</v>
      </c>
      <c r="B108" s="3479"/>
      <c r="C108" s="2829" t="s">
        <v>2710</v>
      </c>
      <c r="D108" s="2829" t="s">
        <v>2711</v>
      </c>
      <c r="E108" s="2855">
        <v>0.1</v>
      </c>
      <c r="F108" s="2855">
        <v>15</v>
      </c>
    </row>
    <row r="109" spans="1:6" ht="36">
      <c r="A109" s="2855">
        <v>35</v>
      </c>
      <c r="B109" s="3478" t="s">
        <v>2712</v>
      </c>
      <c r="C109" s="2855" t="s">
        <v>2713</v>
      </c>
      <c r="D109" s="2829" t="s">
        <v>2714</v>
      </c>
      <c r="E109" s="2855">
        <v>0.15</v>
      </c>
      <c r="F109" s="2855">
        <v>20</v>
      </c>
    </row>
    <row r="110" spans="1:6" ht="24">
      <c r="A110" s="2855">
        <v>36</v>
      </c>
      <c r="B110" s="3480"/>
      <c r="C110" s="2855" t="s">
        <v>2715</v>
      </c>
      <c r="D110" s="2829" t="s">
        <v>2716</v>
      </c>
      <c r="E110" s="2855">
        <v>0.15</v>
      </c>
      <c r="F110" s="2855">
        <v>20</v>
      </c>
    </row>
    <row r="111" spans="1:6" ht="24">
      <c r="A111" s="2855">
        <v>37</v>
      </c>
      <c r="B111" s="3480"/>
      <c r="C111" s="2855" t="s">
        <v>2717</v>
      </c>
      <c r="D111" s="2829" t="s">
        <v>2718</v>
      </c>
      <c r="E111" s="2855">
        <v>0.15</v>
      </c>
      <c r="F111" s="2855">
        <v>20</v>
      </c>
    </row>
    <row r="112" spans="1:6" ht="24">
      <c r="A112" s="2855">
        <v>38</v>
      </c>
      <c r="B112" s="3480"/>
      <c r="C112" s="2855" t="s">
        <v>2719</v>
      </c>
      <c r="D112" s="2829" t="s">
        <v>2720</v>
      </c>
      <c r="E112" s="2855">
        <v>0.1</v>
      </c>
      <c r="F112" s="2855">
        <v>15</v>
      </c>
    </row>
    <row r="113" spans="1:6" ht="24">
      <c r="A113" s="2855">
        <v>39</v>
      </c>
      <c r="B113" s="3480"/>
      <c r="C113" s="2855" t="s">
        <v>2721</v>
      </c>
      <c r="D113" s="2829" t="s">
        <v>2722</v>
      </c>
      <c r="E113" s="2855">
        <v>0.1</v>
      </c>
      <c r="F113" s="2855">
        <v>15</v>
      </c>
    </row>
    <row r="114" spans="1:6" ht="24">
      <c r="A114" s="2855">
        <v>40</v>
      </c>
      <c r="B114" s="3479"/>
      <c r="C114" s="2855" t="s">
        <v>2723</v>
      </c>
      <c r="D114" s="2829" t="s">
        <v>2724</v>
      </c>
      <c r="E114" s="2855">
        <v>0.1</v>
      </c>
      <c r="F114" s="2855">
        <v>15</v>
      </c>
    </row>
    <row r="115" spans="1:6" ht="24">
      <c r="A115" s="2855">
        <v>41</v>
      </c>
      <c r="B115" s="3477" t="s">
        <v>2725</v>
      </c>
      <c r="C115" s="2855" t="s">
        <v>2726</v>
      </c>
      <c r="D115" s="2829" t="s">
        <v>2727</v>
      </c>
      <c r="E115" s="2855">
        <v>0.1</v>
      </c>
      <c r="F115" s="2855">
        <v>15</v>
      </c>
    </row>
    <row r="116" spans="1:6" ht="24">
      <c r="A116" s="2855">
        <v>42</v>
      </c>
      <c r="B116" s="3477"/>
      <c r="C116" s="2855" t="s">
        <v>2728</v>
      </c>
      <c r="D116" s="2829" t="s">
        <v>2729</v>
      </c>
      <c r="E116" s="2855">
        <v>0.1</v>
      </c>
      <c r="F116" s="2855">
        <v>15</v>
      </c>
    </row>
    <row r="117" spans="1:6" ht="24">
      <c r="A117" s="2855">
        <v>43</v>
      </c>
      <c r="B117" s="3477"/>
      <c r="C117" s="2855" t="s">
        <v>2730</v>
      </c>
      <c r="D117" s="2829" t="s">
        <v>2731</v>
      </c>
      <c r="E117" s="2855">
        <v>0.1</v>
      </c>
      <c r="F117" s="2855">
        <v>15</v>
      </c>
    </row>
    <row r="118" spans="1:6" ht="24">
      <c r="A118" s="2855">
        <v>44</v>
      </c>
      <c r="B118" s="3478" t="s">
        <v>2732</v>
      </c>
      <c r="C118" s="2855" t="s">
        <v>2733</v>
      </c>
      <c r="D118" s="2829" t="s">
        <v>2734</v>
      </c>
      <c r="E118" s="2855">
        <v>0.1</v>
      </c>
      <c r="F118" s="2855">
        <v>15</v>
      </c>
    </row>
    <row r="119" spans="1:6" ht="24">
      <c r="A119" s="2855">
        <v>45</v>
      </c>
      <c r="B119" s="3479"/>
      <c r="C119" s="2829" t="s">
        <v>2735</v>
      </c>
      <c r="D119" s="2829" t="s">
        <v>2736</v>
      </c>
      <c r="E119" s="2855">
        <v>0.1</v>
      </c>
      <c r="F119" s="2855">
        <v>15</v>
      </c>
    </row>
    <row r="120" spans="1:6" ht="24">
      <c r="A120" s="2855">
        <v>46</v>
      </c>
      <c r="B120" s="3478" t="s">
        <v>2737</v>
      </c>
      <c r="C120" s="2855" t="s">
        <v>2738</v>
      </c>
      <c r="D120" s="2829" t="s">
        <v>2739</v>
      </c>
      <c r="E120" s="2855">
        <v>0.1</v>
      </c>
      <c r="F120" s="2855">
        <v>15</v>
      </c>
    </row>
    <row r="121" spans="1:6" ht="24">
      <c r="A121" s="2855">
        <v>47</v>
      </c>
      <c r="B121" s="3479"/>
      <c r="C121" s="2855" t="s">
        <v>2740</v>
      </c>
      <c r="D121" s="2829" t="s">
        <v>2741</v>
      </c>
      <c r="E121" s="2855">
        <v>0.1</v>
      </c>
      <c r="F121" s="2855">
        <v>15</v>
      </c>
    </row>
    <row r="122" spans="1:6" ht="24">
      <c r="A122" s="2855">
        <v>48</v>
      </c>
      <c r="B122" s="3478" t="s">
        <v>2742</v>
      </c>
      <c r="C122" s="2855" t="s">
        <v>2743</v>
      </c>
      <c r="D122" s="2829" t="s">
        <v>2744</v>
      </c>
      <c r="E122" s="2855">
        <v>0.1</v>
      </c>
      <c r="F122" s="2855">
        <v>15</v>
      </c>
    </row>
    <row r="123" spans="1:6" ht="24">
      <c r="A123" s="2855">
        <v>49</v>
      </c>
      <c r="B123" s="3479"/>
      <c r="C123" s="2855" t="s">
        <v>2745</v>
      </c>
      <c r="D123" s="2829" t="s">
        <v>2746</v>
      </c>
      <c r="E123" s="2855">
        <v>0.1</v>
      </c>
      <c r="F123" s="2855">
        <v>15</v>
      </c>
    </row>
    <row r="124" spans="1:6" ht="24">
      <c r="A124" s="2855">
        <v>50</v>
      </c>
      <c r="B124" s="3477" t="s">
        <v>2747</v>
      </c>
      <c r="C124" s="2855" t="s">
        <v>2748</v>
      </c>
      <c r="D124" s="2829" t="s">
        <v>2749</v>
      </c>
      <c r="E124" s="2855">
        <v>0.1</v>
      </c>
      <c r="F124" s="2855">
        <v>15</v>
      </c>
    </row>
    <row r="125" spans="1:6" ht="24">
      <c r="A125" s="2855">
        <v>51</v>
      </c>
      <c r="B125" s="3477"/>
      <c r="C125" s="2855" t="s">
        <v>2750</v>
      </c>
      <c r="D125" s="2829" t="s">
        <v>2751</v>
      </c>
      <c r="E125" s="2855">
        <v>0.1</v>
      </c>
      <c r="F125" s="2855">
        <v>15</v>
      </c>
    </row>
    <row r="126" spans="1:6" ht="24">
      <c r="A126" s="2855">
        <v>52</v>
      </c>
      <c r="B126" s="3477" t="s">
        <v>2752</v>
      </c>
      <c r="C126" s="2855" t="s">
        <v>2753</v>
      </c>
      <c r="D126" s="2829" t="s">
        <v>2754</v>
      </c>
      <c r="E126" s="2855">
        <v>0.1</v>
      </c>
      <c r="F126" s="2855">
        <v>15</v>
      </c>
    </row>
    <row r="127" spans="1:6" ht="24">
      <c r="A127" s="2855">
        <v>53</v>
      </c>
      <c r="B127" s="3477"/>
      <c r="C127" s="2855" t="s">
        <v>2755</v>
      </c>
      <c r="D127" s="2829" t="s">
        <v>2756</v>
      </c>
      <c r="E127" s="2855">
        <v>0.1</v>
      </c>
      <c r="F127" s="2855">
        <v>15</v>
      </c>
    </row>
    <row r="128" spans="1:6" ht="24">
      <c r="A128" s="2855">
        <v>54</v>
      </c>
      <c r="B128" s="2855" t="s">
        <v>2757</v>
      </c>
      <c r="C128" s="2855" t="s">
        <v>2758</v>
      </c>
      <c r="D128" s="2829" t="s">
        <v>2759</v>
      </c>
      <c r="E128" s="2855">
        <v>0.1</v>
      </c>
      <c r="F128" s="2855">
        <v>15</v>
      </c>
    </row>
    <row r="129" spans="1:6" ht="24">
      <c r="A129" s="2855">
        <v>55</v>
      </c>
      <c r="B129" s="3477" t="s">
        <v>2760</v>
      </c>
      <c r="C129" s="2855" t="s">
        <v>2761</v>
      </c>
      <c r="D129" s="2829" t="s">
        <v>2762</v>
      </c>
      <c r="E129" s="2855">
        <v>0.1</v>
      </c>
      <c r="F129" s="2855">
        <v>15</v>
      </c>
    </row>
    <row r="130" spans="1:6" ht="24">
      <c r="A130" s="2855">
        <v>56</v>
      </c>
      <c r="B130" s="3477"/>
      <c r="C130" s="2855" t="s">
        <v>2763</v>
      </c>
      <c r="D130" s="2829" t="s">
        <v>2764</v>
      </c>
      <c r="E130" s="2855">
        <v>0.1</v>
      </c>
      <c r="F130" s="2855">
        <v>15</v>
      </c>
    </row>
    <row r="131" spans="1:6" ht="24">
      <c r="A131" s="2855">
        <v>57</v>
      </c>
      <c r="B131" s="3477"/>
      <c r="C131" s="2855" t="s">
        <v>2765</v>
      </c>
      <c r="D131" s="2829" t="s">
        <v>2766</v>
      </c>
      <c r="E131" s="2855">
        <v>0.1</v>
      </c>
      <c r="F131" s="2855">
        <v>15</v>
      </c>
    </row>
    <row r="132" spans="1:6" ht="24">
      <c r="A132" s="2855">
        <v>58</v>
      </c>
      <c r="B132" s="3477" t="s">
        <v>2767</v>
      </c>
      <c r="C132" s="2855" t="s">
        <v>2768</v>
      </c>
      <c r="D132" s="2829" t="s">
        <v>2769</v>
      </c>
      <c r="E132" s="2855">
        <v>0.1</v>
      </c>
      <c r="F132" s="2855">
        <v>15</v>
      </c>
    </row>
    <row r="133" spans="1:6" ht="24">
      <c r="A133" s="2855">
        <v>59</v>
      </c>
      <c r="B133" s="3477"/>
      <c r="C133" s="2855" t="s">
        <v>2770</v>
      </c>
      <c r="D133" s="2829" t="s">
        <v>2771</v>
      </c>
      <c r="E133" s="2855">
        <v>0.1</v>
      </c>
      <c r="F133" s="2855">
        <v>15</v>
      </c>
    </row>
    <row r="134" spans="1:6" ht="24">
      <c r="A134" s="2855">
        <v>60</v>
      </c>
      <c r="B134" s="3478" t="s">
        <v>2772</v>
      </c>
      <c r="C134" s="2855" t="s">
        <v>2773</v>
      </c>
      <c r="D134" s="2829" t="s">
        <v>2774</v>
      </c>
      <c r="E134" s="2855">
        <v>0.1</v>
      </c>
      <c r="F134" s="2855">
        <v>15</v>
      </c>
    </row>
    <row r="135" spans="1:6" ht="24">
      <c r="A135" s="2855">
        <v>61</v>
      </c>
      <c r="B135" s="3479"/>
      <c r="C135" s="2855" t="s">
        <v>2775</v>
      </c>
      <c r="D135" s="2829" t="s">
        <v>2776</v>
      </c>
      <c r="E135" s="2855">
        <v>0.1</v>
      </c>
      <c r="F135" s="2855">
        <v>15</v>
      </c>
    </row>
    <row r="136" spans="1:6" ht="24">
      <c r="A136" s="2855">
        <v>62</v>
      </c>
      <c r="B136" s="2855" t="s">
        <v>2777</v>
      </c>
      <c r="C136" s="2855" t="s">
        <v>2778</v>
      </c>
      <c r="D136" s="2829" t="s">
        <v>2779</v>
      </c>
      <c r="E136" s="2855">
        <v>0.1</v>
      </c>
      <c r="F136" s="2855">
        <v>15</v>
      </c>
    </row>
    <row r="137" spans="1:6" ht="24">
      <c r="A137" s="2855">
        <v>63</v>
      </c>
      <c r="B137" s="3477" t="s">
        <v>2780</v>
      </c>
      <c r="C137" s="2855" t="s">
        <v>2781</v>
      </c>
      <c r="D137" s="2829" t="s">
        <v>2782</v>
      </c>
      <c r="E137" s="2855">
        <v>0.1</v>
      </c>
      <c r="F137" s="2855">
        <v>15</v>
      </c>
    </row>
    <row r="138" spans="1:6" ht="24">
      <c r="A138" s="2855">
        <v>64</v>
      </c>
      <c r="B138" s="3477"/>
      <c r="C138" s="2855" t="s">
        <v>2783</v>
      </c>
      <c r="D138" s="2829" t="s">
        <v>2784</v>
      </c>
      <c r="E138" s="2855">
        <v>0.1</v>
      </c>
      <c r="F138" s="2855">
        <v>15</v>
      </c>
    </row>
    <row r="139" spans="1:6" ht="24">
      <c r="A139" s="2855">
        <v>65</v>
      </c>
      <c r="B139" s="2855" t="s">
        <v>2785</v>
      </c>
      <c r="C139" s="2855" t="s">
        <v>2786</v>
      </c>
      <c r="D139" s="2829" t="s">
        <v>2787</v>
      </c>
      <c r="E139" s="2855">
        <v>0.1</v>
      </c>
      <c r="F139" s="2855">
        <v>15</v>
      </c>
    </row>
    <row r="140" spans="1:6" ht="14.4">
      <c r="A140" s="2855"/>
      <c r="B140" s="2855"/>
      <c r="C140" s="2855"/>
      <c r="D140" s="2855"/>
      <c r="E140" s="2855" t="s">
        <v>2788</v>
      </c>
      <c r="F140" s="2855"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2789</v>
      </c>
      <c r="B1" s="2863"/>
      <c r="C1" s="2863"/>
      <c r="D1" s="2863"/>
      <c r="E1" s="2863"/>
      <c r="F1" s="2863"/>
      <c r="G1" s="2863"/>
      <c r="H1" s="2863"/>
      <c r="I1" s="2863"/>
      <c r="J1" s="2863"/>
      <c r="K1" s="2863"/>
      <c r="L1" s="2863"/>
      <c r="M1" s="2863"/>
      <c r="N1" s="706"/>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SUMPRODUCT((A95:A184=ROUNDDOWN(基准地价修正!G3,1))*(B94:M94=基准地价修正!G2)*(B95:M184))</f>
        <v>0.89739999999999998</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SUMPRODUCT((A371:A460=ROUNDDOWN(基准地价修正!G3,1))*(B370:M370=基准地价修正!G2)*(B371:M460))</f>
        <v>0.85</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30064</v>
      </c>
      <c r="C2" s="2" t="s">
        <v>106</v>
      </c>
      <c r="D2" s="190"/>
      <c r="E2" s="190"/>
      <c r="F2" s="190"/>
      <c r="G2" s="190"/>
    </row>
    <row r="3" spans="1:7" s="191" customFormat="1" ht="18" customHeight="1" thickBot="1">
      <c r="A3" s="194" t="s">
        <v>58</v>
      </c>
      <c r="B3" s="195">
        <f ca="1">ROUND(B2*10000/'数据-汇总表'!E3,0)</f>
        <v>1535523</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4</v>
      </c>
      <c r="D10" s="794">
        <f>'数据-汇总表'!E6</f>
        <v>195.79</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v>
      </c>
      <c r="D19" s="203">
        <f>'数据-汇总表'!E3</f>
        <v>195.79</v>
      </c>
      <c r="E19" s="202">
        <f>'数据-取费表'!B31</f>
        <v>200</v>
      </c>
      <c r="F19" s="222"/>
      <c r="G19" s="1" t="s">
        <v>436</v>
      </c>
    </row>
    <row r="20" spans="1:7" s="205" customFormat="1" ht="13.5" customHeight="1">
      <c r="A20" s="730" t="s">
        <v>419</v>
      </c>
      <c r="B20" s="201" t="s">
        <v>77</v>
      </c>
      <c r="C20" s="223">
        <f>ROUND((C5+C19)*F20,0)</f>
        <v>618</v>
      </c>
      <c r="D20" s="223"/>
      <c r="E20" s="223"/>
      <c r="F20" s="224">
        <f>'数据-取费表'!B37</f>
        <v>0.03</v>
      </c>
      <c r="G20" s="1003" t="s">
        <v>430</v>
      </c>
    </row>
    <row r="21" spans="1:7" s="205" customFormat="1" ht="13.5" customHeight="1">
      <c r="A21" s="730" t="s">
        <v>421</v>
      </c>
      <c r="B21" s="201" t="s">
        <v>78</v>
      </c>
      <c r="C21" s="226">
        <f>F21</f>
        <v>2.5000000000000001E-2</v>
      </c>
      <c r="D21" s="227" t="s">
        <v>99</v>
      </c>
      <c r="E21" s="223"/>
      <c r="F21" s="224">
        <f>'数据-取费表'!B38</f>
        <v>2.5000000000000001E-2</v>
      </c>
      <c r="G21" s="225" t="s">
        <v>79</v>
      </c>
    </row>
    <row r="22" spans="1:7" s="205" customFormat="1" ht="13.5" customHeight="1">
      <c r="A22" s="730" t="s">
        <v>341</v>
      </c>
      <c r="B22" s="201" t="s">
        <v>80</v>
      </c>
      <c r="C22" s="1040">
        <f ca="1">ROUND(SUM(C23:C25),0)</f>
        <v>1939</v>
      </c>
      <c r="D22" s="226">
        <f ca="1">C26</f>
        <v>1.1000000000000001E-3</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1911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28</v>
      </c>
      <c r="D25" s="229"/>
      <c r="E25" s="232"/>
      <c r="F25" s="230"/>
      <c r="G25" s="233" t="s">
        <v>83</v>
      </c>
    </row>
    <row r="26" spans="1:7" s="205" customFormat="1">
      <c r="A26" s="733" t="s">
        <v>350</v>
      </c>
      <c r="B26" s="206" t="s">
        <v>422</v>
      </c>
      <c r="C26" s="229">
        <f ca="1">ROUND(IF('数据-取费表'!B22&lt;=1,F21*F22*'数据-取费表'!B23/2,F21*(POWER((1+F22),'数据-取费表'!B23/2)-1)),4)</f>
        <v>1.1000000000000001E-3</v>
      </c>
      <c r="D26" s="229"/>
      <c r="E26" s="232"/>
      <c r="F26" s="230"/>
      <c r="G26" s="234"/>
    </row>
    <row r="27" spans="1:7" s="205" customFormat="1" ht="26.4">
      <c r="A27" s="730" t="s">
        <v>342</v>
      </c>
      <c r="B27" s="235" t="s">
        <v>85</v>
      </c>
      <c r="C27" s="236">
        <f>C28</f>
        <v>4246</v>
      </c>
      <c r="D27" s="226">
        <f>C29</f>
        <v>5.0000000000000001E-3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4246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29945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108</v>
      </c>
      <c r="D34" s="208"/>
      <c r="E34" s="211"/>
      <c r="F34" s="248">
        <f>IF('数据-取费表'!B24=0,1,'数据-取费表'!N16)</f>
        <v>1</v>
      </c>
      <c r="G34" s="210" t="s">
        <v>89</v>
      </c>
    </row>
    <row r="35" spans="1:7" ht="13.5" customHeight="1">
      <c r="A35" s="733" t="s">
        <v>351</v>
      </c>
      <c r="B35" s="206" t="s">
        <v>33</v>
      </c>
      <c r="C35" s="211">
        <f>ROUND(C34*F35,0)</f>
        <v>9</v>
      </c>
      <c r="D35" s="211"/>
      <c r="E35" s="211"/>
      <c r="F35" s="250">
        <f>'数据-取费表'!B33</f>
        <v>0.08</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v>
      </c>
      <c r="D37" s="208">
        <f>'数据-汇总表'!E3</f>
        <v>195.79</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4</v>
      </c>
      <c r="D39" s="223"/>
      <c r="E39" s="223"/>
      <c r="F39" s="224"/>
      <c r="G39" s="1003" t="s">
        <v>433</v>
      </c>
    </row>
    <row r="40" spans="1:7" s="205" customFormat="1" ht="13.5" customHeight="1">
      <c r="A40" s="730" t="s">
        <v>339</v>
      </c>
      <c r="B40" s="201" t="s">
        <v>78</v>
      </c>
      <c r="C40" s="253">
        <f>F21</f>
        <v>2.5000000000000001E-2</v>
      </c>
      <c r="D40" s="227" t="s">
        <v>102</v>
      </c>
      <c r="E40" s="223"/>
      <c r="F40" s="224"/>
      <c r="G40" s="225" t="s">
        <v>93</v>
      </c>
    </row>
    <row r="41" spans="1:7" s="205" customFormat="1" ht="13.5" customHeight="1">
      <c r="A41" s="730" t="s">
        <v>340</v>
      </c>
      <c r="B41" s="201" t="s">
        <v>80</v>
      </c>
      <c r="C41" s="223">
        <f ca="1">ROUND(SUM(C42:C43),0)</f>
        <v>6</v>
      </c>
      <c r="D41" s="226">
        <f ca="1">C44</f>
        <v>1.1000000000000001E-3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6</v>
      </c>
      <c r="D42" s="229"/>
      <c r="E42" s="229"/>
      <c r="F42" s="230"/>
      <c r="G42" s="3354" t="s">
        <v>94</v>
      </c>
    </row>
    <row r="43" spans="1:7" ht="13.5" customHeight="1">
      <c r="A43" s="733" t="s">
        <v>347</v>
      </c>
      <c r="B43" s="206" t="s">
        <v>426</v>
      </c>
      <c r="C43" s="229">
        <f ca="1">ROUND(IF('数据-取费表'!B22&lt;=1,C39*F22*'数据-取费表'!B21/2,C39*(POWER((1+F22),'数据-取费表'!B21/2)-1)),0)</f>
        <v>0</v>
      </c>
      <c r="D43" s="229"/>
      <c r="E43" s="229"/>
      <c r="F43" s="230"/>
      <c r="G43" s="3355"/>
    </row>
    <row r="44" spans="1:7" ht="13.5" customHeight="1">
      <c r="A44" s="733" t="s">
        <v>348</v>
      </c>
      <c r="B44" s="206" t="s">
        <v>428</v>
      </c>
      <c r="C44" s="229">
        <f ca="1">ROUND(IF('数据-取费表'!B22&lt;=1,C40*F22*'数据-取费表'!B21/2,C40*(POWER((1+F22),'数据-取费表'!B21/2)-1)),4)</f>
        <v>1.1000000000000001E-3</v>
      </c>
      <c r="D44" s="229"/>
      <c r="E44" s="229"/>
      <c r="F44" s="230"/>
      <c r="G44" s="3356"/>
    </row>
    <row r="45" spans="1:7" s="205" customFormat="1" ht="13.5" customHeight="1">
      <c r="A45" s="730" t="s">
        <v>341</v>
      </c>
      <c r="B45" s="235" t="s">
        <v>85</v>
      </c>
      <c r="C45" s="236">
        <f>C46</f>
        <v>25</v>
      </c>
      <c r="D45" s="226">
        <f>C47</f>
        <v>5.0000000000000001E-3</v>
      </c>
      <c r="E45" s="227" t="s">
        <v>102</v>
      </c>
      <c r="F45" s="237"/>
      <c r="G45" s="238" t="s">
        <v>434</v>
      </c>
    </row>
    <row r="46" spans="1:7" s="205" customFormat="1" ht="13.5" customHeight="1">
      <c r="A46" s="733" t="s">
        <v>349</v>
      </c>
      <c r="B46" s="239" t="s">
        <v>427</v>
      </c>
      <c r="C46" s="240">
        <f>ROUND((C33+C39)*F27,0)</f>
        <v>25</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173</v>
      </c>
      <c r="D49" s="223"/>
      <c r="E49" s="223"/>
      <c r="F49" s="255"/>
      <c r="G49" s="225" t="s">
        <v>435</v>
      </c>
    </row>
    <row r="50" spans="1:7" s="249" customFormat="1" ht="24">
      <c r="A50" s="730" t="s">
        <v>344</v>
      </c>
      <c r="B50" s="201" t="s">
        <v>97</v>
      </c>
      <c r="C50" s="223"/>
      <c r="D50" s="223"/>
      <c r="E50" s="223"/>
      <c r="F50" s="255">
        <f>IF('数据-取费表'!B24=0,'数据-取费表'!N16,1)</f>
        <v>0.69</v>
      </c>
      <c r="G50" s="238" t="s">
        <v>98</v>
      </c>
    </row>
    <row r="51" spans="1:7" ht="16.5" customHeight="1">
      <c r="A51" s="730" t="s">
        <v>345</v>
      </c>
      <c r="B51" s="201" t="s">
        <v>105</v>
      </c>
      <c r="C51" s="223">
        <f ca="1">ROUND(C49*F50,0)</f>
        <v>119</v>
      </c>
      <c r="D51" s="223"/>
      <c r="E51" s="223"/>
      <c r="F51" s="255"/>
      <c r="G51" s="225" t="s">
        <v>37</v>
      </c>
    </row>
    <row r="52" spans="1:7" s="199" customFormat="1" ht="16.8" thickBot="1">
      <c r="A52" s="256" t="s">
        <v>38</v>
      </c>
      <c r="B52" s="257"/>
      <c r="C52" s="258">
        <f ca="1">C31+C51</f>
        <v>30064</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0"/>
      <c r="B4" s="3174" t="s">
        <v>917</v>
      </c>
      <c r="C4" s="3174"/>
      <c r="D4" s="3174"/>
      <c r="E4" s="1390"/>
    </row>
    <row r="5" spans="1:5" ht="16.2" thickTop="1">
      <c r="B5" s="3172" t="s">
        <v>909</v>
      </c>
      <c r="C5" s="1391" t="s">
        <v>910</v>
      </c>
      <c r="D5" s="796">
        <f ca="1">结果表!H101</f>
        <v>648</v>
      </c>
    </row>
    <row r="6" spans="1:5" ht="15.6">
      <c r="B6" s="3172"/>
      <c r="C6" s="1391" t="s">
        <v>911</v>
      </c>
      <c r="D6" s="796" t="str">
        <f ca="1">NUMBERSTRING(INT(D5*10000),2)&amp;"元整"</f>
        <v>陆佰肆拾捌万元整</v>
      </c>
    </row>
    <row r="7" spans="1:5" ht="15.6">
      <c r="B7" s="3177"/>
      <c r="C7" s="1392" t="s">
        <v>912</v>
      </c>
      <c r="D7" s="797">
        <f ca="1">结果表!H102</f>
        <v>33097</v>
      </c>
    </row>
    <row r="8" spans="1:5" ht="15.6">
      <c r="B8" s="3178" t="str">
        <f>结果表!E103</f>
        <v>2.估价师知悉的法定优先受偿款</v>
      </c>
      <c r="C8" s="1393" t="s">
        <v>913</v>
      </c>
      <c r="D8" s="797">
        <f>结果表!H103</f>
        <v>0</v>
      </c>
    </row>
    <row r="9" spans="1:5" ht="15.6">
      <c r="B9" s="3180"/>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1" t="str">
        <f>结果表!E107</f>
        <v>3.房地产抵押价值</v>
      </c>
      <c r="C13" s="1396" t="s">
        <v>910</v>
      </c>
      <c r="D13" s="799">
        <f ca="1">结果表!H107</f>
        <v>648</v>
      </c>
    </row>
    <row r="14" spans="1:5" ht="15.6">
      <c r="B14" s="3172"/>
      <c r="C14" s="1391" t="s">
        <v>911</v>
      </c>
      <c r="D14" s="796" t="str">
        <f ca="1">NUMBERSTRING(INT(D13*10000),2)&amp;"元整"</f>
        <v>陆佰肆拾捌万元整</v>
      </c>
    </row>
    <row r="15" spans="1:5" ht="15.6">
      <c r="B15" s="3177"/>
      <c r="C15" s="1392" t="s">
        <v>921</v>
      </c>
      <c r="D15" s="805">
        <f ca="1">结果表!H108</f>
        <v>33097</v>
      </c>
    </row>
    <row r="16" spans="1:5" ht="15.6">
      <c r="B16" s="3178" t="str">
        <f>结果表!E109</f>
        <v>——</v>
      </c>
      <c r="C16" s="1396" t="s">
        <v>922</v>
      </c>
      <c r="D16" s="1397" t="str">
        <f>结果表!H109</f>
        <v>——</v>
      </c>
    </row>
    <row r="17" spans="1:5" ht="15.6">
      <c r="B17" s="3179"/>
      <c r="C17" s="1391" t="s">
        <v>923</v>
      </c>
      <c r="D17" s="796" t="e">
        <f>NUMBERSTRING(INT(D16*10000),2)&amp;"元整"</f>
        <v>#VALUE!</v>
      </c>
    </row>
    <row r="18" spans="1:5" ht="15.6">
      <c r="B18" s="3180"/>
      <c r="C18" s="1392" t="s">
        <v>912</v>
      </c>
      <c r="D18" s="805" t="str">
        <f>结果表!H110</f>
        <v>——</v>
      </c>
    </row>
    <row r="19" spans="1:5" ht="15.6">
      <c r="B19" s="3171" t="str">
        <f>结果表!E111</f>
        <v>——</v>
      </c>
      <c r="C19" s="1396" t="s">
        <v>910</v>
      </c>
      <c r="D19" s="797" t="str">
        <f>结果表!H111</f>
        <v>——</v>
      </c>
    </row>
    <row r="20" spans="1:5" ht="15.6">
      <c r="B20" s="3172"/>
      <c r="C20" s="1391" t="s">
        <v>923</v>
      </c>
      <c r="D20" s="796" t="e">
        <f>NUMBERSTRING(INT(D19*10000),2)&amp;"元整"</f>
        <v>#VALUE!</v>
      </c>
    </row>
    <row r="21" spans="1:5" ht="16.2" thickBot="1">
      <c r="B21" s="3173"/>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3172</v>
      </c>
      <c r="B1" s="3491"/>
    </row>
    <row r="2" spans="1:7" ht="15" thickBot="1">
      <c r="A2" s="2966"/>
      <c r="B2" s="2966"/>
    </row>
    <row r="3" spans="1:7" ht="15" thickBot="1">
      <c r="A3" s="2966"/>
      <c r="B3" s="2966"/>
      <c r="C3" s="2967" t="s">
        <v>2802</v>
      </c>
      <c r="D3" s="2967" t="s">
        <v>2858</v>
      </c>
      <c r="E3" s="2967" t="s">
        <v>2804</v>
      </c>
      <c r="F3" s="2967" t="s">
        <v>2859</v>
      </c>
      <c r="G3" s="2967" t="s">
        <v>2622</v>
      </c>
    </row>
    <row r="4" spans="1:7" ht="1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2" t="s">
        <v>3223</v>
      </c>
      <c r="B1" s="3492"/>
      <c r="C1" s="3492"/>
      <c r="D1" s="3492"/>
      <c r="E1" s="3492"/>
      <c r="F1" s="3493"/>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20" sqref="F20"/>
    </sheetView>
  </sheetViews>
  <sheetFormatPr defaultRowHeight="14.4"/>
  <cols>
    <col min="1" max="1" width="13.88671875" customWidth="1"/>
    <col min="11" max="17" width="0" hidden="1" customWidth="1"/>
    <col min="25" max="30" width="0" hidden="1" customWidth="1"/>
  </cols>
  <sheetData>
    <row r="1" spans="1:44">
      <c r="A1" s="2935">
        <f>基准地价修正!G23</f>
        <v>45877</v>
      </c>
      <c r="B1" s="2927" t="s">
        <v>3369</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44" s="2009" customFormat="1" ht="15" thickBot="1">
      <c r="B2" s="2879"/>
      <c r="C2" s="2880"/>
      <c r="D2" s="2010" t="s">
        <v>2801</v>
      </c>
      <c r="E2" s="2011" t="s">
        <v>2802</v>
      </c>
      <c r="F2" s="2011" t="s">
        <v>2803</v>
      </c>
      <c r="G2" s="2011" t="s">
        <v>2804</v>
      </c>
      <c r="H2" s="2011" t="s">
        <v>2805</v>
      </c>
      <c r="I2" s="2011" t="s">
        <v>2622</v>
      </c>
      <c r="J2" s="2881"/>
      <c r="K2" s="2010" t="s">
        <v>2801</v>
      </c>
      <c r="L2" s="2011" t="s">
        <v>2802</v>
      </c>
      <c r="M2" s="2011" t="s">
        <v>2803</v>
      </c>
      <c r="N2" s="2011" t="s">
        <v>2804</v>
      </c>
      <c r="O2" s="2011" t="s">
        <v>2806</v>
      </c>
      <c r="P2" s="2011" t="s">
        <v>2622</v>
      </c>
      <c r="Q2" s="2881"/>
      <c r="R2" s="2010" t="s">
        <v>2801</v>
      </c>
      <c r="S2" s="2011" t="s">
        <v>2802</v>
      </c>
      <c r="T2" s="2011" t="s">
        <v>2803</v>
      </c>
      <c r="U2" s="2011" t="s">
        <v>2807</v>
      </c>
      <c r="V2" s="2011" t="s">
        <v>2808</v>
      </c>
      <c r="W2" s="2011" t="s">
        <v>2622</v>
      </c>
      <c r="X2" s="2881"/>
      <c r="Y2" s="2010" t="s">
        <v>2801</v>
      </c>
      <c r="Z2" s="2011" t="s">
        <v>2802</v>
      </c>
      <c r="AA2" s="2011" t="s">
        <v>2803</v>
      </c>
      <c r="AB2" s="2011" t="s">
        <v>2809</v>
      </c>
      <c r="AC2" s="2011" t="s">
        <v>2808</v>
      </c>
      <c r="AD2" s="2011" t="s">
        <v>2622</v>
      </c>
      <c r="AF2" t="s">
        <v>3396</v>
      </c>
      <c r="AG2" t="s">
        <v>673</v>
      </c>
      <c r="AH2" t="s">
        <v>21</v>
      </c>
      <c r="AI2" t="s">
        <v>3397</v>
      </c>
      <c r="AJ2" t="s">
        <v>3</v>
      </c>
      <c r="AK2" t="s">
        <v>3398</v>
      </c>
      <c r="AM2" t="s">
        <v>3396</v>
      </c>
      <c r="AN2" t="s">
        <v>673</v>
      </c>
      <c r="AO2" t="s">
        <v>21</v>
      </c>
      <c r="AP2" t="s">
        <v>3397</v>
      </c>
      <c r="AQ2" t="s">
        <v>3</v>
      </c>
      <c r="AR2" t="s">
        <v>3398</v>
      </c>
    </row>
    <row r="3" spans="1:44" s="2884" customFormat="1" ht="13.2">
      <c r="A3" s="2882" t="s">
        <v>2810</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3395</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3394</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3393</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3401</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3400</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3373</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3367</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3366</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3362</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3361</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3359</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3358</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3357</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3355</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3346</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2811</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2812</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2813</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2814</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2815</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3372</v>
      </c>
    </row>
    <row r="27" spans="1:44">
      <c r="I27" s="1404" t="s">
        <v>2816</v>
      </c>
    </row>
    <row r="29" spans="1:44" s="2008" customFormat="1" ht="13.2">
      <c r="B29" s="2927" t="s">
        <v>3370</v>
      </c>
      <c r="C29" s="2928"/>
      <c r="D29" s="2928"/>
      <c r="E29" s="2928"/>
      <c r="F29" s="2928"/>
      <c r="G29" s="2928"/>
      <c r="H29" s="2928"/>
      <c r="I29" s="2928"/>
      <c r="J29" s="2894"/>
      <c r="K29" s="2928" t="s">
        <v>2817</v>
      </c>
      <c r="L29" s="2928"/>
      <c r="M29" s="2928"/>
      <c r="N29" s="2928"/>
      <c r="O29" s="2928"/>
      <c r="P29" s="2928"/>
      <c r="Q29" s="2894"/>
      <c r="R29" s="3494" t="s">
        <v>2818</v>
      </c>
      <c r="S29" s="3495"/>
      <c r="T29" s="3495"/>
      <c r="U29" s="3495"/>
      <c r="V29" s="3495"/>
      <c r="W29" s="3495"/>
      <c r="X29" s="2894"/>
      <c r="Y29" s="3494" t="s">
        <v>2819</v>
      </c>
      <c r="Z29" s="3495"/>
      <c r="AA29" s="3495"/>
      <c r="AB29" s="3495"/>
      <c r="AC29" s="3495"/>
      <c r="AD29" s="3495"/>
    </row>
    <row r="30" spans="1:44" s="2009" customFormat="1" ht="15" thickBot="1">
      <c r="B30" s="2879"/>
      <c r="C30" s="2880"/>
      <c r="D30" s="2010" t="s">
        <v>2820</v>
      </c>
      <c r="E30" s="2011" t="s">
        <v>2821</v>
      </c>
      <c r="F30" s="2011" t="s">
        <v>2822</v>
      </c>
      <c r="G30" s="2011" t="s">
        <v>2823</v>
      </c>
      <c r="H30" s="2011"/>
      <c r="I30" s="2011" t="s">
        <v>2824</v>
      </c>
      <c r="J30" s="2881"/>
      <c r="K30" s="2010" t="s">
        <v>2820</v>
      </c>
      <c r="L30" s="2011" t="s">
        <v>2821</v>
      </c>
      <c r="M30" s="2011" t="s">
        <v>2822</v>
      </c>
      <c r="N30" s="2011" t="s">
        <v>2823</v>
      </c>
      <c r="O30" s="2011"/>
      <c r="P30" s="2011" t="s">
        <v>2824</v>
      </c>
      <c r="Q30" s="2881"/>
      <c r="R30" s="2010" t="s">
        <v>2820</v>
      </c>
      <c r="S30" s="2011" t="s">
        <v>2821</v>
      </c>
      <c r="T30" s="2011" t="s">
        <v>2822</v>
      </c>
      <c r="U30" s="2011" t="s">
        <v>2823</v>
      </c>
      <c r="V30" s="2011"/>
      <c r="W30" s="2011" t="s">
        <v>2824</v>
      </c>
      <c r="X30" s="2881"/>
      <c r="Y30" s="2010" t="s">
        <v>2820</v>
      </c>
      <c r="Z30" s="2011" t="s">
        <v>2821</v>
      </c>
      <c r="AA30" s="2011" t="s">
        <v>2822</v>
      </c>
      <c r="AB30" s="2011" t="s">
        <v>2823</v>
      </c>
      <c r="AC30" s="2011"/>
      <c r="AD30" s="2011" t="s">
        <v>2824</v>
      </c>
      <c r="AG30" t="s">
        <v>673</v>
      </c>
      <c r="AH30" t="s">
        <v>21</v>
      </c>
      <c r="AI30" t="s">
        <v>3397</v>
      </c>
      <c r="AJ30"/>
      <c r="AK30" t="s">
        <v>3398</v>
      </c>
      <c r="AN30" t="s">
        <v>673</v>
      </c>
      <c r="AO30" t="s">
        <v>21</v>
      </c>
      <c r="AP30" t="s">
        <v>3397</v>
      </c>
      <c r="AQ30"/>
      <c r="AR30" t="s">
        <v>3398</v>
      </c>
    </row>
    <row r="31" spans="1:44" s="2884" customFormat="1" ht="13.2">
      <c r="A31" s="2882" t="s">
        <v>2825</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3395</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3394</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3402</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3399</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3400</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3364</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3368</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3365</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3363</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3361</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3360</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3358</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3357</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3356</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3346</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2826</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2827</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2828</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2829</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2815</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2830</v>
      </c>
      <c r="B1" s="3507"/>
      <c r="C1" s="3507"/>
      <c r="D1" s="3507"/>
      <c r="E1" s="3507"/>
      <c r="F1" s="3507"/>
      <c r="G1" s="3508"/>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1.4"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505"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1.4" thickBot="1">
      <c r="A4" s="3506"/>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1.4"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1.4"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1.4"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1.4"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45877</v>
      </c>
      <c r="D1" s="1216" t="s">
        <v>603</v>
      </c>
      <c r="E1" s="1211">
        <f>'数据-取费表'!B22</f>
        <v>3</v>
      </c>
      <c r="F1" s="1216" t="s">
        <v>604</v>
      </c>
      <c r="G1" s="1212">
        <f ca="1">INDIRECT("d"&amp;$K$1)/100</f>
        <v>0.03</v>
      </c>
      <c r="H1" s="1216" t="s">
        <v>634</v>
      </c>
      <c r="I1" s="1212">
        <f ca="1">F4/100</f>
        <v>1.4999999999999999E-2</v>
      </c>
      <c r="J1" s="1217">
        <f>IF(C1&gt;C13,0,MATCH(C1,C$13:C$115,-1))+IF(SUMIF(C13:C115,C1,D13:D115)=0,13,12)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84"/>
      <c r="B3" s="3184"/>
      <c r="C3" s="3184"/>
      <c r="D3" s="800" t="s">
        <v>925</v>
      </c>
      <c r="E3" s="800" t="s">
        <v>931</v>
      </c>
      <c r="F3" s="800" t="s">
        <v>925</v>
      </c>
      <c r="G3" s="800" t="s">
        <v>926</v>
      </c>
      <c r="H3" s="800" t="s">
        <v>925</v>
      </c>
      <c r="I3" s="800" t="s">
        <v>926</v>
      </c>
    </row>
    <row r="4" spans="1:9" ht="30">
      <c r="A4" s="1402" t="str">
        <f>项目基本情况!S2</f>
        <v>北京市朝阳区朝阳门外大街18号房地产</v>
      </c>
      <c r="B4" s="800">
        <f>项目基本情况!C17</f>
        <v>195.79</v>
      </c>
      <c r="C4" s="800">
        <f>项目基本情况!C18</f>
        <v>22.89</v>
      </c>
      <c r="D4" s="800">
        <f ca="1">结果表!D118</f>
        <v>542</v>
      </c>
      <c r="E4" s="800">
        <f ca="1">结果表!E118</f>
        <v>27702</v>
      </c>
      <c r="F4" s="800">
        <f ca="1">结果表!F118</f>
        <v>106</v>
      </c>
      <c r="G4" s="800">
        <f ca="1">结果表!G118</f>
        <v>5395</v>
      </c>
      <c r="H4" s="800">
        <f ca="1">结果表!H118</f>
        <v>648</v>
      </c>
      <c r="I4" s="800">
        <f ca="1">结果表!I118</f>
        <v>33097</v>
      </c>
    </row>
    <row r="5" spans="1:9" ht="30" customHeight="1">
      <c r="A5" s="3184" t="s">
        <v>927</v>
      </c>
      <c r="B5" s="3184"/>
      <c r="C5" s="3184"/>
      <c r="D5" s="3184" t="str">
        <f ca="1">结果表!D119</f>
        <v>伍佰肆拾贰万元整</v>
      </c>
      <c r="E5" s="3184"/>
      <c r="F5" s="3184" t="str">
        <f ca="1">结果表!F119</f>
        <v>壹佰零陆万元整</v>
      </c>
      <c r="G5" s="3184"/>
      <c r="H5" s="3184" t="str">
        <f ca="1">结果表!H119</f>
        <v>陆佰肆拾捌万元整</v>
      </c>
      <c r="I5" s="3184"/>
    </row>
    <row r="6" spans="1:9" ht="15.6">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6">
      <c r="A8" s="3183" t="str">
        <f>结果表!A122</f>
        <v>房地产抵押价值</v>
      </c>
      <c r="B8" s="3183"/>
      <c r="C8" s="3183"/>
      <c r="D8" s="3183">
        <f ca="1">结果表!D122</f>
        <v>648</v>
      </c>
      <c r="E8" s="3183"/>
      <c r="F8" s="3183"/>
      <c r="G8" s="3183"/>
      <c r="H8" s="3183"/>
      <c r="I8" s="3183"/>
    </row>
    <row r="9" spans="1:9" ht="15">
      <c r="A9" s="3184" t="s">
        <v>927</v>
      </c>
      <c r="B9" s="3184"/>
      <c r="C9" s="3184"/>
      <c r="D9" s="3184" t="str">
        <f ca="1">结果表!D123</f>
        <v>陆佰肆拾捌万元整</v>
      </c>
      <c r="E9" s="3184"/>
      <c r="F9" s="3184"/>
      <c r="G9" s="3184"/>
      <c r="H9" s="3184"/>
      <c r="I9" s="3184"/>
    </row>
    <row r="10" spans="1:9" ht="15.6">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6">
      <c r="A12" s="3183" t="str">
        <f>结果表!A126</f>
        <v/>
      </c>
      <c r="B12" s="3183"/>
      <c r="C12" s="3183"/>
      <c r="D12" s="3183" t="str">
        <f>结果表!D126</f>
        <v>——</v>
      </c>
      <c r="E12" s="3183"/>
      <c r="F12" s="3183"/>
      <c r="G12" s="3183"/>
      <c r="H12" s="3183"/>
      <c r="I12" s="3183"/>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6" t="s">
        <v>949</v>
      </c>
      <c r="B1" s="3196"/>
      <c r="C1" s="3196"/>
      <c r="D1" s="3196"/>
    </row>
    <row r="2" spans="1:4" ht="17.399999999999999">
      <c r="A2" s="3197" t="s">
        <v>933</v>
      </c>
      <c r="B2" s="3197"/>
      <c r="C2" s="3197"/>
      <c r="D2" s="3197"/>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197" t="s">
        <v>939</v>
      </c>
      <c r="B6" s="3197"/>
      <c r="C6" s="3197"/>
      <c r="D6" s="319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8"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4" t="s">
        <v>956</v>
      </c>
      <c r="B15" s="3199" t="s">
        <v>109</v>
      </c>
      <c r="C15" s="3200"/>
    </row>
    <row r="16" spans="1:7" ht="14.4">
      <c r="A16" s="3205"/>
      <c r="B16" s="3199" t="s">
        <v>42</v>
      </c>
      <c r="C16" s="3200"/>
    </row>
    <row r="17" spans="1:3" ht="14.4">
      <c r="A17" s="3205"/>
      <c r="B17" s="3202" t="s">
        <v>957</v>
      </c>
      <c r="C17" s="1428" t="s">
        <v>956</v>
      </c>
    </row>
    <row r="18" spans="1:3" ht="14.4">
      <c r="A18" s="3205"/>
      <c r="B18" s="3202"/>
      <c r="C18" s="1428" t="s">
        <v>958</v>
      </c>
    </row>
    <row r="19" spans="1:3" ht="14.4">
      <c r="A19" s="3205"/>
      <c r="B19" s="3202"/>
      <c r="C19" s="1428" t="s">
        <v>959</v>
      </c>
    </row>
    <row r="20" spans="1:3" ht="14.4">
      <c r="A20" s="3206"/>
      <c r="B20" s="3201" t="s">
        <v>960</v>
      </c>
      <c r="C20" s="3200"/>
    </row>
    <row r="21" spans="1:3" ht="14.4">
      <c r="A21" s="1429" t="s">
        <v>961</v>
      </c>
      <c r="B21" s="1430"/>
      <c r="C21" s="1431"/>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8" t="s">
        <v>967</v>
      </c>
    </row>
    <row r="26" spans="1:3" ht="14.4">
      <c r="A26" s="3203"/>
      <c r="B26" s="3202"/>
      <c r="C26" s="1428" t="s">
        <v>968</v>
      </c>
    </row>
    <row r="27" spans="1:3" ht="14.4">
      <c r="A27" s="3203"/>
      <c r="B27" s="3202"/>
      <c r="C27" s="1428" t="s">
        <v>969</v>
      </c>
    </row>
    <row r="28" spans="1:3" ht="14.4">
      <c r="A28" s="3203"/>
      <c r="B28" s="3202"/>
      <c r="C28" s="1428" t="s">
        <v>970</v>
      </c>
    </row>
    <row r="29" spans="1:3" ht="14.4">
      <c r="A29" s="3203"/>
      <c r="B29" s="3202"/>
      <c r="C29" s="1428" t="s">
        <v>971</v>
      </c>
    </row>
    <row r="30" spans="1:3" ht="14.4">
      <c r="A30" s="3203"/>
      <c r="B30" s="3202"/>
      <c r="C30" s="1428" t="s">
        <v>972</v>
      </c>
    </row>
    <row r="31" spans="1:3" ht="14.4">
      <c r="A31" s="3203"/>
      <c r="B31" s="3202"/>
      <c r="C31" s="1428" t="s">
        <v>973</v>
      </c>
    </row>
    <row r="32" spans="1:3" ht="14.4">
      <c r="A32" s="3203"/>
      <c r="B32" s="3202"/>
      <c r="C32" s="1428" t="s">
        <v>974</v>
      </c>
    </row>
    <row r="33" spans="1:3" ht="14.4">
      <c r="A33" s="3203"/>
      <c r="B33" s="320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45880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59"/>
      <c r="E18" s="3209" t="s">
        <v>2162</v>
      </c>
      <c r="F18" s="3208"/>
      <c r="G18" s="320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2025-08-11T09:06:41Z</dcterms:modified>
</cp:coreProperties>
</file>