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2025\2025询价\11月\中国大院\"/>
    </mc:Choice>
  </mc:AlternateContent>
  <xr:revisionPtr revIDLastSave="0" documentId="13_ncr:1_{432FF428-2037-4570-8D2E-E877E145AC40}" xr6:coauthVersionLast="47" xr6:coauthVersionMax="47" xr10:uidLastSave="{00000000-0000-0000-0000-000000000000}"/>
  <bookViews>
    <workbookView xWindow="-120" yWindow="-120" windowWidth="21840" windowHeight="13140" tabRatio="899" firstSheet="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sheetId="80" r:id="rId8"/>
    <sheet name="使用说明" sheetId="41" state="hidden" r:id="rId9"/>
    <sheet name="估价师及机构信息" sheetId="49" state="hidden" r:id="rId10"/>
    <sheet name="定义" sheetId="10" state="hidden" r:id="rId11"/>
    <sheet name="常用公式" sheetId="78" state="hidden"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案例" sheetId="82" r:id="rId33"/>
    <sheet name="土地比较法-住宅、综合" sheetId="39" r:id="rId34"/>
    <sheet name="土地比较法-工业" sheetId="40" state="hidden" r:id="rId35"/>
    <sheet name="基准地价（汇总）" sheetId="76" state="hidden" r:id="rId36"/>
    <sheet name="典型户型修正" sheetId="31" r:id="rId37"/>
    <sheet name="基准地价修正" sheetId="43" r:id="rId38"/>
    <sheet name="别墅租金案例" sheetId="83" r:id="rId39"/>
    <sheet name="Sheet5" sheetId="84" r:id="rId40"/>
    <sheet name="sheet1 (2)" sheetId="81"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土地案例!$A$1:$AI$59</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#REF!</definedName>
    <definedName name="办公层高" localSheetId="32">#REF!</definedName>
    <definedName name="办公层高">'比较法-办公'!$B$119:$M$119</definedName>
    <definedName name="办公朝向" localSheetId="7">#REF!</definedName>
    <definedName name="办公朝向" localSheetId="32">#REF!</definedName>
    <definedName name="办公朝向">'比较法-办公'!$B$91:$M$91</definedName>
    <definedName name="办公道路级别" localSheetId="7">#REF!</definedName>
    <definedName name="办公道路级别" localSheetId="32">#REF!</definedName>
    <definedName name="办公道路级别">'比较法-办公'!$B$87:$M$87</definedName>
    <definedName name="办公公共部分装修" localSheetId="7">#REF!</definedName>
    <definedName name="办公公共部分装修" localSheetId="32">#REF!</definedName>
    <definedName name="办公公共部分装修">'比较法-办公'!$B$108:$M$108</definedName>
    <definedName name="办公基础设施水平" localSheetId="7">#REF!</definedName>
    <definedName name="办公基础设施水平" localSheetId="32">#REF!</definedName>
    <definedName name="办公基础设施水平">'比较法-办公'!$B$117:$M$117</definedName>
    <definedName name="办公集聚程度" localSheetId="7">#REF!</definedName>
    <definedName name="办公集聚程度" localSheetId="32">#REF!</definedName>
    <definedName name="办公集聚程度">定义!$M$1:$M$6</definedName>
    <definedName name="办公建筑结构" localSheetId="7">#REF!</definedName>
    <definedName name="办公建筑结构" localSheetId="32">#REF!</definedName>
    <definedName name="办公建筑结构">'比较法-办公'!$B$106:$M$106</definedName>
    <definedName name="办公建筑类型" localSheetId="7">#REF!</definedName>
    <definedName name="办公建筑类型" localSheetId="32">#REF!</definedName>
    <definedName name="办公建筑类型">'比较法-办公'!$B$101:$M$101</definedName>
    <definedName name="办公交易情况" localSheetId="7">#REF!</definedName>
    <definedName name="办公交易情况" localSheetId="32">#REF!</definedName>
    <definedName name="办公交易情况">'比较法-办公'!$A$62:$M$62</definedName>
    <definedName name="办公楼层" localSheetId="7">#REF!</definedName>
    <definedName name="办公楼层" localSheetId="32">#REF!</definedName>
    <definedName name="办公楼层">'比较法-办公'!$B$89:$M$89</definedName>
    <definedName name="办公内部装修" localSheetId="7">#REF!</definedName>
    <definedName name="办公内部装修" localSheetId="32">#REF!</definedName>
    <definedName name="办公内部装修">'比较法-办公'!$B$123:$M$123</definedName>
    <definedName name="办公物业管理" localSheetId="7">#REF!</definedName>
    <definedName name="办公物业管理" localSheetId="32">#REF!</definedName>
    <definedName name="办公物业管理">'比较法-办公'!$B$115:$M$115</definedName>
    <definedName name="办公用途" localSheetId="7">#REF!</definedName>
    <definedName name="办公用途" localSheetId="32">#REF!</definedName>
    <definedName name="办公用途">'比较法-办公'!$B$64:$M$64</definedName>
    <definedName name="仓储公共部分装修" localSheetId="7">#REF!</definedName>
    <definedName name="仓储公共部分装修" localSheetId="32">#REF!</definedName>
    <definedName name="仓储公共部分装修">'比较法-仓储'!$B$77:$M$77</definedName>
    <definedName name="仓储交易情况" localSheetId="7">#REF!</definedName>
    <definedName name="仓储交易情况" localSheetId="32">#REF!</definedName>
    <definedName name="仓储交易情况">'比较法-仓储'!$A$49:$M$49</definedName>
    <definedName name="仓储楼层" localSheetId="7">#REF!</definedName>
    <definedName name="仓储楼层" localSheetId="32">#REF!</definedName>
    <definedName name="仓储楼层">'比较法-仓储'!$B$69:$M$69</definedName>
    <definedName name="仓储物业等级" localSheetId="7">#REF!</definedName>
    <definedName name="仓储物业等级" localSheetId="32">#REF!</definedName>
    <definedName name="仓储物业等级">'比较法-仓储'!$B$82:$M$82</definedName>
    <definedName name="仓储用途" localSheetId="7">#REF!</definedName>
    <definedName name="仓储用途" localSheetId="32">#REF!</definedName>
    <definedName name="仓储用途">'比较法-仓储'!$B$51:$M$51</definedName>
    <definedName name="产业集聚程度" localSheetId="7">#REF!</definedName>
    <definedName name="产业集聚程度" localSheetId="32">#REF!</definedName>
    <definedName name="产业集聚程度">定义!$N$1:$N$6</definedName>
    <definedName name="车位公共部分装修" localSheetId="7">#REF!</definedName>
    <definedName name="车位公共部分装修" localSheetId="32">#REF!</definedName>
    <definedName name="车位公共部分装修">'比较法-车位'!$B$83:$M$83</definedName>
    <definedName name="车位交易情况" localSheetId="7">#REF!</definedName>
    <definedName name="车位交易情况" localSheetId="32">#REF!</definedName>
    <definedName name="车位交易情况">'比较法-车位'!$A$51:$M$51</definedName>
    <definedName name="车位类型" localSheetId="7">#REF!</definedName>
    <definedName name="车位类型" localSheetId="32">#REF!</definedName>
    <definedName name="车位类型">'比较法-车位'!$B$93:$M$93</definedName>
    <definedName name="车位楼层" localSheetId="7">#REF!</definedName>
    <definedName name="车位楼层" localSheetId="32">#REF!</definedName>
    <definedName name="车位楼层">'比较法-车位'!$B$71:$M$71</definedName>
    <definedName name="车位配套类型" localSheetId="7">#REF!</definedName>
    <definedName name="车位配套类型" localSheetId="32">#REF!</definedName>
    <definedName name="车位配套类型">'比较法-车位'!$B$79:$M$79</definedName>
    <definedName name="车位物业等级" localSheetId="7">#REF!</definedName>
    <definedName name="车位物业等级" localSheetId="32">#REF!</definedName>
    <definedName name="车位物业等级">'比较法-车位'!$B$88:$M$88</definedName>
    <definedName name="车位用途" localSheetId="7">#REF!</definedName>
    <definedName name="车位用途" localSheetId="32">#REF!</definedName>
    <definedName name="车位用途">'比较法-车位'!$B$53:$M$53</definedName>
    <definedName name="城镇土地纳税等级分级范围" localSheetId="7">#REF!</definedName>
    <definedName name="城镇土地纳税等级分级范围" localSheetId="32">#REF!</definedName>
    <definedName name="城镇土地纳税等级分级范围">'数据-取费表'!$A$53:$A$63</definedName>
    <definedName name="单价内涵" localSheetId="7">#REF!</definedName>
    <definedName name="单价内涵" localSheetId="32">#REF!</definedName>
    <definedName name="单价内涵">定义!$V$1:$V$3</definedName>
    <definedName name="地类判定" localSheetId="7">#REF!</definedName>
    <definedName name="地类判定" localSheetId="32">#REF!</definedName>
    <definedName name="地类判定">定义!$H$1:$H$9</definedName>
    <definedName name="二级">区片价!$J$1:$J$21</definedName>
    <definedName name="二级分类" localSheetId="7">#REF!</definedName>
    <definedName name="二级分类" localSheetId="32">#REF!</definedName>
    <definedName name="二级分类">修正!$C$19:$C$53</definedName>
    <definedName name="法定最高年限" localSheetId="7">#REF!</definedName>
    <definedName name="法定最高年限" localSheetId="32">#REF!</definedName>
    <definedName name="法定最高年限">定义!$G$1:$G$6</definedName>
    <definedName name="工业">定义!$AB$2:$AB$12</definedName>
    <definedName name="工业公共部分装修" localSheetId="7">#REF!</definedName>
    <definedName name="工业公共部分装修" localSheetId="32">#REF!</definedName>
    <definedName name="工业公共部分装修">'比较法-工业'!$B$95:$M$95</definedName>
    <definedName name="工业基础设施水平" localSheetId="7">#REF!</definedName>
    <definedName name="工业基础设施水平" localSheetId="32">#REF!</definedName>
    <definedName name="工业基础设施水平">'比较法-工业'!$B$102:$M$102</definedName>
    <definedName name="工业建筑结构" localSheetId="7">#REF!</definedName>
    <definedName name="工业建筑结构" localSheetId="32">#REF!</definedName>
    <definedName name="工业建筑结构">'比较法-工业'!$B$93:$M$93</definedName>
    <definedName name="工业建筑类型" localSheetId="7">#REF!</definedName>
    <definedName name="工业建筑类型" localSheetId="32">#REF!</definedName>
    <definedName name="工业建筑类型">'比较法-工业'!$B$88:$M$88</definedName>
    <definedName name="工业交易情况" localSheetId="7">#REF!</definedName>
    <definedName name="工业交易情况" localSheetId="32">#REF!</definedName>
    <definedName name="工业交易情况">'比较法-工业'!$A$55:$M$55</definedName>
    <definedName name="工业内部装修" localSheetId="7">#REF!</definedName>
    <definedName name="工业内部装修" localSheetId="32">#REF!</definedName>
    <definedName name="工业内部装修">'比较法-工业'!$B$104:$M$104</definedName>
    <definedName name="工业物业管理" localSheetId="7">#REF!</definedName>
    <definedName name="工业物业管理" localSheetId="32">#REF!</definedName>
    <definedName name="工业物业管理">'比较法-工业'!$B$100:$M$100</definedName>
    <definedName name="工业用途" localSheetId="7">#REF!</definedName>
    <definedName name="工业用途" localSheetId="32">#REF!</definedName>
    <definedName name="工业用途">'比较法-工业'!$B$57:$M$57</definedName>
    <definedName name="公共服务">定义!$Z$2:$Z$14</definedName>
    <definedName name="公共配套设施" localSheetId="7">#REF!</definedName>
    <definedName name="公共配套设施" localSheetId="32">#REF!</definedName>
    <definedName name="公共配套设施">定义!$Q$1:$Q$6</definedName>
    <definedName name="估价范围判定" localSheetId="7">#REF!</definedName>
    <definedName name="估价范围判定" localSheetId="32">#REF!</definedName>
    <definedName name="估价范围判定">定义!$D$1:$D$4</definedName>
    <definedName name="估价方法" localSheetId="7">#REF!</definedName>
    <definedName name="估价方法" localSheetId="32">#REF!</definedName>
    <definedName name="估价方法">定义!$B$1:$B$50</definedName>
    <definedName name="环境" localSheetId="7">#REF!</definedName>
    <definedName name="环境" localSheetId="32">#REF!</definedName>
    <definedName name="环境">定义!$S$1:$S$6</definedName>
    <definedName name="基础设施水平" localSheetId="7">#REF!</definedName>
    <definedName name="基础设施水平" localSheetId="32">#REF!</definedName>
    <definedName name="基础设施水平">定义!$R$1:$R$6</definedName>
    <definedName name="季度">基准地价修正!$Q$19:$AD$19</definedName>
    <definedName name="价值类型2" localSheetId="7">#REF!</definedName>
    <definedName name="价值类型2" localSheetId="32">#REF!</definedName>
    <definedName name="价值类型2">定义!$B$54:$B$56</definedName>
    <definedName name="交通便捷度" localSheetId="7">#REF!</definedName>
    <definedName name="交通便捷度" localSheetId="32">#REF!</definedName>
    <definedName name="交通便捷度">定义!$O$1:$O$6</definedName>
    <definedName name="九级">区片价!$Q$1:$Q$51</definedName>
    <definedName name="居住社区成熟度" localSheetId="7">#REF!</definedName>
    <definedName name="居住社区成熟度" localSheetId="32">#REF!</definedName>
    <definedName name="居住社区成熟度">定义!$K$1:$K$6</definedName>
    <definedName name="类别" localSheetId="7">#REF!</definedName>
    <definedName name="类别" localSheetId="32">#REF!</definedName>
    <definedName name="类别">定义!$J$1:$J$3</definedName>
    <definedName name="临街状况" localSheetId="7">#REF!</definedName>
    <definedName name="临街状况" localSheetId="32">#REF!</definedName>
    <definedName name="临街状况">定义!$T$1:$T$5</definedName>
    <definedName name="六级">区片价!$N$1:$N$64</definedName>
    <definedName name="内部装修维护情况" localSheetId="7">#REF!</definedName>
    <definedName name="内部装修维护情况" localSheetId="32">#REF!</definedName>
    <definedName name="内部装修维护情况">定义!$U$1:$U$6</definedName>
    <definedName name="七级">区片价!$O$1:$O$45</definedName>
    <definedName name="七通一平" localSheetId="7">#REF!</definedName>
    <definedName name="七通一平" localSheetId="32">#REF!</definedName>
    <definedName name="七通一平">修正!$A$8:$A$16</definedName>
    <definedName name="区域土地利用方向" localSheetId="7">#REF!</definedName>
    <definedName name="区域土地利用方向" localSheetId="32">#REF!</definedName>
    <definedName name="区域土地利用方向">定义!$P$1:$P$6</definedName>
    <definedName name="三级">区片价!$K$1:$K$26</definedName>
    <definedName name="商业">定义!$X$2:$X$9</definedName>
    <definedName name="商业层高" localSheetId="7">#REF!</definedName>
    <definedName name="商业层高" localSheetId="32">#REF!</definedName>
    <definedName name="商业层高">'比较法-商业'!$B$116:$M$116</definedName>
    <definedName name="商业成新度">'比较法-商业'!$B$109:$M$109</definedName>
    <definedName name="商业繁华度" localSheetId="7">#REF!</definedName>
    <definedName name="商业繁华度" localSheetId="32">#REF!</definedName>
    <definedName name="商业繁华度">定义!$L$1:$L$6</definedName>
    <definedName name="商业公共部分装修" localSheetId="7">#REF!</definedName>
    <definedName name="商业公共部分装修" localSheetId="32">#REF!</definedName>
    <definedName name="商业公共部分装修">'比较法-商业'!$B$107:$M$107</definedName>
    <definedName name="商业基础设施水平" localSheetId="7">#REF!</definedName>
    <definedName name="商业基础设施水平" localSheetId="32">#REF!</definedName>
    <definedName name="商业基础设施水平">'比较法-商业'!$B$112:$M$112</definedName>
    <definedName name="商业建筑结构" localSheetId="7">#REF!</definedName>
    <definedName name="商业建筑结构" localSheetId="32">#REF!</definedName>
    <definedName name="商业建筑结构">'比较法-商业'!$B$105:$M$105</definedName>
    <definedName name="商业交易情况" localSheetId="7">#REF!</definedName>
    <definedName name="商业交易情况" localSheetId="32">#REF!</definedName>
    <definedName name="商业交易情况">'比较法-商业'!$A$61:$M$61</definedName>
    <definedName name="商业街名称" localSheetId="7">#REF!</definedName>
    <definedName name="商业街名称" localSheetId="32">#REF!</definedName>
    <definedName name="商业街名称">修正!$C$73:$C$140</definedName>
    <definedName name="商业进深比" localSheetId="7">#REF!</definedName>
    <definedName name="商业进深比" localSheetId="32">#REF!</definedName>
    <definedName name="商业进深比">'比较法-商业'!$B$120:$M$120</definedName>
    <definedName name="商业类型" localSheetId="7">#REF!</definedName>
    <definedName name="商业类型" localSheetId="32">#REF!</definedName>
    <definedName name="商业类型">'比较法-商业'!$B$100:$M$100</definedName>
    <definedName name="商业临街状况" localSheetId="7">#REF!</definedName>
    <definedName name="商业临街状况" localSheetId="32">#REF!</definedName>
    <definedName name="商业临街状况">'比较法-商业'!$B$86:$M$86</definedName>
    <definedName name="商业楼层" localSheetId="7">#REF!</definedName>
    <definedName name="商业楼层" localSheetId="32">#REF!</definedName>
    <definedName name="商业楼层">'比较法-商业'!$B$92:$M$92</definedName>
    <definedName name="商业内部装修" localSheetId="7">#REF!</definedName>
    <definedName name="商业内部装修" localSheetId="32">#REF!</definedName>
    <definedName name="商业内部装修">'比较法-商业'!$B$122:$M$122</definedName>
    <definedName name="商业人流量" localSheetId="7">#REF!</definedName>
    <definedName name="商业人流量" localSheetId="32">#REF!</definedName>
    <definedName name="商业人流量">'比较法-商业'!$B$90:$M$90</definedName>
    <definedName name="商业业态" localSheetId="7">#REF!</definedName>
    <definedName name="商业业态" localSheetId="32">#REF!</definedName>
    <definedName name="商业业态">'比较法-商业'!$B$114:$M$114</definedName>
    <definedName name="商业用途" localSheetId="7">#REF!</definedName>
    <definedName name="商业用途" localSheetId="32">#REF!</definedName>
    <definedName name="商业用途">'比较法-商业'!$B$63:$M$63</definedName>
    <definedName name="十二级">区片价!$T$1:$T$8</definedName>
    <definedName name="十级">区片价!$R$1:$R$32</definedName>
    <definedName name="十一级">区片价!$S$1:$S$21</definedName>
    <definedName name="是否封闭" localSheetId="7">#REF!</definedName>
    <definedName name="是否封闭" localSheetId="32">#REF!</definedName>
    <definedName name="是否封闭">'比较法-仓储'!$B$89:$M$89</definedName>
    <definedName name="是否直接入户" localSheetId="7">#REF!</definedName>
    <definedName name="是否直接入户" localSheetId="32">#REF!</definedName>
    <definedName name="是否直接入户">'比较法-车位'!$B$95:$M$95</definedName>
    <definedName name="四级">区片价!$L$1:$L$33</definedName>
    <definedName name="套工道路等级" localSheetId="7">#REF!</definedName>
    <definedName name="套工道路等级" localSheetId="32">#REF!</definedName>
    <definedName name="套工道路等级">'土地比较法-工业'!$B$97:$M$97</definedName>
    <definedName name="套工地质条件" localSheetId="7">#REF!</definedName>
    <definedName name="套工地质条件" localSheetId="32">#REF!</definedName>
    <definedName name="套工地质条件">'土地比较法-工业'!$B$114:$M$114</definedName>
    <definedName name="套工交易情况" localSheetId="7">#REF!</definedName>
    <definedName name="套工交易情况" localSheetId="32">#REF!</definedName>
    <definedName name="套工交易情况">'土地比较法-住宅、综合'!$A$72:$M$72</definedName>
    <definedName name="套工土地级别" localSheetId="7">#REF!</definedName>
    <definedName name="套工土地级别" localSheetId="32">#REF!</definedName>
    <definedName name="套工土地级别">'土地比较法-工业'!$B$99:$M$99</definedName>
    <definedName name="套工用途" localSheetId="7">#REF!</definedName>
    <definedName name="套工用途" localSheetId="32">#REF!</definedName>
    <definedName name="套工用途">'土地比较法-工业'!$B$70:$M$70</definedName>
    <definedName name="套工宗地开发程度" localSheetId="7">#REF!</definedName>
    <definedName name="套工宗地开发程度" localSheetId="32">#REF!</definedName>
    <definedName name="套工宗地开发程度">'土地比较法-工业'!$B$112:$M$112</definedName>
    <definedName name="套工宗地形状" localSheetId="7">#REF!</definedName>
    <definedName name="套工宗地形状" localSheetId="32">#REF!</definedName>
    <definedName name="套工宗地形状">'土地比较法-工业'!$B$110:$M$110</definedName>
    <definedName name="套综道路等级" localSheetId="7">#REF!</definedName>
    <definedName name="套综道路等级" localSheetId="32">#REF!</definedName>
    <definedName name="套综道路等级">'土地比较法-住宅、综合'!$B$105:$M$105</definedName>
    <definedName name="套综工程地质条件" localSheetId="7">#REF!</definedName>
    <definedName name="套综工程地质条件" localSheetId="32">#REF!</definedName>
    <definedName name="套综工程地质条件">'土地比较法-住宅、综合'!$B$124:$M$124</definedName>
    <definedName name="套综交易情况" localSheetId="7">#REF!</definedName>
    <definedName name="套综交易情况" localSheetId="32">#REF!</definedName>
    <definedName name="套综交易情况">'土地比较法-住宅、综合'!$A$72:$M$72</definedName>
    <definedName name="套综临街宽度及深度" localSheetId="7">#REF!</definedName>
    <definedName name="套综临街宽度及深度" localSheetId="32">#REF!</definedName>
    <definedName name="套综临街宽度及深度">'土地比较法-住宅、综合'!$B$120:$M$120</definedName>
    <definedName name="套综土地级别" localSheetId="7">#REF!</definedName>
    <definedName name="套综土地级别" localSheetId="32">#REF!</definedName>
    <definedName name="套综土地级别">'土地比较法-住宅、综合'!$B$107:$M$107</definedName>
    <definedName name="套综用途" localSheetId="7">#REF!</definedName>
    <definedName name="套综用途" localSheetId="32">#REF!</definedName>
    <definedName name="套综用途">'土地比较法-住宅、综合'!$B$74:$M$74</definedName>
    <definedName name="套综宗地内开发程度" localSheetId="7">#REF!</definedName>
    <definedName name="套综宗地内开发程度" localSheetId="32">#REF!</definedName>
    <definedName name="套综宗地内开发程度">'土地比较法-住宅、综合'!$B$122:$M$122</definedName>
    <definedName name="套综宗地形状" localSheetId="7">#REF!</definedName>
    <definedName name="套综宗地形状" localSheetId="32">#REF!</definedName>
    <definedName name="套综宗地形状">'土地比较法-住宅、综合'!$B$118:$M$118</definedName>
    <definedName name="土地估价师">估价师及机构信息!$D$3:$D$24</definedName>
    <definedName name="土地级别" localSheetId="7">#REF!</definedName>
    <definedName name="土地级别" localSheetId="32">#REF!</definedName>
    <definedName name="土地级别">定义!$C$1:$C$14</definedName>
    <definedName name="土地利用方向">定义!$P$1:$P$6</definedName>
    <definedName name="土地年限区间">定义!$I$1:$I$16</definedName>
    <definedName name="位置" localSheetId="7">#REF!</definedName>
    <definedName name="位置" localSheetId="32">#REF!</definedName>
    <definedName name="位置">定义!$E$2:$E$4</definedName>
    <definedName name="五等判定" localSheetId="7">#REF!</definedName>
    <definedName name="五等判定" localSheetId="32">#REF!</definedName>
    <definedName name="五等判定">定义!$W$1:$W$6</definedName>
    <definedName name="五级">区片价!$M$1:$M$41</definedName>
    <definedName name="项目类型" localSheetId="7">#REF!</definedName>
    <definedName name="项目类型" localSheetId="24">'[1]数据-汇总表'!$C$17:$C$26</definedName>
    <definedName name="项目类型" localSheetId="32">#REF!</definedName>
    <definedName name="项目类型">'数据-汇总表'!$C$17:$C$26</definedName>
    <definedName name="写字楼等级" localSheetId="7">#REF!</definedName>
    <definedName name="写字楼等级" localSheetId="32">#REF!</definedName>
    <definedName name="写字楼等级">'比较法-办公'!$B$113:$M$113</definedName>
    <definedName name="一级">区片价!$I$1:$I$6</definedName>
    <definedName name="一修多修正项2" localSheetId="7">#REF!</definedName>
    <definedName name="一修多修正项2" localSheetId="32">#REF!</definedName>
    <definedName name="一修多修正项2">典型户型修正!$5:$5</definedName>
    <definedName name="一修多修正项3" localSheetId="7">#REF!</definedName>
    <definedName name="一修多修正项3" localSheetId="32">#REF!</definedName>
    <definedName name="一修多修正项3">典型户型修正!$7:$7</definedName>
    <definedName name="一修多修正项4" localSheetId="7">#REF!</definedName>
    <definedName name="一修多修正项4" localSheetId="32">#REF!</definedName>
    <definedName name="一修多修正项4">典型户型修正!$9:$9</definedName>
    <definedName name="一修多修正项5" localSheetId="7">#REF!</definedName>
    <definedName name="一修多修正项5" localSheetId="32">#REF!</definedName>
    <definedName name="一修多修正项5">典型户型修正!$11:$11</definedName>
    <definedName name="一修多修正项6" localSheetId="7">#REF!</definedName>
    <definedName name="一修多修正项6" localSheetId="32">#REF!</definedName>
    <definedName name="一修多修正项6">典型户型修正!$13:$13</definedName>
    <definedName name="一修多修正项7" localSheetId="7">#REF!</definedName>
    <definedName name="一修多修正项7" localSheetId="32">#REF!</definedName>
    <definedName name="一修多修正项7">典型户型修正!$15:$15</definedName>
    <definedName name="一修多修正项8" localSheetId="7">#REF!</definedName>
    <definedName name="一修多修正项8" localSheetId="32">#REF!</definedName>
    <definedName name="一修多修正项8">典型户型修正!$17:$17</definedName>
    <definedName name="用途明细" localSheetId="7">#REF!</definedName>
    <definedName name="用途明细" localSheetId="32">#REF!</definedName>
    <definedName name="用途明细">定义!$A$1:$A$50</definedName>
    <definedName name="有无电梯" localSheetId="7">#REF!</definedName>
    <definedName name="有无电梯" localSheetId="32">#REF!</definedName>
    <definedName name="有无电梯">'比较法-仓储'!$B$84:$M$84</definedName>
    <definedName name="主用途" localSheetId="7">#REF!</definedName>
    <definedName name="主用途" localSheetId="32">#REF!</definedName>
    <definedName name="主用途">定义!$F$1:$F$12</definedName>
    <definedName name="住宅">定义!$AA$2</definedName>
    <definedName name="住宅朝向" localSheetId="7">#REF!</definedName>
    <definedName name="住宅朝向" localSheetId="32">#REF!</definedName>
    <definedName name="住宅朝向">'比较法-住宅'!$B$88:$M$88</definedName>
    <definedName name="住宅房型" localSheetId="7">#REF!</definedName>
    <definedName name="住宅房型" localSheetId="32">#REF!</definedName>
    <definedName name="住宅房型">'比较法-住宅'!$B$118:$M$118</definedName>
    <definedName name="住宅公共部分装修" localSheetId="7">#REF!</definedName>
    <definedName name="住宅公共部分装修" localSheetId="32">#REF!</definedName>
    <definedName name="住宅公共部分装修">'比较法-住宅'!$B$109:$M$109</definedName>
    <definedName name="住宅基础设施水平" localSheetId="7">#REF!</definedName>
    <definedName name="住宅基础设施水平" localSheetId="32">#REF!</definedName>
    <definedName name="住宅基础设施水平">'比较法-住宅'!$B$116:$M$116</definedName>
    <definedName name="住宅建筑结构" localSheetId="7">#REF!</definedName>
    <definedName name="住宅建筑结构" localSheetId="32">#REF!</definedName>
    <definedName name="住宅建筑结构">'比较法-住宅'!$B$105:$M$105</definedName>
    <definedName name="住宅建筑类型" localSheetId="7">#REF!</definedName>
    <definedName name="住宅建筑类型" localSheetId="32">#REF!</definedName>
    <definedName name="住宅建筑类型">'比较法-住宅'!$B$100:$M$100</definedName>
    <definedName name="住宅建筑品质" localSheetId="7">#REF!</definedName>
    <definedName name="住宅建筑品质" localSheetId="32">#REF!</definedName>
    <definedName name="住宅建筑品质">'比较法-住宅'!$B$107:$M$107</definedName>
    <definedName name="住宅交易情况" localSheetId="7">#REF!</definedName>
    <definedName name="住宅交易情况" localSheetId="32">#REF!</definedName>
    <definedName name="住宅交易情况">'比较法-住宅'!$A$61:$M$61</definedName>
    <definedName name="住宅楼层" localSheetId="7">#REF!</definedName>
    <definedName name="住宅楼层" localSheetId="32">#REF!</definedName>
    <definedName name="住宅楼层">'比较法-住宅'!$B$86:$M$86</definedName>
    <definedName name="住宅内部装修" localSheetId="7">#REF!</definedName>
    <definedName name="住宅内部装修" localSheetId="32">#REF!</definedName>
    <definedName name="住宅内部装修">'比较法-住宅'!$B$122:$M$122</definedName>
    <definedName name="住宅物业管理" localSheetId="7">#REF!</definedName>
    <definedName name="住宅物业管理" localSheetId="32">#REF!</definedName>
    <definedName name="住宅物业管理">'比较法-住宅'!$B$114:$M$114</definedName>
    <definedName name="住宅用途" localSheetId="7">#REF!</definedName>
    <definedName name="住宅用途" localSheetId="32">#REF!</definedName>
    <definedName name="住宅用途">'比较法-住宅'!$B$63:$M$63</definedName>
    <definedName name="住宅主力户型面积">'比较法-住宅'!$B$120:$M$120</definedName>
    <definedName name="注册房地产估价师" localSheetId="7">#REF!</definedName>
    <definedName name="注册房地产估价师" localSheetId="32">#REF!</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I5" i="39" l="1"/>
  <c r="G5" i="39"/>
  <c r="E5" i="39"/>
  <c r="I7" i="39"/>
  <c r="G7" i="39"/>
  <c r="E7" i="39"/>
  <c r="I38" i="39"/>
  <c r="G38" i="39"/>
  <c r="P4" i="83" l="1"/>
  <c r="P17" i="83"/>
  <c r="P11" i="83"/>
  <c r="G28" i="83"/>
  <c r="G21" i="83"/>
  <c r="G10" i="83"/>
  <c r="G4" i="83"/>
  <c r="B25" i="31"/>
  <c r="A25" i="31"/>
  <c r="B24" i="31"/>
  <c r="A24" i="31"/>
  <c r="E38" i="39"/>
  <c r="C38" i="39"/>
  <c r="P70" i="39"/>
  <c r="Q70" i="39" s="1"/>
  <c r="R70" i="39" s="1"/>
  <c r="S70" i="39" s="1"/>
  <c r="T70" i="39" s="1"/>
  <c r="X59" i="82"/>
  <c r="Y59" i="82" s="1"/>
  <c r="X58" i="82"/>
  <c r="Y58" i="82" s="1"/>
  <c r="X57" i="82"/>
  <c r="Y57" i="82" s="1"/>
  <c r="U57" i="82"/>
  <c r="Y56" i="82"/>
  <c r="X56" i="82"/>
  <c r="Y55" i="82"/>
  <c r="X55" i="82"/>
  <c r="X54" i="82"/>
  <c r="Y54" i="82" s="1"/>
  <c r="X53" i="82"/>
  <c r="Y53" i="82" s="1"/>
  <c r="X52" i="82"/>
  <c r="Y52" i="82" s="1"/>
  <c r="X51" i="82"/>
  <c r="Y51" i="82" s="1"/>
  <c r="U50" i="82"/>
  <c r="X50" i="82" s="1"/>
  <c r="Y50" i="82" s="1"/>
  <c r="X49" i="82"/>
  <c r="Y49" i="82" s="1"/>
  <c r="X48" i="82"/>
  <c r="Y48" i="82" s="1"/>
  <c r="X47" i="82"/>
  <c r="Y47" i="82" s="1"/>
  <c r="X46" i="82"/>
  <c r="Y46" i="82" s="1"/>
  <c r="X45" i="82"/>
  <c r="Y45" i="82" s="1"/>
  <c r="X44" i="82"/>
  <c r="Y44" i="82" s="1"/>
  <c r="X43" i="82"/>
  <c r="Y43" i="82" s="1"/>
  <c r="I46" i="39" s="1"/>
  <c r="X42" i="82"/>
  <c r="Y42" i="82" s="1"/>
  <c r="G46" i="39" s="1"/>
  <c r="X41" i="82"/>
  <c r="Y41" i="82" s="1"/>
  <c r="U41" i="82"/>
  <c r="X40" i="82"/>
  <c r="Y40" i="82" s="1"/>
  <c r="X39" i="82"/>
  <c r="Y39" i="82" s="1"/>
  <c r="X38" i="82"/>
  <c r="Y38" i="82" s="1"/>
  <c r="X37" i="82"/>
  <c r="Y37" i="82" s="1"/>
  <c r="X36" i="82"/>
  <c r="Y36" i="82" s="1"/>
  <c r="U35" i="82"/>
  <c r="X35" i="82" s="1"/>
  <c r="Y35" i="82" s="1"/>
  <c r="X34" i="82"/>
  <c r="Y34" i="82" s="1"/>
  <c r="X33" i="82"/>
  <c r="Y33" i="82" s="1"/>
  <c r="X32" i="82"/>
  <c r="Y32" i="82" s="1"/>
  <c r="X31" i="82"/>
  <c r="Y31" i="82" s="1"/>
  <c r="X30" i="82"/>
  <c r="Y30" i="82" s="1"/>
  <c r="X29" i="82"/>
  <c r="Y29" i="82" s="1"/>
  <c r="U29" i="82"/>
  <c r="X28" i="82"/>
  <c r="Y28" i="82" s="1"/>
  <c r="U27" i="82"/>
  <c r="X27" i="82" s="1"/>
  <c r="Y27" i="82" s="1"/>
  <c r="X26" i="82"/>
  <c r="Y26" i="82" s="1"/>
  <c r="X25" i="82"/>
  <c r="Y25" i="82" s="1"/>
  <c r="X24" i="82"/>
  <c r="Y24" i="82" s="1"/>
  <c r="X23" i="82"/>
  <c r="Y23" i="82" s="1"/>
  <c r="U23" i="82"/>
  <c r="U22" i="82"/>
  <c r="X22" i="82" s="1"/>
  <c r="Y22" i="82" s="1"/>
  <c r="X21" i="82"/>
  <c r="Y21" i="82" s="1"/>
  <c r="X20" i="82"/>
  <c r="Y20" i="82" s="1"/>
  <c r="X19" i="82"/>
  <c r="Y19" i="82" s="1"/>
  <c r="X18" i="82"/>
  <c r="Y18" i="82" s="1"/>
  <c r="E46" i="39" s="1"/>
  <c r="X17" i="82"/>
  <c r="Y17" i="82" s="1"/>
  <c r="X16" i="82"/>
  <c r="Y16" i="82" s="1"/>
  <c r="X15" i="82"/>
  <c r="Y15" i="82" s="1"/>
  <c r="X14" i="82"/>
  <c r="Y14" i="82" s="1"/>
  <c r="X13" i="82"/>
  <c r="Y13" i="82" s="1"/>
  <c r="X12" i="82"/>
  <c r="Y12" i="82" s="1"/>
  <c r="X11" i="82"/>
  <c r="Y11" i="82" s="1"/>
  <c r="X10" i="82"/>
  <c r="Y10" i="82" s="1"/>
  <c r="X9" i="82"/>
  <c r="Y9" i="82" s="1"/>
  <c r="U9" i="82"/>
  <c r="X8" i="82"/>
  <c r="Y8" i="82" s="1"/>
  <c r="X7" i="82"/>
  <c r="Y7" i="82" s="1"/>
  <c r="X6" i="82"/>
  <c r="Y6" i="82" s="1"/>
  <c r="X5" i="82"/>
  <c r="Y5" i="82" s="1"/>
  <c r="V14" i="81"/>
  <c r="U14" i="81"/>
  <c r="D70" i="39"/>
  <c r="E70" i="39" s="1"/>
  <c r="F70" i="39" s="1"/>
  <c r="G70" i="39" s="1"/>
  <c r="H70" i="39" s="1"/>
  <c r="I70" i="39" s="1"/>
  <c r="J70" i="39" s="1"/>
  <c r="K70" i="39" s="1"/>
  <c r="L70" i="39" s="1"/>
  <c r="M70" i="39" s="1"/>
  <c r="N70" i="39" s="1"/>
  <c r="O70" i="39" s="1"/>
  <c r="Y6" i="1"/>
  <c r="N6" i="1"/>
  <c r="G62" i="43"/>
  <c r="G63" i="43"/>
  <c r="G64" i="43"/>
  <c r="G65" i="43"/>
  <c r="G66" i="43"/>
  <c r="G67" i="43"/>
  <c r="G68" i="43"/>
  <c r="G69" i="43"/>
  <c r="G61" i="43"/>
  <c r="D33" i="43"/>
  <c r="G19" i="6"/>
  <c r="K32" i="3"/>
  <c r="I32" i="3"/>
  <c r="K31" i="3"/>
  <c r="I31" i="3"/>
  <c r="K30" i="3"/>
  <c r="I30" i="3"/>
  <c r="K29" i="3"/>
  <c r="I29" i="3"/>
  <c r="K28" i="3"/>
  <c r="I28" i="3"/>
  <c r="K27" i="3"/>
  <c r="I27" i="3"/>
  <c r="K26" i="3"/>
  <c r="I26" i="3"/>
  <c r="K25" i="3"/>
  <c r="I25" i="3"/>
  <c r="K24" i="3"/>
  <c r="I24" i="3"/>
  <c r="K23" i="3"/>
  <c r="I23" i="3"/>
  <c r="F19" i="6" s="1"/>
  <c r="K22" i="3"/>
  <c r="I22" i="3"/>
  <c r="K21" i="3"/>
  <c r="I21" i="3"/>
  <c r="K20" i="3"/>
  <c r="I20" i="3"/>
  <c r="K19" i="3"/>
  <c r="I19" i="3"/>
  <c r="K18" i="3"/>
  <c r="I18" i="3"/>
  <c r="K17" i="3"/>
  <c r="I17" i="3"/>
  <c r="K16" i="3"/>
  <c r="I16" i="3"/>
  <c r="K15" i="3"/>
  <c r="I15" i="3"/>
  <c r="K14" i="3"/>
  <c r="I14" i="3"/>
  <c r="K13" i="3"/>
  <c r="I13" i="3"/>
  <c r="C32" i="3"/>
  <c r="C31" i="3"/>
  <c r="C30" i="3"/>
  <c r="C29" i="3"/>
  <c r="C28" i="3"/>
  <c r="C27" i="3"/>
  <c r="C26" i="3"/>
  <c r="C25" i="3"/>
  <c r="C24" i="3"/>
  <c r="C23" i="3"/>
  <c r="C22" i="3"/>
  <c r="C21" i="3"/>
  <c r="C20" i="3"/>
  <c r="C19" i="3"/>
  <c r="C18" i="3"/>
  <c r="C17" i="3"/>
  <c r="C16" i="3"/>
  <c r="C15" i="3"/>
  <c r="C14" i="3"/>
  <c r="C13" i="3"/>
  <c r="E40" i="80"/>
  <c r="E39" i="80" s="1"/>
  <c r="E37" i="80"/>
  <c r="C28" i="80"/>
  <c r="C27" i="80" s="1"/>
  <c r="L25" i="80"/>
  <c r="E24" i="80"/>
  <c r="E38" i="80" s="1"/>
  <c r="D24" i="80"/>
  <c r="L23" i="80"/>
  <c r="M23" i="80" s="1"/>
  <c r="C23" i="80"/>
  <c r="G22" i="80"/>
  <c r="H22" i="80" s="1"/>
  <c r="C22" i="80"/>
  <c r="I22" i="80" s="1"/>
  <c r="H21" i="80"/>
  <c r="C21" i="80"/>
  <c r="C31" i="80" s="1"/>
  <c r="C20" i="80"/>
  <c r="C19" i="80"/>
  <c r="C18" i="80"/>
  <c r="C17" i="80"/>
  <c r="C16" i="80"/>
  <c r="C15" i="80"/>
  <c r="C14" i="80"/>
  <c r="C13" i="80"/>
  <c r="C12" i="80"/>
  <c r="C11" i="80"/>
  <c r="C10" i="80"/>
  <c r="C9" i="80"/>
  <c r="C8" i="80"/>
  <c r="C7" i="80"/>
  <c r="C6" i="80"/>
  <c r="C5" i="80"/>
  <c r="C4" i="80"/>
  <c r="C24" i="80" s="1"/>
  <c r="J7" i="80" l="1"/>
  <c r="J11" i="80"/>
  <c r="J15" i="80"/>
  <c r="J19" i="80"/>
  <c r="E36" i="80"/>
  <c r="J10" i="80"/>
  <c r="J6" i="80"/>
  <c r="F29" i="80"/>
  <c r="J17" i="80"/>
  <c r="J13" i="80"/>
  <c r="J9" i="80"/>
  <c r="J5" i="80"/>
  <c r="J21" i="80"/>
  <c r="J14" i="80"/>
  <c r="J8" i="80"/>
  <c r="J12" i="80"/>
  <c r="J16" i="80"/>
  <c r="J20" i="80"/>
  <c r="E51" i="80"/>
  <c r="E50" i="80"/>
  <c r="G4" i="80"/>
  <c r="E49" i="80"/>
  <c r="E48" i="80"/>
  <c r="J22" i="80"/>
  <c r="H7" i="80"/>
  <c r="J4" i="80"/>
  <c r="J24" i="80" l="1"/>
  <c r="G5" i="80"/>
  <c r="G8" i="80"/>
  <c r="G23" i="80"/>
  <c r="H23" i="80" s="1"/>
  <c r="I23" i="80" s="1"/>
  <c r="H4" i="80"/>
  <c r="H5" i="80" l="1"/>
  <c r="G6" i="80"/>
  <c r="G9" i="80"/>
  <c r="H8" i="80"/>
  <c r="H6" i="80" l="1"/>
  <c r="I7" i="80"/>
  <c r="G10" i="80"/>
  <c r="H9" i="80"/>
  <c r="H10" i="80" l="1"/>
  <c r="G11" i="80"/>
  <c r="H11" i="80" l="1"/>
  <c r="G12" i="80"/>
  <c r="G13" i="80" l="1"/>
  <c r="H12" i="80"/>
  <c r="G14" i="80" l="1"/>
  <c r="H13" i="80"/>
  <c r="H14" i="80" l="1"/>
  <c r="G15" i="80"/>
  <c r="H15" i="80" l="1"/>
  <c r="G16" i="80"/>
  <c r="G17" i="80" l="1"/>
  <c r="H16" i="80"/>
  <c r="G18" i="80" l="1"/>
  <c r="H17" i="80"/>
  <c r="H18" i="80" l="1"/>
  <c r="G19" i="80"/>
  <c r="H19" i="80" l="1"/>
  <c r="G20" i="80"/>
  <c r="H20" i="80" s="1"/>
  <c r="H24" i="80" l="1"/>
  <c r="K19" i="80"/>
  <c r="L19" i="80" s="1"/>
  <c r="M19" i="80" s="1"/>
  <c r="G24" i="80" l="1"/>
  <c r="K21" i="80"/>
  <c r="L21" i="80" s="1"/>
  <c r="M21" i="80" s="1"/>
  <c r="K22" i="80"/>
  <c r="L22" i="80" s="1"/>
  <c r="M22" i="80" s="1"/>
  <c r="K7" i="80"/>
  <c r="L7" i="80" s="1"/>
  <c r="M7" i="80" s="1"/>
  <c r="K4" i="80"/>
  <c r="K8" i="80"/>
  <c r="L8" i="80" s="1"/>
  <c r="M8" i="80" s="1"/>
  <c r="K5" i="80"/>
  <c r="L5" i="80" s="1"/>
  <c r="M5" i="80" s="1"/>
  <c r="K9" i="80"/>
  <c r="L9" i="80" s="1"/>
  <c r="M9" i="80" s="1"/>
  <c r="K6" i="80"/>
  <c r="L6" i="80" s="1"/>
  <c r="M6" i="80" s="1"/>
  <c r="K10" i="80"/>
  <c r="L10" i="80" s="1"/>
  <c r="M10" i="80" s="1"/>
  <c r="K11" i="80"/>
  <c r="L11" i="80" s="1"/>
  <c r="M11" i="80" s="1"/>
  <c r="K12" i="80"/>
  <c r="L12" i="80" s="1"/>
  <c r="M12" i="80" s="1"/>
  <c r="K13" i="80"/>
  <c r="L13" i="80" s="1"/>
  <c r="M13" i="80" s="1"/>
  <c r="K14" i="80"/>
  <c r="L14" i="80" s="1"/>
  <c r="M14" i="80" s="1"/>
  <c r="K15" i="80"/>
  <c r="L15" i="80" s="1"/>
  <c r="M15" i="80" s="1"/>
  <c r="K16" i="80"/>
  <c r="L16" i="80" s="1"/>
  <c r="M16" i="80" s="1"/>
  <c r="K17" i="80"/>
  <c r="L17" i="80" s="1"/>
  <c r="M17" i="80" s="1"/>
  <c r="K20" i="80"/>
  <c r="L20" i="80" s="1"/>
  <c r="M20" i="80" s="1"/>
  <c r="K24" i="80" l="1"/>
  <c r="L4" i="80"/>
  <c r="L24" i="80" l="1"/>
  <c r="M4" i="80"/>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B51" i="78"/>
  <c r="B56" i="78" s="1"/>
  <c r="D51" i="78" l="1"/>
  <c r="C51" i="78" s="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4"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21" i="79"/>
  <c r="AK21" i="79" s="1"/>
  <c r="AH21" i="79"/>
  <c r="W45" i="79"/>
  <c r="AK45" i="79" s="1"/>
  <c r="AH45" i="79"/>
  <c r="W23" i="79"/>
  <c r="AK23" i="79" s="1"/>
  <c r="AH23" i="79"/>
  <c r="W12" i="79"/>
  <c r="AK12" i="79" s="1"/>
  <c r="AH12"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S30" i="31" s="1"/>
  <c r="R31" i="3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S58" i="31" s="1"/>
  <c r="R59" i="31"/>
  <c r="S59" i="31" s="1"/>
  <c r="R60" i="31"/>
  <c r="R61" i="31"/>
  <c r="R62" i="31"/>
  <c r="S62" i="31" s="1"/>
  <c r="R63" i="31"/>
  <c r="R64" i="31"/>
  <c r="R65" i="31"/>
  <c r="R66" i="31"/>
  <c r="S66" i="31" s="1"/>
  <c r="R67" i="31"/>
  <c r="S67" i="31" s="1"/>
  <c r="R68" i="31"/>
  <c r="R69" i="31"/>
  <c r="R70" i="31"/>
  <c r="S70" i="31" s="1"/>
  <c r="R71" i="31"/>
  <c r="R72" i="31"/>
  <c r="R73" i="31"/>
  <c r="R74" i="31"/>
  <c r="S74" i="31" s="1"/>
  <c r="R75" i="31"/>
  <c r="S75" i="31" s="1"/>
  <c r="R76" i="31"/>
  <c r="R77" i="31"/>
  <c r="R78" i="31"/>
  <c r="S78" i="31" s="1"/>
  <c r="R79" i="31"/>
  <c r="S79" i="31" s="1"/>
  <c r="R80" i="31"/>
  <c r="R81" i="31"/>
  <c r="R82" i="31"/>
  <c r="S82" i="31" s="1"/>
  <c r="R83" i="31"/>
  <c r="R84" i="31"/>
  <c r="R85" i="31"/>
  <c r="R86" i="31"/>
  <c r="S86" i="31" s="1"/>
  <c r="R87" i="31"/>
  <c r="S87" i="31" s="1"/>
  <c r="R88" i="31"/>
  <c r="R89" i="31"/>
  <c r="R90" i="31"/>
  <c r="S90" i="31" s="1"/>
  <c r="R91" i="31"/>
  <c r="R92" i="31"/>
  <c r="R93" i="31"/>
  <c r="R94" i="31"/>
  <c r="S94" i="31" s="1"/>
  <c r="R95" i="31"/>
  <c r="S95" i="31" s="1"/>
  <c r="R96" i="31"/>
  <c r="R97" i="31"/>
  <c r="R98" i="31"/>
  <c r="S98" i="31" s="1"/>
  <c r="R99" i="31"/>
  <c r="R100" i="31"/>
  <c r="R101" i="31"/>
  <c r="R102" i="31"/>
  <c r="S102" i="31" s="1"/>
  <c r="R103" i="31"/>
  <c r="S103" i="31" s="1"/>
  <c r="R104" i="31"/>
  <c r="R105" i="31"/>
  <c r="R106" i="31"/>
  <c r="S106" i="31" s="1"/>
  <c r="R107" i="31"/>
  <c r="R108" i="31"/>
  <c r="R109" i="31"/>
  <c r="R110" i="31"/>
  <c r="S110" i="31" s="1"/>
  <c r="R111" i="31"/>
  <c r="S111" i="31" s="1"/>
  <c r="R112" i="31"/>
  <c r="R113" i="31"/>
  <c r="R114" i="31"/>
  <c r="S114" i="31" s="1"/>
  <c r="R115" i="31"/>
  <c r="R116" i="31"/>
  <c r="R117" i="31"/>
  <c r="R118" i="31"/>
  <c r="S118" i="31" s="1"/>
  <c r="R119" i="31"/>
  <c r="S119" i="31" s="1"/>
  <c r="R120" i="31"/>
  <c r="R121" i="31"/>
  <c r="R122" i="31"/>
  <c r="S122" i="31" s="1"/>
  <c r="R123" i="31"/>
  <c r="R124" i="31"/>
  <c r="R125" i="31"/>
  <c r="R126" i="31"/>
  <c r="S126" i="31" s="1"/>
  <c r="R127" i="31"/>
  <c r="S127" i="31" s="1"/>
  <c r="R128" i="31"/>
  <c r="R129" i="31"/>
  <c r="R130" i="31"/>
  <c r="S130" i="31" s="1"/>
  <c r="R131" i="31"/>
  <c r="R132" i="31"/>
  <c r="R133" i="31"/>
  <c r="R134" i="31"/>
  <c r="S134" i="31" s="1"/>
  <c r="R135" i="31"/>
  <c r="S135" i="31" s="1"/>
  <c r="R136" i="31"/>
  <c r="R137" i="31"/>
  <c r="R138" i="31"/>
  <c r="S138" i="31" s="1"/>
  <c r="R139" i="31"/>
  <c r="R140" i="31"/>
  <c r="R141" i="31"/>
  <c r="R142" i="31"/>
  <c r="S142" i="31" s="1"/>
  <c r="R143" i="31"/>
  <c r="S143" i="31" s="1"/>
  <c r="R144" i="31"/>
  <c r="R145" i="31"/>
  <c r="R146" i="31"/>
  <c r="S146" i="31" s="1"/>
  <c r="R147" i="31"/>
  <c r="R148" i="31"/>
  <c r="R149" i="31"/>
  <c r="R150" i="31"/>
  <c r="S150" i="31" s="1"/>
  <c r="R151" i="31"/>
  <c r="S151" i="31" s="1"/>
  <c r="R152" i="31"/>
  <c r="R153" i="31"/>
  <c r="R154" i="31"/>
  <c r="S154" i="31" s="1"/>
  <c r="R155" i="31"/>
  <c r="R156" i="31"/>
  <c r="R157" i="31"/>
  <c r="R158" i="31"/>
  <c r="S158" i="31" s="1"/>
  <c r="R159" i="31"/>
  <c r="S159" i="31" s="1"/>
  <c r="R160" i="31"/>
  <c r="R161" i="31"/>
  <c r="R162" i="31"/>
  <c r="S162" i="31" s="1"/>
  <c r="R163" i="31"/>
  <c r="R164" i="31"/>
  <c r="R165" i="31"/>
  <c r="R166" i="31"/>
  <c r="S166" i="31" s="1"/>
  <c r="R167" i="31"/>
  <c r="S167" i="31" s="1"/>
  <c r="R168" i="31"/>
  <c r="R169" i="31"/>
  <c r="R170" i="31"/>
  <c r="S170" i="31" s="1"/>
  <c r="R171" i="31"/>
  <c r="R172" i="31"/>
  <c r="R173" i="31"/>
  <c r="R174" i="31"/>
  <c r="S174" i="31" s="1"/>
  <c r="R175" i="31"/>
  <c r="S175" i="31" s="1"/>
  <c r="R176" i="31"/>
  <c r="R177" i="31"/>
  <c r="R178" i="31"/>
  <c r="S178" i="31" s="1"/>
  <c r="R179" i="31"/>
  <c r="R180" i="31"/>
  <c r="R181" i="31"/>
  <c r="R182" i="31"/>
  <c r="S182" i="31" s="1"/>
  <c r="R183" i="31"/>
  <c r="S183" i="31" s="1"/>
  <c r="R184" i="31"/>
  <c r="R185" i="31"/>
  <c r="R186" i="31"/>
  <c r="S186" i="31" s="1"/>
  <c r="R187" i="31"/>
  <c r="R188" i="31"/>
  <c r="R189" i="31"/>
  <c r="R190" i="31"/>
  <c r="S190" i="31" s="1"/>
  <c r="R191" i="31"/>
  <c r="S191" i="31" s="1"/>
  <c r="R192" i="31"/>
  <c r="R193" i="31"/>
  <c r="R194" i="31"/>
  <c r="S194" i="31" s="1"/>
  <c r="R195" i="31"/>
  <c r="R196" i="31"/>
  <c r="R197" i="31"/>
  <c r="R198" i="31"/>
  <c r="S198" i="31" s="1"/>
  <c r="R199" i="31"/>
  <c r="S199" i="31" s="1"/>
  <c r="R200" i="31"/>
  <c r="R201" i="31"/>
  <c r="R202" i="31"/>
  <c r="S202" i="31" s="1"/>
  <c r="R203" i="31"/>
  <c r="R204" i="31"/>
  <c r="R205" i="31"/>
  <c r="R206" i="31"/>
  <c r="S206" i="31" s="1"/>
  <c r="R207" i="31"/>
  <c r="S207" i="31" s="1"/>
  <c r="R208" i="31"/>
  <c r="R209" i="31"/>
  <c r="R210" i="31"/>
  <c r="S210" i="31" s="1"/>
  <c r="R211" i="31"/>
  <c r="R212" i="31"/>
  <c r="R213" i="31"/>
  <c r="R214" i="31"/>
  <c r="S214" i="31" s="1"/>
  <c r="R215" i="31"/>
  <c r="S215" i="31" s="1"/>
  <c r="R216" i="31"/>
  <c r="R217" i="31"/>
  <c r="R218" i="31"/>
  <c r="S218" i="31" s="1"/>
  <c r="R219" i="31"/>
  <c r="R220" i="3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R423" i="31"/>
  <c r="S423" i="31" s="1"/>
  <c r="R424" i="31"/>
  <c r="R425" i="31"/>
  <c r="R426" i="31"/>
  <c r="S426" i="31" s="1"/>
  <c r="R427" i="31"/>
  <c r="R428" i="31"/>
  <c r="R429" i="31"/>
  <c r="R430" i="31"/>
  <c r="S430" i="31" s="1"/>
  <c r="R431" i="31"/>
  <c r="R432" i="31"/>
  <c r="R433" i="31"/>
  <c r="R434" i="31"/>
  <c r="S434" i="31" s="1"/>
  <c r="R435" i="31"/>
  <c r="S435" i="31" s="1"/>
  <c r="R436" i="31"/>
  <c r="R437" i="31"/>
  <c r="R438" i="31"/>
  <c r="S438" i="31" s="1"/>
  <c r="R439" i="31"/>
  <c r="R440" i="31"/>
  <c r="R441" i="31"/>
  <c r="R442" i="31"/>
  <c r="S442" i="31" s="1"/>
  <c r="R443" i="31"/>
  <c r="S443" i="31" s="1"/>
  <c r="R444" i="31"/>
  <c r="R445" i="31"/>
  <c r="R446" i="31"/>
  <c r="R447" i="31"/>
  <c r="R448" i="31"/>
  <c r="R449" i="31"/>
  <c r="R450" i="31"/>
  <c r="S450" i="31" s="1"/>
  <c r="R451" i="31"/>
  <c r="S451" i="31" s="1"/>
  <c r="R452" i="31"/>
  <c r="R453" i="31"/>
  <c r="R454" i="31"/>
  <c r="S454" i="31" s="1"/>
  <c r="R455" i="3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R484" i="31"/>
  <c r="R485" i="31"/>
  <c r="R486" i="31"/>
  <c r="S486" i="31" s="1"/>
  <c r="R487" i="31"/>
  <c r="S487" i="31" s="1"/>
  <c r="R488" i="31"/>
  <c r="R489" i="31"/>
  <c r="R490" i="31"/>
  <c r="S490" i="31" s="1"/>
  <c r="R491" i="31"/>
  <c r="R492" i="31"/>
  <c r="R493" i="31"/>
  <c r="R494" i="31"/>
  <c r="S494" i="31" s="1"/>
  <c r="R495" i="31"/>
  <c r="S495" i="31" s="1"/>
  <c r="R496" i="31"/>
  <c r="R497" i="31"/>
  <c r="R498" i="31"/>
  <c r="S498" i="31" s="1"/>
  <c r="R499" i="31"/>
  <c r="R500" i="31"/>
  <c r="R501" i="31"/>
  <c r="R502" i="31"/>
  <c r="S502" i="31" s="1"/>
  <c r="R503" i="31"/>
  <c r="R504" i="31"/>
  <c r="R505" i="31"/>
  <c r="R506" i="31"/>
  <c r="S506" i="31" s="1"/>
  <c r="R507" i="31"/>
  <c r="S507" i="31" s="1"/>
  <c r="R508" i="31"/>
  <c r="R509" i="31"/>
  <c r="R510" i="31"/>
  <c r="S510" i="31" s="1"/>
  <c r="R511" i="31"/>
  <c r="R512" i="31"/>
  <c r="R513" i="31"/>
  <c r="R514" i="31"/>
  <c r="S514" i="31" s="1"/>
  <c r="R515" i="31"/>
  <c r="S515" i="31" s="1"/>
  <c r="R516" i="31"/>
  <c r="R517" i="31"/>
  <c r="R518" i="31"/>
  <c r="S518" i="31" s="1"/>
  <c r="R519" i="3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AZ14" i="3" s="1"/>
  <c r="BC14" i="3"/>
  <c r="BD14" i="3"/>
  <c r="BE14" i="3"/>
  <c r="BF14" i="3"/>
  <c r="BG14" i="3"/>
  <c r="BH14" i="3"/>
  <c r="BI14" i="3"/>
  <c r="BJ14" i="3"/>
  <c r="BK14" i="3"/>
  <c r="BB15" i="3"/>
  <c r="BA15" i="3" s="1"/>
  <c r="BC15" i="3"/>
  <c r="BD15" i="3"/>
  <c r="BE15" i="3"/>
  <c r="BF15" i="3"/>
  <c r="BG15" i="3"/>
  <c r="BH15" i="3"/>
  <c r="BI15" i="3"/>
  <c r="BJ15" i="3"/>
  <c r="BK15" i="3"/>
  <c r="BB16" i="3"/>
  <c r="BA16" i="3" s="1"/>
  <c r="AZ16" i="3" s="1"/>
  <c r="BC16" i="3"/>
  <c r="BD16" i="3"/>
  <c r="BE16" i="3"/>
  <c r="BF16" i="3"/>
  <c r="BG16" i="3"/>
  <c r="BH16" i="3"/>
  <c r="BI16" i="3"/>
  <c r="BJ16" i="3"/>
  <c r="BK16" i="3"/>
  <c r="BB17" i="3"/>
  <c r="BA17" i="3" s="1"/>
  <c r="AZ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2" i="31"/>
  <c r="S408" i="31"/>
  <c r="S404" i="31"/>
  <c r="S400" i="31"/>
  <c r="S396" i="31"/>
  <c r="S392" i="31"/>
  <c r="S390" i="31"/>
  <c r="S388" i="31"/>
  <c r="S384" i="31"/>
  <c r="S380" i="31"/>
  <c r="S376" i="31"/>
  <c r="S372" i="31"/>
  <c r="S368" i="31"/>
  <c r="S364" i="31"/>
  <c r="S360" i="31"/>
  <c r="S358" i="31"/>
  <c r="S356" i="31"/>
  <c r="S352" i="31"/>
  <c r="S348" i="31"/>
  <c r="S344" i="31"/>
  <c r="S340" i="31"/>
  <c r="S336" i="31"/>
  <c r="S332" i="31"/>
  <c r="S328" i="31"/>
  <c r="S326" i="31"/>
  <c r="S324" i="31"/>
  <c r="S424" i="31"/>
  <c r="S320" i="31"/>
  <c r="S318" i="31"/>
  <c r="S316" i="31"/>
  <c r="S312" i="31"/>
  <c r="S308" i="31"/>
  <c r="S304" i="31"/>
  <c r="S300" i="31"/>
  <c r="S296" i="31"/>
  <c r="S292" i="31"/>
  <c r="S288" i="31"/>
  <c r="S286" i="31"/>
  <c r="S284" i="31"/>
  <c r="S280" i="31"/>
  <c r="S276" i="31"/>
  <c r="S272" i="31"/>
  <c r="S268" i="31"/>
  <c r="S264" i="31"/>
  <c r="S260"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1" i="31"/>
  <c r="S220" i="31"/>
  <c r="S219" i="31"/>
  <c r="S217" i="31"/>
  <c r="S216" i="31"/>
  <c r="S213" i="31"/>
  <c r="S212" i="31"/>
  <c r="S211" i="31"/>
  <c r="S209" i="31"/>
  <c r="S208" i="31"/>
  <c r="S205" i="31"/>
  <c r="S204" i="31"/>
  <c r="S203" i="31"/>
  <c r="S201" i="31"/>
  <c r="S200" i="31"/>
  <c r="S197" i="31"/>
  <c r="S196" i="31"/>
  <c r="S195" i="31"/>
  <c r="S193" i="31"/>
  <c r="S192" i="31"/>
  <c r="S189" i="31"/>
  <c r="S188" i="31"/>
  <c r="S187" i="31"/>
  <c r="S185" i="31"/>
  <c r="S184" i="31"/>
  <c r="S181" i="31"/>
  <c r="S180" i="31"/>
  <c r="S179" i="31"/>
  <c r="S177" i="31"/>
  <c r="S176" i="31"/>
  <c r="S173" i="31"/>
  <c r="S172" i="31"/>
  <c r="S171" i="31"/>
  <c r="S169" i="31"/>
  <c r="S168" i="31"/>
  <c r="S165" i="31"/>
  <c r="S164" i="31"/>
  <c r="S163" i="31"/>
  <c r="S161" i="31"/>
  <c r="S160" i="31"/>
  <c r="S157" i="31"/>
  <c r="S156" i="31"/>
  <c r="S155" i="31"/>
  <c r="S153" i="31"/>
  <c r="S152" i="31"/>
  <c r="S149" i="31"/>
  <c r="S148" i="31"/>
  <c r="S147" i="31"/>
  <c r="S145" i="31"/>
  <c r="S144" i="31"/>
  <c r="S141" i="31"/>
  <c r="S140" i="31"/>
  <c r="S139" i="31"/>
  <c r="S137" i="31"/>
  <c r="S136" i="31"/>
  <c r="S133" i="31"/>
  <c r="S132" i="31"/>
  <c r="S131" i="31"/>
  <c r="S129" i="31"/>
  <c r="S128" i="31"/>
  <c r="S125" i="31"/>
  <c r="S124" i="31"/>
  <c r="S123" i="31"/>
  <c r="S497" i="31"/>
  <c r="S496" i="31"/>
  <c r="S493" i="31"/>
  <c r="S492" i="31"/>
  <c r="S491" i="31"/>
  <c r="S489" i="31"/>
  <c r="S488" i="31"/>
  <c r="S485" i="31"/>
  <c r="S484" i="31"/>
  <c r="S483" i="31"/>
  <c r="S481" i="31"/>
  <c r="S480" i="31"/>
  <c r="S477" i="31"/>
  <c r="S476" i="31"/>
  <c r="S475" i="31"/>
  <c r="S473" i="31"/>
  <c r="S472" i="31"/>
  <c r="S469" i="31"/>
  <c r="S468" i="31"/>
  <c r="S444" i="31"/>
  <c r="S441" i="31"/>
  <c r="S440" i="31"/>
  <c r="S439" i="31"/>
  <c r="S437" i="31"/>
  <c r="S436" i="31"/>
  <c r="S433" i="31"/>
  <c r="S432" i="31"/>
  <c r="S431" i="31"/>
  <c r="S121" i="31"/>
  <c r="S120" i="31"/>
  <c r="S117" i="31"/>
  <c r="S116" i="31"/>
  <c r="S115" i="31"/>
  <c r="S113" i="31"/>
  <c r="S112" i="31"/>
  <c r="S504" i="31"/>
  <c r="S500" i="31"/>
  <c r="S465" i="31"/>
  <c r="S464" i="31"/>
  <c r="S463" i="31"/>
  <c r="S461" i="31"/>
  <c r="S460" i="31"/>
  <c r="S457" i="31"/>
  <c r="S456" i="31"/>
  <c r="S455" i="31"/>
  <c r="S453" i="31"/>
  <c r="S452" i="31"/>
  <c r="S54" i="31"/>
  <c r="S53" i="31"/>
  <c r="S52" i="31"/>
  <c r="S50" i="31"/>
  <c r="S49" i="31"/>
  <c r="S48" i="31"/>
  <c r="S46" i="31"/>
  <c r="S45" i="31"/>
  <c r="S44" i="31"/>
  <c r="S42" i="31"/>
  <c r="S41" i="31"/>
  <c r="S40" i="31"/>
  <c r="S38" i="31"/>
  <c r="S37" i="31"/>
  <c r="S36" i="31"/>
  <c r="S34" i="31"/>
  <c r="S33" i="31"/>
  <c r="S32" i="31"/>
  <c r="S77" i="31"/>
  <c r="S76" i="31"/>
  <c r="S73" i="31"/>
  <c r="S72" i="31"/>
  <c r="S71" i="31"/>
  <c r="S69" i="31"/>
  <c r="S68" i="31"/>
  <c r="S65" i="31"/>
  <c r="S64" i="31"/>
  <c r="S63" i="31"/>
  <c r="S61" i="31"/>
  <c r="S60" i="31"/>
  <c r="S57" i="31"/>
  <c r="S56" i="31"/>
  <c r="S55" i="31"/>
  <c r="S97" i="31"/>
  <c r="S96" i="31"/>
  <c r="S93" i="31"/>
  <c r="S92" i="31"/>
  <c r="S91" i="31"/>
  <c r="S89" i="31"/>
  <c r="S88" i="31"/>
  <c r="S85" i="31"/>
  <c r="S84" i="31"/>
  <c r="S83" i="31"/>
  <c r="S81" i="31"/>
  <c r="S80" i="31"/>
  <c r="S31" i="31"/>
  <c r="S29" i="31"/>
  <c r="S99" i="31"/>
  <c r="S100" i="31"/>
  <c r="S101" i="31"/>
  <c r="S104" i="31"/>
  <c r="S105" i="31"/>
  <c r="S107" i="31"/>
  <c r="S108" i="31"/>
  <c r="S109" i="31"/>
  <c r="S445" i="31"/>
  <c r="S446" i="31"/>
  <c r="S447" i="31"/>
  <c r="S448" i="31"/>
  <c r="S449"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D5" i="3" s="1"/>
  <c r="BE493" i="3"/>
  <c r="BF493" i="3"/>
  <c r="BG493" i="3"/>
  <c r="BH493" i="3"/>
  <c r="BI493" i="3"/>
  <c r="BJ493" i="3"/>
  <c r="BK493" i="3"/>
  <c r="BM493" i="3"/>
  <c r="BM5" i="3" s="1"/>
  <c r="BN493" i="3"/>
  <c r="BO493" i="3"/>
  <c r="BP493" i="3"/>
  <c r="BR493" i="3"/>
  <c r="BS493" i="3"/>
  <c r="BT493" i="3"/>
  <c r="H494" i="3"/>
  <c r="AC494" i="3"/>
  <c r="BB494" i="3"/>
  <c r="BC494" i="3"/>
  <c r="BD494" i="3"/>
  <c r="BE494" i="3"/>
  <c r="BE5"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L495" i="3" s="1"/>
  <c r="BO495" i="3"/>
  <c r="BP495" i="3"/>
  <c r="BR495" i="3"/>
  <c r="BS495" i="3"/>
  <c r="BT495" i="3"/>
  <c r="H496" i="3"/>
  <c r="AC496" i="3"/>
  <c r="BB496" i="3"/>
  <c r="BA496" i="3" s="1"/>
  <c r="BC496" i="3"/>
  <c r="BD496" i="3"/>
  <c r="BE496" i="3"/>
  <c r="BF496" i="3"/>
  <c r="BF5" i="3" s="1"/>
  <c r="BG496" i="3"/>
  <c r="BH496" i="3"/>
  <c r="BI496" i="3"/>
  <c r="BJ496" i="3"/>
  <c r="BK496" i="3"/>
  <c r="BM496" i="3"/>
  <c r="BN496" i="3"/>
  <c r="BO496" i="3"/>
  <c r="BO5" i="3" s="1"/>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BT5" i="3" s="1"/>
  <c r="H498" i="3"/>
  <c r="AC498" i="3"/>
  <c r="BB498" i="3"/>
  <c r="BC498" i="3"/>
  <c r="BA498" i="3" s="1"/>
  <c r="AZ498" i="3" s="1"/>
  <c r="BD498" i="3"/>
  <c r="BE498" i="3"/>
  <c r="BF498" i="3"/>
  <c r="BG498" i="3"/>
  <c r="BG5" i="3" s="1"/>
  <c r="BH498" i="3"/>
  <c r="BI498" i="3"/>
  <c r="BJ498" i="3"/>
  <c r="BK498" i="3"/>
  <c r="BM498" i="3"/>
  <c r="BN498" i="3"/>
  <c r="BO498" i="3"/>
  <c r="BP498" i="3"/>
  <c r="BP5" i="3" s="1"/>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AZ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AZ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A538" i="3" s="1"/>
  <c r="BF538" i="3"/>
  <c r="BG538" i="3"/>
  <c r="BH538" i="3"/>
  <c r="BI538" i="3"/>
  <c r="BJ538" i="3"/>
  <c r="BK538" i="3"/>
  <c r="BM538" i="3"/>
  <c r="BN538" i="3"/>
  <c r="BL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G542" i="3" s="1"/>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G111" i="33" s="1"/>
  <c r="H111" i="33" s="1"/>
  <c r="I111" i="33" s="1"/>
  <c r="J111" i="33" s="1"/>
  <c r="K111" i="33" s="1"/>
  <c r="L111" i="33" s="1"/>
  <c r="M111" i="33" s="1"/>
  <c r="S516" i="31"/>
  <c r="S517" i="31"/>
  <c r="S519" i="31"/>
  <c r="S520" i="31"/>
  <c r="S521"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J13" i="36" s="1"/>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AB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J23" i="35" s="1"/>
  <c r="AC23" i="35" s="1"/>
  <c r="B57" i="35"/>
  <c r="B61" i="35"/>
  <c r="B59" i="35"/>
  <c r="F12" i="35" s="1"/>
  <c r="B131" i="34"/>
  <c r="B129" i="34"/>
  <c r="B127" i="34"/>
  <c r="B99" i="34"/>
  <c r="F32" i="34" s="1"/>
  <c r="B97" i="34"/>
  <c r="B95" i="34"/>
  <c r="B93" i="34"/>
  <c r="B75" i="34"/>
  <c r="F14" i="34" s="1"/>
  <c r="AA14" i="34" s="1"/>
  <c r="B73" i="34"/>
  <c r="B71" i="34"/>
  <c r="J12" i="34" s="1"/>
  <c r="W12" i="34" s="1"/>
  <c r="B130" i="33"/>
  <c r="B128" i="33"/>
  <c r="J45" i="33" s="1"/>
  <c r="W45" i="33" s="1"/>
  <c r="B126" i="33"/>
  <c r="B98" i="33"/>
  <c r="B96" i="33"/>
  <c r="B94" i="33"/>
  <c r="F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F91" i="33" s="1"/>
  <c r="G91" i="33" s="1"/>
  <c r="H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Q37" i="33"/>
  <c r="Z37" i="33" s="1"/>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C17" i="40"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J31" i="21" s="1"/>
  <c r="AC31" i="21" s="1"/>
  <c r="B96" i="21"/>
  <c r="F30" i="21" s="1"/>
  <c r="S30" i="21" s="1"/>
  <c r="B94" i="21"/>
  <c r="J29" i="21"/>
  <c r="AC29" i="21" s="1"/>
  <c r="B92" i="21"/>
  <c r="B90" i="21"/>
  <c r="J27" i="21"/>
  <c r="W27" i="21" s="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AA36" i="34" s="1"/>
  <c r="J35" i="34"/>
  <c r="U34" i="34"/>
  <c r="H39" i="33"/>
  <c r="AB39" i="33" s="1"/>
  <c r="F26" i="33"/>
  <c r="AA26" i="33" s="1"/>
  <c r="U33" i="33"/>
  <c r="S40" i="33"/>
  <c r="W33" i="33"/>
  <c r="S27" i="35"/>
  <c r="F11" i="40"/>
  <c r="AA11" i="40" s="1"/>
  <c r="H11" i="40"/>
  <c r="AB11" i="40"/>
  <c r="W8" i="40"/>
  <c r="AA9" i="40"/>
  <c r="U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J31" i="39"/>
  <c r="W31" i="39" s="1"/>
  <c r="H27" i="39"/>
  <c r="U27" i="39" s="1"/>
  <c r="J19" i="39"/>
  <c r="AC19" i="39" s="1"/>
  <c r="J17" i="39"/>
  <c r="W17" i="39" s="1"/>
  <c r="J27" i="39"/>
  <c r="W27" i="39" s="1"/>
  <c r="F27" i="39"/>
  <c r="AA27" i="39" s="1"/>
  <c r="F11" i="21"/>
  <c r="S11" i="21" s="1"/>
  <c r="S40" i="21"/>
  <c r="U34" i="21"/>
  <c r="H11" i="39"/>
  <c r="AB11" i="39" s="1"/>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S44" i="39"/>
  <c r="F37" i="39"/>
  <c r="AA37" i="39" s="1"/>
  <c r="U30" i="36"/>
  <c r="J30" i="35"/>
  <c r="W30" i="35" s="1"/>
  <c r="H30" i="35"/>
  <c r="AB30" i="35" s="1"/>
  <c r="F22" i="35"/>
  <c r="AA22" i="35"/>
  <c r="H10" i="35"/>
  <c r="U10" i="35" s="1"/>
  <c r="F33" i="36"/>
  <c r="AA33" i="36" s="1"/>
  <c r="H16" i="36"/>
  <c r="AB16" i="36"/>
  <c r="J29" i="36"/>
  <c r="AC29" i="36" s="1"/>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AB23" i="34" s="1"/>
  <c r="U23" i="34"/>
  <c r="J23" i="34"/>
  <c r="F19" i="34"/>
  <c r="H17" i="34"/>
  <c r="U17" i="34"/>
  <c r="F15" i="34"/>
  <c r="AA15" i="34" s="1"/>
  <c r="J15" i="34"/>
  <c r="H15" i="34"/>
  <c r="AB15" i="34" s="1"/>
  <c r="W8" i="34"/>
  <c r="F41" i="33"/>
  <c r="S41" i="33" s="1"/>
  <c r="AA41" i="33"/>
  <c r="E113" i="33"/>
  <c r="F113" i="33" s="1"/>
  <c r="G113" i="33" s="1"/>
  <c r="H113" i="33" s="1"/>
  <c r="I113" i="33" s="1"/>
  <c r="J113" i="33" s="1"/>
  <c r="K113" i="33" s="1"/>
  <c r="L113" i="33" s="1"/>
  <c r="M113" i="33" s="1"/>
  <c r="F32" i="33"/>
  <c r="AA32" i="33" s="1"/>
  <c r="J19" i="33"/>
  <c r="AC19" i="33"/>
  <c r="J15" i="33"/>
  <c r="AC15" i="33" s="1"/>
  <c r="F11" i="33"/>
  <c r="AA11" i="33" s="1"/>
  <c r="S26" i="33"/>
  <c r="W40" i="33"/>
  <c r="F37" i="40"/>
  <c r="AA37" i="40"/>
  <c r="F36" i="40"/>
  <c r="AA36" i="40" s="1"/>
  <c r="H28" i="40"/>
  <c r="U28" i="40"/>
  <c r="F23" i="40"/>
  <c r="AA23" i="40" s="1"/>
  <c r="F17" i="40"/>
  <c r="AA17" i="40" s="1"/>
  <c r="J17" i="40"/>
  <c r="W17" i="40" s="1"/>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H37" i="33"/>
  <c r="AB37" i="33" s="1"/>
  <c r="H15" i="33"/>
  <c r="AB15" i="33" s="1"/>
  <c r="H11" i="33"/>
  <c r="AB11" i="33" s="1"/>
  <c r="F28" i="40"/>
  <c r="AA28" i="40" s="1"/>
  <c r="AC38" i="34"/>
  <c r="AA38" i="34"/>
  <c r="J37" i="34"/>
  <c r="AC37" i="34" s="1"/>
  <c r="J11" i="33"/>
  <c r="W11" i="33" s="1"/>
  <c r="I123" i="21"/>
  <c r="J123" i="21" s="1"/>
  <c r="K123" i="21" s="1"/>
  <c r="L123" i="21" s="1"/>
  <c r="M123" i="21" s="1"/>
  <c r="J42" i="21"/>
  <c r="AC42" i="21"/>
  <c r="H42" i="21"/>
  <c r="U42" i="21" s="1"/>
  <c r="J44" i="34"/>
  <c r="W44" i="34" s="1"/>
  <c r="F44" i="34"/>
  <c r="AA44" i="34"/>
  <c r="J10" i="35"/>
  <c r="AC10" i="35" s="1"/>
  <c r="J14" i="21"/>
  <c r="W14" i="21" s="1"/>
  <c r="F14" i="21"/>
  <c r="S14" i="21" s="1"/>
  <c r="U14" i="21"/>
  <c r="H28" i="21"/>
  <c r="AB28" i="21" s="1"/>
  <c r="F28" i="21"/>
  <c r="AA28" i="21" s="1"/>
  <c r="J28" i="21"/>
  <c r="W28" i="21" s="1"/>
  <c r="H30" i="21"/>
  <c r="U30" i="21" s="1"/>
  <c r="J30" i="21"/>
  <c r="AC30" i="21"/>
  <c r="J44" i="21"/>
  <c r="AC44" i="21" s="1"/>
  <c r="H44" i="21"/>
  <c r="U44" i="21"/>
  <c r="F44" i="21"/>
  <c r="AA44" i="21" s="1"/>
  <c r="H46" i="21"/>
  <c r="U46" i="21" s="1"/>
  <c r="H26" i="33"/>
  <c r="U26"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45" i="21"/>
  <c r="AA45" i="21" s="1"/>
  <c r="J13" i="33"/>
  <c r="H13" i="33"/>
  <c r="U13" i="33" s="1"/>
  <c r="F13" i="33"/>
  <c r="S13" i="33"/>
  <c r="H29" i="33"/>
  <c r="U29" i="33" s="1"/>
  <c r="J31" i="33"/>
  <c r="W31" i="33"/>
  <c r="H31" i="33"/>
  <c r="F31" i="33"/>
  <c r="F45" i="33"/>
  <c r="AA45" i="33" s="1"/>
  <c r="H14" i="34"/>
  <c r="H30" i="34"/>
  <c r="F30" i="34"/>
  <c r="S30" i="34"/>
  <c r="J30"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AA14" i="39" s="1"/>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AB13" i="39" s="1"/>
  <c r="H14" i="40"/>
  <c r="AB14" i="40"/>
  <c r="J14" i="40"/>
  <c r="W14" i="40" s="1"/>
  <c r="F14" i="40"/>
  <c r="AA14" i="40" s="1"/>
  <c r="J14" i="37"/>
  <c r="J27" i="37"/>
  <c r="AC27" i="37" s="1"/>
  <c r="AA44" i="33"/>
  <c r="U46" i="33"/>
  <c r="AA14" i="33"/>
  <c r="J36" i="37"/>
  <c r="AC36" i="37" s="1"/>
  <c r="J10" i="36"/>
  <c r="AC10" i="36" s="1"/>
  <c r="AB26" i="33"/>
  <c r="S11" i="36"/>
  <c r="AB46" i="34"/>
  <c r="AC28" i="21"/>
  <c r="S44" i="34"/>
  <c r="BA585" i="3"/>
  <c r="F17" i="21"/>
  <c r="AA17" i="21" s="1"/>
  <c r="H17" i="21"/>
  <c r="AB17" i="21" s="1"/>
  <c r="F15" i="21"/>
  <c r="S15" i="21" s="1"/>
  <c r="J41" i="39"/>
  <c r="W41" i="39" s="1"/>
  <c r="W44" i="39"/>
  <c r="U36" i="39"/>
  <c r="S35" i="39"/>
  <c r="G544" i="3"/>
  <c r="G540" i="3"/>
  <c r="G535" i="3"/>
  <c r="G532" i="3"/>
  <c r="G527" i="3"/>
  <c r="G523" i="3"/>
  <c r="G518" i="3"/>
  <c r="G510" i="3"/>
  <c r="G508" i="3"/>
  <c r="G504" i="3"/>
  <c r="G496" i="3"/>
  <c r="G584" i="3"/>
  <c r="G580" i="3"/>
  <c r="G576" i="3"/>
  <c r="G572" i="3"/>
  <c r="G568" i="3"/>
  <c r="G564" i="3"/>
  <c r="G560" i="3"/>
  <c r="G554" i="3"/>
  <c r="G550" i="3"/>
  <c r="BL580" i="3"/>
  <c r="BL576" i="3"/>
  <c r="BL572" i="3"/>
  <c r="BL568" i="3"/>
  <c r="BL564" i="3"/>
  <c r="BL560" i="3"/>
  <c r="BL554" i="3"/>
  <c r="BL534" i="3"/>
  <c r="BL516" i="3"/>
  <c r="BL498" i="3"/>
  <c r="BL578" i="3"/>
  <c r="BL574" i="3"/>
  <c r="BL570" i="3"/>
  <c r="BL566" i="3"/>
  <c r="BL562" i="3"/>
  <c r="BL556" i="3"/>
  <c r="BL552" i="3"/>
  <c r="BL536" i="3"/>
  <c r="G533" i="3"/>
  <c r="BL528" i="3"/>
  <c r="G525" i="3"/>
  <c r="BL514" i="3"/>
  <c r="BL496" i="3"/>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6" i="3"/>
  <c r="BA536" i="3"/>
  <c r="AZ536" i="3" s="1"/>
  <c r="BA532" i="3"/>
  <c r="BA526" i="3"/>
  <c r="BA518" i="3"/>
  <c r="BA506" i="3"/>
  <c r="AZ506" i="3" s="1"/>
  <c r="BA500" i="3"/>
  <c r="BA494" i="3"/>
  <c r="AZ494" i="3" s="1"/>
  <c r="BA581" i="3"/>
  <c r="BA579" i="3"/>
  <c r="BA577" i="3"/>
  <c r="BA575" i="3"/>
  <c r="BA573" i="3"/>
  <c r="BA571" i="3"/>
  <c r="BA569" i="3"/>
  <c r="BA567" i="3"/>
  <c r="BA565" i="3"/>
  <c r="AZ565" i="3" s="1"/>
  <c r="BA563" i="3"/>
  <c r="BA561" i="3"/>
  <c r="BA559" i="3"/>
  <c r="BA555" i="3"/>
  <c r="BA553" i="3"/>
  <c r="BA545" i="3"/>
  <c r="BA537" i="3"/>
  <c r="BA529" i="3"/>
  <c r="AZ529" i="3" s="1"/>
  <c r="BA519" i="3"/>
  <c r="BA511" i="3"/>
  <c r="BA501" i="3"/>
  <c r="BA493" i="3"/>
  <c r="AZ560" i="3"/>
  <c r="G583" i="3"/>
  <c r="G581" i="3"/>
  <c r="G579" i="3"/>
  <c r="G577" i="3"/>
  <c r="G575" i="3"/>
  <c r="G573" i="3"/>
  <c r="G571" i="3"/>
  <c r="G569" i="3"/>
  <c r="G567" i="3"/>
  <c r="G565" i="3"/>
  <c r="G563" i="3"/>
  <c r="G561" i="3"/>
  <c r="BL558" i="3"/>
  <c r="BA557" i="3"/>
  <c r="AC557" i="3"/>
  <c r="G557" i="3" s="1"/>
  <c r="BQ557" i="3"/>
  <c r="BL557" i="3" s="1"/>
  <c r="BQ583" i="3"/>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3" i="3"/>
  <c r="G541" i="3"/>
  <c r="G539" i="3"/>
  <c r="BQ555" i="3"/>
  <c r="BL555" i="3"/>
  <c r="BQ553" i="3"/>
  <c r="BL553" i="3" s="1"/>
  <c r="AZ553" i="3" s="1"/>
  <c r="BQ551" i="3"/>
  <c r="BQ549" i="3"/>
  <c r="BL549" i="3" s="1"/>
  <c r="BQ547" i="3"/>
  <c r="BQ545" i="3"/>
  <c r="BQ543" i="3"/>
  <c r="BL543" i="3" s="1"/>
  <c r="BQ541" i="3"/>
  <c r="BQ539" i="3"/>
  <c r="BL539" i="3" s="1"/>
  <c r="AZ539" i="3" s="1"/>
  <c r="BQ537" i="3"/>
  <c r="BQ535" i="3"/>
  <c r="BQ533" i="3"/>
  <c r="BQ531" i="3"/>
  <c r="BQ529" i="3"/>
  <c r="BL529" i="3"/>
  <c r="BQ527" i="3"/>
  <c r="BQ525" i="3"/>
  <c r="BL525" i="3"/>
  <c r="BQ523" i="3"/>
  <c r="AC521" i="3"/>
  <c r="G521" i="3"/>
  <c r="BQ521" i="3"/>
  <c r="G519" i="3"/>
  <c r="G513" i="3"/>
  <c r="G511" i="3"/>
  <c r="BQ519" i="3"/>
  <c r="BQ517" i="3"/>
  <c r="BL517" i="3"/>
  <c r="BQ515" i="3"/>
  <c r="BQ513" i="3"/>
  <c r="BQ511" i="3"/>
  <c r="BL511" i="3" s="1"/>
  <c r="AZ511" i="3" s="1"/>
  <c r="AC509" i="3"/>
  <c r="BQ509" i="3"/>
  <c r="BL509" i="3"/>
  <c r="G507" i="3"/>
  <c r="G505" i="3"/>
  <c r="G499" i="3"/>
  <c r="G497" i="3"/>
  <c r="BQ507" i="3"/>
  <c r="BQ505" i="3"/>
  <c r="BL505" i="3"/>
  <c r="BQ503" i="3"/>
  <c r="BQ501" i="3"/>
  <c r="BL501" i="3"/>
  <c r="BQ499" i="3"/>
  <c r="BQ497" i="3"/>
  <c r="BL497" i="3"/>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F42" i="33"/>
  <c r="AA42" i="33" s="1"/>
  <c r="F14" i="36"/>
  <c r="AA14" i="36" s="1"/>
  <c r="F22" i="36"/>
  <c r="S22" i="36" s="1"/>
  <c r="F26" i="36"/>
  <c r="S26" i="36" s="1"/>
  <c r="H27" i="34"/>
  <c r="AB27" i="34" s="1"/>
  <c r="H35" i="34"/>
  <c r="U35" i="34" s="1"/>
  <c r="F41" i="34"/>
  <c r="H41" i="34"/>
  <c r="J41" i="34"/>
  <c r="AC41" i="34" s="1"/>
  <c r="F10" i="35"/>
  <c r="S10" i="35" s="1"/>
  <c r="F24" i="35"/>
  <c r="AA24" i="35"/>
  <c r="H24" i="35"/>
  <c r="AB24" i="35" s="1"/>
  <c r="H23" i="37"/>
  <c r="AB23" i="37"/>
  <c r="J32" i="37"/>
  <c r="AC32" i="37" s="1"/>
  <c r="F36" i="37"/>
  <c r="AA36" i="37"/>
  <c r="F37" i="37"/>
  <c r="AA37" i="37" s="1"/>
  <c r="F32" i="40"/>
  <c r="S32" i="40"/>
  <c r="H32" i="40"/>
  <c r="AB32" i="40" s="1"/>
  <c r="J36" i="40"/>
  <c r="W36" i="40"/>
  <c r="H19" i="37"/>
  <c r="AB19" i="37" s="1"/>
  <c r="H42" i="33"/>
  <c r="AB42" i="33" s="1"/>
  <c r="J43" i="33"/>
  <c r="AC43" i="33" s="1"/>
  <c r="S28" i="31"/>
  <c r="S27" i="31"/>
  <c r="U14" i="40"/>
  <c r="U26" i="37"/>
  <c r="AA13" i="33"/>
  <c r="AC31" i="33"/>
  <c r="U11" i="33"/>
  <c r="U19"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19" i="40"/>
  <c r="U19" i="40" s="1"/>
  <c r="F88" i="40"/>
  <c r="G88" i="40" s="1"/>
  <c r="F19" i="40"/>
  <c r="S19" i="40" s="1"/>
  <c r="AC13" i="40"/>
  <c r="AB33" i="40"/>
  <c r="AC43" i="39"/>
  <c r="W43" i="39"/>
  <c r="AB44" i="39"/>
  <c r="U44" i="39"/>
  <c r="G100" i="39"/>
  <c r="H37" i="39"/>
  <c r="AB37" i="39" s="1"/>
  <c r="AC37" i="39"/>
  <c r="W37" i="39"/>
  <c r="H25" i="39"/>
  <c r="AB25" i="39" s="1"/>
  <c r="J25" i="39"/>
  <c r="AC25" i="39" s="1"/>
  <c r="F25" i="39"/>
  <c r="AA25" i="39" s="1"/>
  <c r="F15" i="39"/>
  <c r="AA15" i="39" s="1"/>
  <c r="H15" i="39"/>
  <c r="U15" i="39" s="1"/>
  <c r="J15" i="39"/>
  <c r="W15" i="39" s="1"/>
  <c r="H41" i="39"/>
  <c r="S42" i="39"/>
  <c r="W8" i="39"/>
  <c r="J19" i="40"/>
  <c r="AC19" i="40" s="1"/>
  <c r="J50" i="40"/>
  <c r="H103" i="9"/>
  <c r="D8" i="53" s="1"/>
  <c r="B16" i="53"/>
  <c r="B33" i="72" s="1"/>
  <c r="C7" i="34"/>
  <c r="A118" i="9"/>
  <c r="A4" i="52"/>
  <c r="B41" i="72" s="1"/>
  <c r="J11" i="39"/>
  <c r="W11" i="39" s="1"/>
  <c r="F11" i="39"/>
  <c r="G4" i="4"/>
  <c r="I4" i="4"/>
  <c r="A2" i="9"/>
  <c r="F61" i="43"/>
  <c r="H64" i="43" s="1"/>
  <c r="AZ497" i="3"/>
  <c r="AZ522"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AZ167" i="3" s="1"/>
  <c r="BL168" i="3"/>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G197" i="3"/>
  <c r="BA199" i="3"/>
  <c r="AZ199" i="3" s="1"/>
  <c r="BL200" i="3"/>
  <c r="AZ200" i="3" s="1"/>
  <c r="G201" i="3"/>
  <c r="BA203" i="3"/>
  <c r="BL204" i="3"/>
  <c r="AZ168" i="3"/>
  <c r="AZ120" i="3"/>
  <c r="AZ128" i="3"/>
  <c r="G534"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46" i="3"/>
  <c r="BL303" i="3"/>
  <c r="G304" i="3"/>
  <c r="BA306" i="3"/>
  <c r="BL307" i="3"/>
  <c r="G308" i="3"/>
  <c r="BA310" i="3"/>
  <c r="BL311" i="3"/>
  <c r="AZ311" i="3" s="1"/>
  <c r="G312" i="3"/>
  <c r="BA314" i="3"/>
  <c r="BL315" i="3"/>
  <c r="AZ315" i="3" s="1"/>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AZ237" i="3"/>
  <c r="AZ245" i="3"/>
  <c r="AZ249" i="3"/>
  <c r="AZ257" i="3"/>
  <c r="AZ265" i="3"/>
  <c r="BA379" i="3"/>
  <c r="AZ379" i="3" s="1"/>
  <c r="BL380" i="3"/>
  <c r="G381" i="3"/>
  <c r="BA383" i="3"/>
  <c r="AZ383" i="3" s="1"/>
  <c r="BL384" i="3"/>
  <c r="AZ384" i="3" s="1"/>
  <c r="G385" i="3"/>
  <c r="BA387" i="3"/>
  <c r="AZ387" i="3" s="1"/>
  <c r="BL388" i="3"/>
  <c r="G389" i="3"/>
  <c r="BA391" i="3"/>
  <c r="BL392" i="3"/>
  <c r="AZ392" i="3" s="1"/>
  <c r="G393" i="3"/>
  <c r="AZ283" i="3"/>
  <c r="BJ5" i="3"/>
  <c r="BH5" i="3"/>
  <c r="AZ325" i="3"/>
  <c r="AZ496" i="3"/>
  <c r="G548" i="3"/>
  <c r="G520" i="3"/>
  <c r="G502" i="3"/>
  <c r="BS5" i="3"/>
  <c r="BK5" i="3"/>
  <c r="BI5" i="3"/>
  <c r="G17" i="3"/>
  <c r="AZ356" i="3"/>
  <c r="BB5" i="3"/>
  <c r="BR5" i="3"/>
  <c r="AZ499" i="3"/>
  <c r="U36" i="40"/>
  <c r="F83" i="43"/>
  <c r="H85" i="43" s="1"/>
  <c r="F50" i="43"/>
  <c r="H54" i="43" s="1"/>
  <c r="F72" i="43"/>
  <c r="H75" i="43" s="1"/>
  <c r="S14" i="35"/>
  <c r="U43" i="21"/>
  <c r="U35" i="21"/>
  <c r="AC35" i="21"/>
  <c r="AZ563" i="3"/>
  <c r="W37" i="37"/>
  <c r="AC44" i="34"/>
  <c r="S15"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27" i="40"/>
  <c r="U27" i="40"/>
  <c r="J27" i="40"/>
  <c r="AC27" i="40" s="1"/>
  <c r="F27" i="40"/>
  <c r="S27" i="40"/>
  <c r="J30" i="40"/>
  <c r="AC30" i="40" s="1"/>
  <c r="F30" i="40"/>
  <c r="AA30" i="40"/>
  <c r="AC21" i="40"/>
  <c r="S11" i="40"/>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40" i="3"/>
  <c r="AZ280" i="3"/>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U33" i="36"/>
  <c r="W12" i="33"/>
  <c r="AC12" i="33"/>
  <c r="AA32" i="36"/>
  <c r="S32" i="36"/>
  <c r="AZ437" i="3"/>
  <c r="BL14" i="3"/>
  <c r="U30" i="33"/>
  <c r="AC13" i="34"/>
  <c r="AA47" i="34"/>
  <c r="W28" i="37"/>
  <c r="F12" i="33"/>
  <c r="F39" i="40"/>
  <c r="AZ224" i="3"/>
  <c r="B12" i="1"/>
  <c r="E12" i="1" s="1"/>
  <c r="B10" i="1"/>
  <c r="E10" i="1" s="1"/>
  <c r="K12" i="1"/>
  <c r="M12" i="1" s="1"/>
  <c r="S13" i="1"/>
  <c r="AR13" i="1" s="1"/>
  <c r="R13" i="1"/>
  <c r="J51" i="67"/>
  <c r="C42" i="1"/>
  <c r="C24" i="12" s="1"/>
  <c r="AA34" i="33"/>
  <c r="B41" i="1"/>
  <c r="F32" i="67" s="1"/>
  <c r="F60" i="67" s="1"/>
  <c r="AB37" i="40"/>
  <c r="S35" i="40"/>
  <c r="U35" i="40"/>
  <c r="AC36" i="40"/>
  <c r="W38" i="40"/>
  <c r="AA32" i="40"/>
  <c r="S17" i="40"/>
  <c r="S23" i="40"/>
  <c r="AC15" i="40"/>
  <c r="AB27" i="40"/>
  <c r="S30" i="40"/>
  <c r="AA27" i="40"/>
  <c r="U21" i="40"/>
  <c r="AB19" i="40"/>
  <c r="S43" i="39"/>
  <c r="S37" i="39"/>
  <c r="U35" i="39"/>
  <c r="F32" i="39"/>
  <c r="F106" i="39"/>
  <c r="G106" i="39" s="1"/>
  <c r="H106" i="39" s="1"/>
  <c r="I106" i="39" s="1"/>
  <c r="J106" i="39" s="1"/>
  <c r="K106" i="39" s="1"/>
  <c r="L106" i="39" s="1"/>
  <c r="M106" i="39" s="1"/>
  <c r="U31" i="39"/>
  <c r="J21" i="39"/>
  <c r="W21" i="39" s="1"/>
  <c r="F21" i="39"/>
  <c r="H21" i="39"/>
  <c r="AB21" i="39" s="1"/>
  <c r="S9" i="39"/>
  <c r="S2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AC15" i="37"/>
  <c r="J17" i="37"/>
  <c r="W17" i="37"/>
  <c r="F17" i="37"/>
  <c r="AA17" i="37" s="1"/>
  <c r="AB17" i="37"/>
  <c r="F75" i="37"/>
  <c r="G75" i="37" s="1"/>
  <c r="F19" i="37"/>
  <c r="S19" i="37" s="1"/>
  <c r="F79" i="37"/>
  <c r="F23" i="37"/>
  <c r="S23" i="37" s="1"/>
  <c r="U23" i="37"/>
  <c r="U15" i="37"/>
  <c r="AC13" i="37"/>
  <c r="AA13" i="37"/>
  <c r="H10" i="37"/>
  <c r="AB10" i="37" s="1"/>
  <c r="F63" i="37"/>
  <c r="F11" i="37"/>
  <c r="S11" i="37" s="1"/>
  <c r="W25" i="34"/>
  <c r="AB8" i="34"/>
  <c r="AA33" i="34"/>
  <c r="AC39" i="34"/>
  <c r="W41" i="34"/>
  <c r="AC42" i="34"/>
  <c r="AB35" i="34"/>
  <c r="U39" i="34"/>
  <c r="S43" i="34"/>
  <c r="AA25" i="34"/>
  <c r="S17" i="34"/>
  <c r="AA29" i="34"/>
  <c r="U27" i="34"/>
  <c r="S23" i="34"/>
  <c r="U15" i="34"/>
  <c r="S13" i="34"/>
  <c r="H10" i="34"/>
  <c r="AB10" i="34" s="1"/>
  <c r="F11" i="34"/>
  <c r="S11" i="34" s="1"/>
  <c r="W42" i="33"/>
  <c r="AA35" i="33"/>
  <c r="S27" i="33"/>
  <c r="S32"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H27" i="33"/>
  <c r="F87" i="33"/>
  <c r="G87" i="33" s="1"/>
  <c r="H25" i="33"/>
  <c r="F25" i="33"/>
  <c r="AA25" i="33" s="1"/>
  <c r="J23" i="33"/>
  <c r="AC23" i="33" s="1"/>
  <c r="F85" i="33"/>
  <c r="G85" i="33" s="1"/>
  <c r="H23" i="33"/>
  <c r="F81" i="33"/>
  <c r="F19" i="33"/>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G22" i="68"/>
  <c r="C6" i="43"/>
  <c r="B19" i="53"/>
  <c r="B37" i="72" s="1"/>
  <c r="C7" i="21"/>
  <c r="A4" i="51"/>
  <c r="B6" i="72" s="1"/>
  <c r="L20" i="6"/>
  <c r="B6" i="1"/>
  <c r="E6" i="1" s="1"/>
  <c r="K11" i="1"/>
  <c r="M11" i="1" s="1"/>
  <c r="O11" i="1" s="1"/>
  <c r="B9" i="1"/>
  <c r="E9" i="1" s="1"/>
  <c r="K7" i="1"/>
  <c r="M7" i="1" s="1"/>
  <c r="O7" i="1" s="1"/>
  <c r="P7" i="1" s="1"/>
  <c r="G1" i="15"/>
  <c r="G1" i="69"/>
  <c r="G1" i="67"/>
  <c r="W23" i="40"/>
  <c r="S37" i="40"/>
  <c r="AB28" i="40"/>
  <c r="W28" i="40"/>
  <c r="W19" i="40"/>
  <c r="S36" i="40"/>
  <c r="W37" i="40"/>
  <c r="AC14" i="40"/>
  <c r="S13" i="40"/>
  <c r="S33" i="40"/>
  <c r="AA15" i="40"/>
  <c r="U11" i="40"/>
  <c r="AB13" i="40"/>
  <c r="U15" i="40"/>
  <c r="AB17" i="40"/>
  <c r="U8" i="40"/>
  <c r="S8" i="40"/>
  <c r="U13" i="39"/>
  <c r="AA13" i="39"/>
  <c r="S13" i="39"/>
  <c r="S14" i="39"/>
  <c r="U43" i="39"/>
  <c r="AB43" i="39"/>
  <c r="U11" i="39"/>
  <c r="AA45" i="39"/>
  <c r="W34" i="39"/>
  <c r="U38" i="39"/>
  <c r="AC25" i="36"/>
  <c r="U32" i="36"/>
  <c r="W29" i="36"/>
  <c r="AC20" i="36"/>
  <c r="U25" i="36"/>
  <c r="AB28" i="36"/>
  <c r="W9" i="36"/>
  <c r="W22" i="36"/>
  <c r="W23" i="36"/>
  <c r="AC25" i="35"/>
  <c r="U25" i="35"/>
  <c r="S24" i="35"/>
  <c r="W35" i="35"/>
  <c r="AA16" i="35"/>
  <c r="AA35" i="37"/>
  <c r="W36" i="37"/>
  <c r="S27" i="37"/>
  <c r="S28" i="37"/>
  <c r="U36" i="37"/>
  <c r="S40" i="37"/>
  <c r="U38" i="37"/>
  <c r="AB37" i="37"/>
  <c r="AC34" i="37"/>
  <c r="AB35" i="37"/>
  <c r="AA31" i="37"/>
  <c r="U8" i="37"/>
  <c r="AA40"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8" i="34"/>
  <c r="S8" i="34"/>
  <c r="AB9" i="34"/>
  <c r="U9" i="34"/>
  <c r="S46" i="34"/>
  <c r="AA46" i="34"/>
  <c r="U14" i="34"/>
  <c r="AB14" i="34"/>
  <c r="AC43" i="34"/>
  <c r="W43"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AC28" i="33"/>
  <c r="W8" i="33"/>
  <c r="S44" i="21"/>
  <c r="AB42" i="21"/>
  <c r="U28" i="21"/>
  <c r="S45" i="21"/>
  <c r="I101" i="21"/>
  <c r="J101" i="21" s="1"/>
  <c r="K101" i="21" s="1"/>
  <c r="L101" i="21" s="1"/>
  <c r="M101" i="21" s="1"/>
  <c r="F33" i="21"/>
  <c r="AA33" i="21" s="1"/>
  <c r="J33" i="21"/>
  <c r="AC33" i="21" s="1"/>
  <c r="H33" i="21"/>
  <c r="AB33" i="21" s="1"/>
  <c r="F37" i="21"/>
  <c r="AA26" i="21"/>
  <c r="AB14" i="21"/>
  <c r="U40" i="21"/>
  <c r="U13" i="21"/>
  <c r="AB13" i="21"/>
  <c r="S35" i="21"/>
  <c r="J37" i="21"/>
  <c r="W37" i="21" s="1"/>
  <c r="H15" i="21"/>
  <c r="U15" i="21" s="1"/>
  <c r="J17" i="21"/>
  <c r="AC17" i="21"/>
  <c r="AC19" i="21"/>
  <c r="W39" i="21"/>
  <c r="AC14" i="21"/>
  <c r="W30" i="21"/>
  <c r="H45" i="21"/>
  <c r="F29" i="21"/>
  <c r="AA29" i="21" s="1"/>
  <c r="F13" i="21"/>
  <c r="AA13" i="21" s="1"/>
  <c r="AC38" i="21"/>
  <c r="H32" i="21"/>
  <c r="H9" i="2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S17" i="21"/>
  <c r="AA15" i="21"/>
  <c r="AB29" i="21"/>
  <c r="S28" i="21"/>
  <c r="AC34" i="21"/>
  <c r="AB36" i="21"/>
  <c r="W30" i="40"/>
  <c r="C19" i="39"/>
  <c r="C15" i="40"/>
  <c r="C23" i="40"/>
  <c r="C21" i="40"/>
  <c r="U30" i="40"/>
  <c r="B56" i="43"/>
  <c r="B67" i="43"/>
  <c r="B51" i="43"/>
  <c r="B54" i="43"/>
  <c r="B62" i="43"/>
  <c r="B65" i="43"/>
  <c r="D23" i="15"/>
  <c r="D22" i="15"/>
  <c r="E4" i="4"/>
  <c r="B5" i="62" s="1"/>
  <c r="B73" i="72" s="1"/>
  <c r="C4" i="4"/>
  <c r="F30" i="11"/>
  <c r="C48" i="11" s="1"/>
  <c r="S12" i="33"/>
  <c r="AA12" i="33"/>
  <c r="J32" i="39"/>
  <c r="H32" i="39"/>
  <c r="AB32" i="39" s="1"/>
  <c r="AA32" i="39"/>
  <c r="S32"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S36" i="33"/>
  <c r="W32" i="33"/>
  <c r="U27" i="33"/>
  <c r="AB27" i="33"/>
  <c r="I91" i="33"/>
  <c r="J91" i="33" s="1"/>
  <c r="K91" i="33" s="1"/>
  <c r="L91" i="33" s="1"/>
  <c r="M91" i="33"/>
  <c r="J27" i="33"/>
  <c r="U25" i="33"/>
  <c r="AB25" i="33"/>
  <c r="S25" i="33"/>
  <c r="H87" i="33"/>
  <c r="I87" i="33" s="1"/>
  <c r="J87" i="33" s="1"/>
  <c r="K87" i="33" s="1"/>
  <c r="L87" i="33" s="1"/>
  <c r="M87" i="33" s="1"/>
  <c r="J25" i="33"/>
  <c r="AB23" i="33"/>
  <c r="U23" i="33"/>
  <c r="F23" i="33"/>
  <c r="H19" i="33"/>
  <c r="U19" i="33" s="1"/>
  <c r="G81" i="33"/>
  <c r="H17" i="33"/>
  <c r="U17" i="33" s="1"/>
  <c r="F17" i="33"/>
  <c r="S17" i="33" s="1"/>
  <c r="W17" i="33"/>
  <c r="AC17" i="33"/>
  <c r="AB15" i="21"/>
  <c r="J23" i="21"/>
  <c r="W23" i="21" s="1"/>
  <c r="F85" i="21"/>
  <c r="G85" i="21" s="1"/>
  <c r="H23" i="21"/>
  <c r="U23" i="21" s="1"/>
  <c r="S13" i="21"/>
  <c r="D6" i="52"/>
  <c r="AP7" i="1"/>
  <c r="AB9" i="21"/>
  <c r="U9" i="21"/>
  <c r="W9" i="21"/>
  <c r="AC9" i="21"/>
  <c r="A18" i="62"/>
  <c r="B64" i="72" s="1"/>
  <c r="U32" i="39"/>
  <c r="W23" i="37"/>
  <c r="AC23" i="37"/>
  <c r="J11" i="37"/>
  <c r="AC11" i="37" s="1"/>
  <c r="H70" i="34"/>
  <c r="I70" i="34" s="1"/>
  <c r="J70" i="34" s="1"/>
  <c r="K70" i="34" s="1"/>
  <c r="L70" i="34" s="1"/>
  <c r="M70" i="34" s="1"/>
  <c r="J11" i="34"/>
  <c r="W11" i="34" s="1"/>
  <c r="W27" i="33"/>
  <c r="AC27" i="33"/>
  <c r="W25" i="33"/>
  <c r="AC25" i="33"/>
  <c r="AB23" i="21"/>
  <c r="AC23" i="21"/>
  <c r="H109" i="9"/>
  <c r="M49" i="9" s="1"/>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F36" i="67"/>
  <c r="J15" i="67"/>
  <c r="M22" i="15"/>
  <c r="E10" i="76"/>
  <c r="M9" i="67"/>
  <c r="C76" i="67"/>
  <c r="C76" i="15"/>
  <c r="D35" i="9"/>
  <c r="F20" i="31"/>
  <c r="F8" i="15"/>
  <c r="F40" i="15"/>
  <c r="F16" i="15"/>
  <c r="D6" i="73"/>
  <c r="F3" i="73"/>
  <c r="F42" i="15"/>
  <c r="M29" i="67"/>
  <c r="B9" i="76"/>
  <c r="F4" i="73"/>
  <c r="M8" i="67"/>
  <c r="E13" i="76"/>
  <c r="B7" i="76"/>
  <c r="B13" i="76"/>
  <c r="D34" i="9"/>
  <c r="B12" i="76"/>
  <c r="L47" i="67"/>
  <c r="F38" i="15"/>
  <c r="E7" i="76"/>
  <c r="M28" i="15"/>
  <c r="F6" i="15"/>
  <c r="M26" i="15"/>
  <c r="F36" i="15"/>
  <c r="E9" i="76"/>
  <c r="M9" i="15"/>
  <c r="F26" i="15"/>
  <c r="F7" i="73"/>
  <c r="E11" i="76"/>
  <c r="B8" i="76"/>
  <c r="E8" i="76"/>
  <c r="AO13" i="1"/>
  <c r="E12" i="76"/>
  <c r="L47" i="15"/>
  <c r="F6" i="73"/>
  <c r="F43" i="15"/>
  <c r="M23" i="15"/>
  <c r="M24" i="15"/>
  <c r="F37" i="15"/>
  <c r="F7" i="67"/>
  <c r="M8" i="15"/>
  <c r="F37" i="67"/>
  <c r="L48" i="67"/>
  <c r="F5" i="73"/>
  <c r="F42" i="67"/>
  <c r="M6" i="15"/>
  <c r="F8" i="67"/>
  <c r="E2" i="69"/>
  <c r="M23" i="67"/>
  <c r="E2" i="68"/>
  <c r="F13" i="15"/>
  <c r="M28" i="67"/>
  <c r="B10" i="76"/>
  <c r="B11" i="76"/>
  <c r="F9" i="15"/>
  <c r="M26" i="67"/>
  <c r="M29" i="15"/>
  <c r="J15" i="15"/>
  <c r="F7" i="15"/>
  <c r="F6" i="1" l="1"/>
  <c r="C10" i="39"/>
  <c r="G44" i="43"/>
  <c r="J51" i="15"/>
  <c r="AC38" i="39"/>
  <c r="BC5" i="3"/>
  <c r="AB39" i="39"/>
  <c r="W25" i="39"/>
  <c r="J23" i="39"/>
  <c r="AC23" i="39" s="1"/>
  <c r="AA39" i="39"/>
  <c r="AB34" i="39"/>
  <c r="AC31" i="39"/>
  <c r="S31" i="39"/>
  <c r="AC27" i="39"/>
  <c r="AB27" i="39"/>
  <c r="S27" i="39"/>
  <c r="U25" i="39"/>
  <c r="S23" i="39"/>
  <c r="U21" i="39"/>
  <c r="W19" i="39"/>
  <c r="S19" i="39"/>
  <c r="U19" i="39"/>
  <c r="AC17" i="39"/>
  <c r="U17" i="39"/>
  <c r="W12" i="39"/>
  <c r="AC12" i="39"/>
  <c r="AA12" i="39"/>
  <c r="H12" i="39"/>
  <c r="H5" i="3"/>
  <c r="U9" i="39"/>
  <c r="S8" i="39"/>
  <c r="U42" i="39"/>
  <c r="AC41" i="39"/>
  <c r="U40" i="39"/>
  <c r="W40" i="39"/>
  <c r="W9" i="39"/>
  <c r="AC11" i="39"/>
  <c r="B84" i="43"/>
  <c r="B77" i="43"/>
  <c r="C25" i="39"/>
  <c r="B68" i="43"/>
  <c r="B57" i="43"/>
  <c r="F28" i="15"/>
  <c r="F28" i="67"/>
  <c r="M18" i="67"/>
  <c r="M18" i="15"/>
  <c r="G22" i="11"/>
  <c r="E1" i="73"/>
  <c r="G22" i="69"/>
  <c r="G26" i="12"/>
  <c r="BA22" i="3"/>
  <c r="BA28" i="3"/>
  <c r="BL19" i="3"/>
  <c r="BA20" i="3"/>
  <c r="G23" i="43"/>
  <c r="C23" i="43" s="1"/>
  <c r="C7" i="33"/>
  <c r="C58" i="33" s="1"/>
  <c r="D58" i="33" s="1"/>
  <c r="E58" i="33" s="1"/>
  <c r="F58" i="33" s="1"/>
  <c r="G58" i="33" s="1"/>
  <c r="H58" i="33" s="1"/>
  <c r="I58" i="33" s="1"/>
  <c r="J58" i="33" s="1"/>
  <c r="K58" i="33" s="1"/>
  <c r="L58" i="33" s="1"/>
  <c r="M58" i="33" s="1"/>
  <c r="N58" i="33" s="1"/>
  <c r="O58" i="33" s="1"/>
  <c r="C7" i="37"/>
  <c r="C52" i="37" s="1"/>
  <c r="D52" i="37" s="1"/>
  <c r="M47" i="9"/>
  <c r="C7" i="35"/>
  <c r="C48" i="35" s="1"/>
  <c r="D48" i="35" s="1"/>
  <c r="E48" i="35" s="1"/>
  <c r="C7" i="40"/>
  <c r="C63" i="40" s="1"/>
  <c r="C65" i="40" s="1"/>
  <c r="C7" i="39"/>
  <c r="C67" i="39" s="1"/>
  <c r="C69" i="39" s="1"/>
  <c r="AB19" i="33"/>
  <c r="AA32" i="21"/>
  <c r="S32" i="21"/>
  <c r="AB32" i="21"/>
  <c r="U32" i="21"/>
  <c r="U45" i="21"/>
  <c r="AB45" i="21"/>
  <c r="U32" i="37"/>
  <c r="AZ505" i="3"/>
  <c r="AZ525" i="3"/>
  <c r="AZ500" i="3"/>
  <c r="AZ532" i="3"/>
  <c r="AB34" i="35"/>
  <c r="U34" i="35"/>
  <c r="AB41" i="39"/>
  <c r="U41" i="39"/>
  <c r="S29" i="33"/>
  <c r="AA29" i="33"/>
  <c r="AZ544" i="3"/>
  <c r="AZ542" i="3"/>
  <c r="AZ538" i="3"/>
  <c r="AZ530" i="3"/>
  <c r="AZ524" i="3"/>
  <c r="AZ513" i="3"/>
  <c r="AZ512" i="3"/>
  <c r="AZ510" i="3"/>
  <c r="AZ508" i="3"/>
  <c r="AZ504" i="3"/>
  <c r="AC5" i="3"/>
  <c r="F29" i="6"/>
  <c r="AC32" i="39"/>
  <c r="W32" i="39"/>
  <c r="U36" i="33"/>
  <c r="AB36" i="33"/>
  <c r="AA37" i="21"/>
  <c r="S37" i="21"/>
  <c r="W27" i="40"/>
  <c r="AA21" i="39"/>
  <c r="S21" i="39"/>
  <c r="F48" i="9"/>
  <c r="O52" i="9" s="1"/>
  <c r="F31" i="12"/>
  <c r="F30" i="69"/>
  <c r="F48" i="69" s="1"/>
  <c r="D68" i="9"/>
  <c r="F30" i="68"/>
  <c r="F48" i="68" s="1"/>
  <c r="F52" i="9"/>
  <c r="F32" i="15"/>
  <c r="F60" i="15" s="1"/>
  <c r="F54" i="9"/>
  <c r="AA39" i="40"/>
  <c r="S39" i="40"/>
  <c r="AZ549" i="3"/>
  <c r="AZ582" i="3"/>
  <c r="S19" i="33"/>
  <c r="AA19" i="33"/>
  <c r="S11" i="39"/>
  <c r="AA11" i="39"/>
  <c r="U41" i="34"/>
  <c r="AB41" i="34"/>
  <c r="AZ501" i="3"/>
  <c r="AA40" i="39"/>
  <c r="S40" i="39"/>
  <c r="W31" i="35"/>
  <c r="AC31" i="35"/>
  <c r="F28" i="34"/>
  <c r="J28" i="34"/>
  <c r="J24" i="36"/>
  <c r="H24" i="36"/>
  <c r="AB46" i="21"/>
  <c r="U37" i="33"/>
  <c r="AC37" i="33"/>
  <c r="S36" i="34"/>
  <c r="U19" i="34"/>
  <c r="AA29" i="37"/>
  <c r="S35" i="35"/>
  <c r="S20" i="36"/>
  <c r="W34" i="40"/>
  <c r="AA45" i="34"/>
  <c r="U43" i="34"/>
  <c r="AC13" i="39"/>
  <c r="S15" i="39"/>
  <c r="U37" i="39"/>
  <c r="S28" i="40"/>
  <c r="AC34" i="33"/>
  <c r="U12" i="40"/>
  <c r="BL493" i="3"/>
  <c r="AZ493" i="3" s="1"/>
  <c r="BN5" i="3"/>
  <c r="G29" i="6" s="1"/>
  <c r="AZ391" i="3"/>
  <c r="AZ364" i="3"/>
  <c r="AZ329" i="3"/>
  <c r="AZ304" i="3"/>
  <c r="AZ306" i="3"/>
  <c r="W35" i="40"/>
  <c r="F31" i="40"/>
  <c r="BL535" i="3"/>
  <c r="AZ535" i="3" s="1"/>
  <c r="AZ557" i="3"/>
  <c r="AZ575" i="3"/>
  <c r="AZ574" i="3"/>
  <c r="S45" i="33"/>
  <c r="W31" i="34"/>
  <c r="H13" i="36"/>
  <c r="S14" i="34"/>
  <c r="J29" i="33"/>
  <c r="F31" i="21"/>
  <c r="F28" i="33"/>
  <c r="S42" i="34"/>
  <c r="AB12" i="35"/>
  <c r="AC27" i="35"/>
  <c r="G587" i="3"/>
  <c r="J9" i="33"/>
  <c r="AA38" i="33"/>
  <c r="S38" i="33"/>
  <c r="J12" i="35"/>
  <c r="H45" i="39"/>
  <c r="J45" i="39"/>
  <c r="W45" i="39" s="1"/>
  <c r="BA551" i="3"/>
  <c r="AZ551" i="3" s="1"/>
  <c r="BA550" i="3"/>
  <c r="BL548" i="3"/>
  <c r="AZ548" i="3" s="1"/>
  <c r="AZ537" i="3"/>
  <c r="AZ518" i="3"/>
  <c r="AZ526" i="3"/>
  <c r="AZ546" i="3"/>
  <c r="B58" i="43"/>
  <c r="AC26" i="21"/>
  <c r="S27" i="21"/>
  <c r="AA17" i="33"/>
  <c r="B69" i="43"/>
  <c r="AC27" i="21"/>
  <c r="W31" i="21"/>
  <c r="AB40" i="34"/>
  <c r="U19" i="37"/>
  <c r="W32" i="37"/>
  <c r="U24" i="35"/>
  <c r="AB20" i="35"/>
  <c r="U32" i="40"/>
  <c r="U9" i="33"/>
  <c r="S37" i="37"/>
  <c r="AC30" i="35"/>
  <c r="S24" i="36"/>
  <c r="U14" i="39"/>
  <c r="S17" i="39"/>
  <c r="AA19" i="40"/>
  <c r="AC17" i="40"/>
  <c r="U13" i="37"/>
  <c r="AZ357" i="3"/>
  <c r="AZ322" i="3"/>
  <c r="AZ313" i="3"/>
  <c r="AZ394" i="3"/>
  <c r="S14" i="40"/>
  <c r="AA25" i="21"/>
  <c r="W44" i="33"/>
  <c r="AC36" i="34"/>
  <c r="W23" i="35"/>
  <c r="BL519" i="3"/>
  <c r="AZ519" i="3" s="1"/>
  <c r="BL531" i="3"/>
  <c r="AZ531" i="3" s="1"/>
  <c r="AZ573" i="3"/>
  <c r="BL583" i="3"/>
  <c r="AZ583" i="3" s="1"/>
  <c r="AZ568" i="3"/>
  <c r="AZ576" i="3"/>
  <c r="F13" i="36"/>
  <c r="J32" i="34"/>
  <c r="J14" i="34"/>
  <c r="H45" i="33"/>
  <c r="H28" i="33"/>
  <c r="F46" i="21"/>
  <c r="AA29" i="35"/>
  <c r="W30" i="36"/>
  <c r="W39" i="33"/>
  <c r="W9" i="34"/>
  <c r="G586" i="3"/>
  <c r="B97" i="43"/>
  <c r="B75" i="43"/>
  <c r="U12" i="36"/>
  <c r="AC28" i="36"/>
  <c r="W28" i="36"/>
  <c r="F38" i="40"/>
  <c r="H38" i="40"/>
  <c r="G556" i="3"/>
  <c r="AZ402" i="3"/>
  <c r="AZ406" i="3"/>
  <c r="AZ347" i="3"/>
  <c r="AA41" i="39"/>
  <c r="W44" i="21"/>
  <c r="AC45" i="33"/>
  <c r="W47" i="34"/>
  <c r="H31" i="40"/>
  <c r="H28" i="34"/>
  <c r="BL503" i="3"/>
  <c r="AZ503" i="3" s="1"/>
  <c r="BL515" i="3"/>
  <c r="AZ515" i="3" s="1"/>
  <c r="BL523" i="3"/>
  <c r="AZ523" i="3" s="1"/>
  <c r="BL527" i="3"/>
  <c r="AZ527" i="3" s="1"/>
  <c r="BL547" i="3"/>
  <c r="AZ547" i="3" s="1"/>
  <c r="AZ571" i="3"/>
  <c r="AZ579" i="3"/>
  <c r="AB30" i="21"/>
  <c r="AC11" i="35"/>
  <c r="H32" i="34"/>
  <c r="AC11" i="40"/>
  <c r="U40" i="33"/>
  <c r="F23" i="35"/>
  <c r="BL587" i="3"/>
  <c r="AZ587" i="3" s="1"/>
  <c r="BL586" i="3"/>
  <c r="AZ586" i="3" s="1"/>
  <c r="H31" i="21"/>
  <c r="B79" i="43"/>
  <c r="AB35" i="33"/>
  <c r="U35" i="33"/>
  <c r="H23" i="35"/>
  <c r="AC22" i="35"/>
  <c r="W22" i="35"/>
  <c r="J12" i="36"/>
  <c r="F12" i="36"/>
  <c r="J39" i="40"/>
  <c r="H39" i="40"/>
  <c r="AZ403" i="3"/>
  <c r="AZ419" i="3"/>
  <c r="BL435" i="3"/>
  <c r="AZ435" i="3" s="1"/>
  <c r="BL436" i="3"/>
  <c r="BA439" i="3"/>
  <c r="AZ451" i="3"/>
  <c r="AZ462" i="3"/>
  <c r="G399" i="3"/>
  <c r="BL400" i="3"/>
  <c r="AZ400" i="3" s="1"/>
  <c r="BL408" i="3"/>
  <c r="BL411" i="3"/>
  <c r="BL413" i="3"/>
  <c r="AZ413" i="3" s="1"/>
  <c r="G415" i="3"/>
  <c r="G416" i="3"/>
  <c r="BL417" i="3"/>
  <c r="BL418" i="3"/>
  <c r="BL420" i="3"/>
  <c r="G422" i="3"/>
  <c r="G423" i="3"/>
  <c r="BL424" i="3"/>
  <c r="G427" i="3"/>
  <c r="BL428" i="3"/>
  <c r="BL429" i="3"/>
  <c r="G441" i="3"/>
  <c r="BL441" i="3"/>
  <c r="AZ441" i="3" s="1"/>
  <c r="BL442" i="3"/>
  <c r="BL449" i="3"/>
  <c r="BL450" i="3"/>
  <c r="BL455" i="3"/>
  <c r="BL456" i="3"/>
  <c r="BA460" i="3"/>
  <c r="BA461" i="3"/>
  <c r="J34" i="36"/>
  <c r="W34" i="36" s="1"/>
  <c r="H39" i="37"/>
  <c r="BL585" i="3"/>
  <c r="AZ585" i="3" s="1"/>
  <c r="G558" i="3"/>
  <c r="BL398" i="3"/>
  <c r="G402" i="3"/>
  <c r="BL403" i="3"/>
  <c r="G406" i="3"/>
  <c r="BA408" i="3"/>
  <c r="BA409" i="3"/>
  <c r="AZ409" i="3" s="1"/>
  <c r="BA411" i="3"/>
  <c r="AZ411" i="3" s="1"/>
  <c r="BL414" i="3"/>
  <c r="BL415" i="3"/>
  <c r="BA417" i="3"/>
  <c r="AZ417" i="3" s="1"/>
  <c r="BL421" i="3"/>
  <c r="BL422" i="3"/>
  <c r="AZ422" i="3" s="1"/>
  <c r="BL430" i="3"/>
  <c r="BA433" i="3"/>
  <c r="AZ433" i="3" s="1"/>
  <c r="AZ454" i="3"/>
  <c r="BL550" i="3"/>
  <c r="BL15" i="3"/>
  <c r="AZ15" i="3" s="1"/>
  <c r="BA398" i="3"/>
  <c r="AZ398" i="3" s="1"/>
  <c r="BA399" i="3"/>
  <c r="AZ399" i="3" s="1"/>
  <c r="BL401" i="3"/>
  <c r="AZ401" i="3" s="1"/>
  <c r="BL404" i="3"/>
  <c r="AZ404" i="3" s="1"/>
  <c r="BL405" i="3"/>
  <c r="AZ405" i="3" s="1"/>
  <c r="BL407" i="3"/>
  <c r="AZ407" i="3" s="1"/>
  <c r="BA412" i="3"/>
  <c r="AZ412" i="3" s="1"/>
  <c r="BA414" i="3"/>
  <c r="BA415" i="3"/>
  <c r="AZ415" i="3" s="1"/>
  <c r="BA416" i="3"/>
  <c r="AZ416" i="3" s="1"/>
  <c r="BA418" i="3"/>
  <c r="AZ418" i="3" s="1"/>
  <c r="BA421" i="3"/>
  <c r="AZ421" i="3" s="1"/>
  <c r="BA423" i="3"/>
  <c r="AZ423" i="3" s="1"/>
  <c r="BA425" i="3"/>
  <c r="BA426" i="3"/>
  <c r="BA427" i="3"/>
  <c r="AZ427" i="3" s="1"/>
  <c r="BL431" i="3"/>
  <c r="G433" i="3"/>
  <c r="BL434" i="3"/>
  <c r="G436" i="3"/>
  <c r="G437" i="3"/>
  <c r="BL438" i="3"/>
  <c r="BL439" i="3"/>
  <c r="BA442" i="3"/>
  <c r="BL443" i="3"/>
  <c r="AZ443" i="3" s="1"/>
  <c r="BL445" i="3"/>
  <c r="BL446" i="3"/>
  <c r="BL451" i="3"/>
  <c r="BL452" i="3"/>
  <c r="G455" i="3"/>
  <c r="BA458" i="3"/>
  <c r="AZ458" i="3" s="1"/>
  <c r="BA464" i="3"/>
  <c r="AZ464" i="3" s="1"/>
  <c r="AZ483" i="3"/>
  <c r="AZ228" i="3"/>
  <c r="BL467" i="3"/>
  <c r="BL468" i="3"/>
  <c r="BL473" i="3"/>
  <c r="AZ473" i="3" s="1"/>
  <c r="BL474" i="3"/>
  <c r="BA482" i="3"/>
  <c r="BA484" i="3"/>
  <c r="AZ484" i="3" s="1"/>
  <c r="BA303" i="3"/>
  <c r="AZ303" i="3" s="1"/>
  <c r="BA307" i="3"/>
  <c r="AZ307" i="3" s="1"/>
  <c r="BL314" i="3"/>
  <c r="AZ314" i="3" s="1"/>
  <c r="BA332" i="3"/>
  <c r="AZ332" i="3" s="1"/>
  <c r="BL332" i="3"/>
  <c r="G339" i="3"/>
  <c r="G364" i="3"/>
  <c r="BA367" i="3"/>
  <c r="AZ367" i="3" s="1"/>
  <c r="BA370" i="3"/>
  <c r="AZ370" i="3" s="1"/>
  <c r="BA386" i="3"/>
  <c r="AZ386" i="3" s="1"/>
  <c r="BA216" i="3"/>
  <c r="AZ216" i="3" s="1"/>
  <c r="BA218" i="3"/>
  <c r="AZ218" i="3" s="1"/>
  <c r="BL218" i="3"/>
  <c r="BL220" i="3"/>
  <c r="BL221" i="3"/>
  <c r="BL223" i="3"/>
  <c r="BA227" i="3"/>
  <c r="AZ227" i="3" s="1"/>
  <c r="BA229" i="3"/>
  <c r="AZ229" i="3" s="1"/>
  <c r="BL229" i="3"/>
  <c r="BL231" i="3"/>
  <c r="BL233" i="3"/>
  <c r="AZ233" i="3" s="1"/>
  <c r="BL235" i="3"/>
  <c r="AZ235" i="3" s="1"/>
  <c r="BL236" i="3"/>
  <c r="BL238" i="3"/>
  <c r="BL243" i="3"/>
  <c r="BA247" i="3"/>
  <c r="AZ247" i="3" s="1"/>
  <c r="BL247" i="3"/>
  <c r="AZ125" i="3"/>
  <c r="BA445" i="3"/>
  <c r="BA447" i="3"/>
  <c r="AZ447" i="3" s="1"/>
  <c r="BA449" i="3"/>
  <c r="BL453" i="3"/>
  <c r="BL454" i="3"/>
  <c r="G458" i="3"/>
  <c r="BL459" i="3"/>
  <c r="AZ459" i="3" s="1"/>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3" i="3"/>
  <c r="BA256" i="3"/>
  <c r="BL256" i="3"/>
  <c r="BA260" i="3"/>
  <c r="BA262" i="3"/>
  <c r="AZ262" i="3" s="1"/>
  <c r="BL27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G249" i="3"/>
  <c r="BA251" i="3"/>
  <c r="BL251" i="3"/>
  <c r="BA254" i="3"/>
  <c r="AZ254" i="3" s="1"/>
  <c r="BL259" i="3"/>
  <c r="BL270" i="3"/>
  <c r="AZ270" i="3" s="1"/>
  <c r="BA272" i="3"/>
  <c r="AZ272" i="3" s="1"/>
  <c r="BL275" i="3"/>
  <c r="AZ275" i="3" s="1"/>
  <c r="BL285" i="3"/>
  <c r="BL287" i="3"/>
  <c r="BA290" i="3"/>
  <c r="BL299" i="3"/>
  <c r="BL113" i="3"/>
  <c r="BL115" i="3"/>
  <c r="AZ115" i="3" s="1"/>
  <c r="BA118" i="3"/>
  <c r="AZ118" i="3" s="1"/>
  <c r="BL118" i="3"/>
  <c r="BA122" i="3"/>
  <c r="AZ122" i="3" s="1"/>
  <c r="BL125" i="3"/>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G71" i="3"/>
  <c r="BA77" i="3"/>
  <c r="G80" i="3"/>
  <c r="D31" i="71"/>
  <c r="C32" i="71"/>
  <c r="C52" i="71"/>
  <c r="D51" i="71"/>
  <c r="C55" i="71"/>
  <c r="D54" i="71"/>
  <c r="C60" i="71"/>
  <c r="D59" i="71"/>
  <c r="N67" i="71"/>
  <c r="B66" i="71"/>
  <c r="F66" i="71"/>
  <c r="Q67" i="71"/>
  <c r="BA258" i="3"/>
  <c r="BL264" i="3"/>
  <c r="BL266" i="3"/>
  <c r="BA268" i="3"/>
  <c r="BL273" i="3"/>
  <c r="AZ273" i="3" s="1"/>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AZ27" i="3" s="1"/>
  <c r="BA33" i="3"/>
  <c r="BA36" i="3"/>
  <c r="BL38" i="3"/>
  <c r="BA39" i="3"/>
  <c r="BA41" i="3"/>
  <c r="BA42" i="3"/>
  <c r="BL45" i="3"/>
  <c r="BA48" i="3"/>
  <c r="BA49"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BA30" i="3"/>
  <c r="G38" i="3"/>
  <c r="BA38" i="3"/>
  <c r="BL40" i="3"/>
  <c r="BL41" i="3"/>
  <c r="G51" i="3"/>
  <c r="BA52" i="3"/>
  <c r="AZ52" i="3" s="1"/>
  <c r="BA53" i="3"/>
  <c r="BA54" i="3"/>
  <c r="BL57" i="3"/>
  <c r="G63" i="3"/>
  <c r="BA64" i="3"/>
  <c r="AZ64" i="3" s="1"/>
  <c r="G73" i="3"/>
  <c r="BL86" i="3"/>
  <c r="C44" i="71"/>
  <c r="D43" i="71"/>
  <c r="AZ294" i="3"/>
  <c r="AZ177" i="3"/>
  <c r="BA196" i="3"/>
  <c r="AZ196" i="3" s="1"/>
  <c r="BA205" i="3"/>
  <c r="AZ205" i="3" s="1"/>
  <c r="G20" i="3"/>
  <c r="BL20" i="3"/>
  <c r="AZ20" i="3" s="1"/>
  <c r="BA21" i="3"/>
  <c r="AZ21" i="3" s="1"/>
  <c r="BA25" i="3"/>
  <c r="AZ25" i="3" s="1"/>
  <c r="BA26" i="3"/>
  <c r="G28" i="3"/>
  <c r="BL28" i="3"/>
  <c r="AZ28" i="3" s="1"/>
  <c r="BA29" i="3"/>
  <c r="BA31" i="3"/>
  <c r="AZ31" i="3" s="1"/>
  <c r="BA32" i="3"/>
  <c r="BA43" i="3"/>
  <c r="BL47" i="3"/>
  <c r="AZ47" i="3" s="1"/>
  <c r="G49" i="3"/>
  <c r="BL54" i="3"/>
  <c r="BL55" i="3"/>
  <c r="AZ55" i="3" s="1"/>
  <c r="G57" i="3"/>
  <c r="BA59" i="3"/>
  <c r="AZ59" i="3" s="1"/>
  <c r="G61" i="3"/>
  <c r="BL61" i="3"/>
  <c r="AZ61" i="3" s="1"/>
  <c r="G68" i="3"/>
  <c r="BL68" i="3"/>
  <c r="BA69" i="3"/>
  <c r="AZ69" i="3" s="1"/>
  <c r="BA92" i="3"/>
  <c r="G95" i="3"/>
  <c r="C47" i="71"/>
  <c r="D47" i="71" s="1"/>
  <c r="D46" i="71"/>
  <c r="BL73" i="3"/>
  <c r="BA74" i="3"/>
  <c r="AZ74" i="3" s="1"/>
  <c r="BA75" i="3"/>
  <c r="G85" i="3"/>
  <c r="BL85" i="3"/>
  <c r="BA86" i="3"/>
  <c r="AZ86" i="3" s="1"/>
  <c r="BA87" i="3"/>
  <c r="BA91" i="3"/>
  <c r="AZ91" i="3" s="1"/>
  <c r="G96" i="3"/>
  <c r="BL97" i="3"/>
  <c r="AZ97" i="3" s="1"/>
  <c r="BL101" i="3"/>
  <c r="BL102" i="3"/>
  <c r="G104" i="3"/>
  <c r="BL106" i="3"/>
  <c r="BA108" i="3"/>
  <c r="AZ108" i="3" s="1"/>
  <c r="BA110" i="3"/>
  <c r="AZ110" i="3" s="1"/>
  <c r="F3" i="35"/>
  <c r="S21" i="33"/>
  <c r="S21" i="37"/>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9" i="3"/>
  <c r="BL29" i="3"/>
  <c r="G33" i="3"/>
  <c r="G34" i="3"/>
  <c r="BA37" i="3"/>
  <c r="G39" i="3"/>
  <c r="BL39" i="3"/>
  <c r="G43" i="3"/>
  <c r="G44" i="3"/>
  <c r="BA45" i="3"/>
  <c r="AZ45" i="3" s="1"/>
  <c r="BA46" i="3"/>
  <c r="BL49" i="3"/>
  <c r="BL50" i="3"/>
  <c r="AZ50" i="3" s="1"/>
  <c r="BL51" i="3"/>
  <c r="AZ51" i="3" s="1"/>
  <c r="G53" i="3"/>
  <c r="BL53" i="3"/>
  <c r="BA56" i="3"/>
  <c r="BA57" i="3"/>
  <c r="AZ57" i="3" s="1"/>
  <c r="BL58" i="3"/>
  <c r="AZ58" i="3" s="1"/>
  <c r="G60" i="3"/>
  <c r="BA60" i="3"/>
  <c r="BA63" i="3"/>
  <c r="BA66" i="3"/>
  <c r="AZ66" i="3" s="1"/>
  <c r="BA71" i="3"/>
  <c r="G76" i="3"/>
  <c r="BL77" i="3"/>
  <c r="BA79" i="3"/>
  <c r="AZ79" i="3" s="1"/>
  <c r="G82" i="3"/>
  <c r="G83" i="3"/>
  <c r="BA84" i="3"/>
  <c r="AZ84" i="3" s="1"/>
  <c r="BL88" i="3"/>
  <c r="AZ88" i="3" s="1"/>
  <c r="G90" i="3"/>
  <c r="BL90" i="3"/>
  <c r="BL92" i="3"/>
  <c r="G101" i="3"/>
  <c r="BA101" i="3"/>
  <c r="AZ101" i="3" s="1"/>
  <c r="G108" i="3"/>
  <c r="G109" i="3"/>
  <c r="BL112" i="3"/>
  <c r="AB21" i="33"/>
  <c r="S21" i="34"/>
  <c r="B88" i="43"/>
  <c r="E23" i="71"/>
  <c r="E22" i="71" s="1"/>
  <c r="E21" i="71" s="1"/>
  <c r="E20" i="71" s="1"/>
  <c r="G62" i="3"/>
  <c r="BL62" i="3"/>
  <c r="AZ62" i="3" s="1"/>
  <c r="BL63" i="3"/>
  <c r="G65" i="3"/>
  <c r="BL65" i="3"/>
  <c r="AZ65" i="3" s="1"/>
  <c r="BL66" i="3"/>
  <c r="BL67" i="3"/>
  <c r="AZ67" i="3" s="1"/>
  <c r="G69" i="3"/>
  <c r="G70" i="3"/>
  <c r="BL70" i="3"/>
  <c r="AZ70" i="3" s="1"/>
  <c r="BL71" i="3"/>
  <c r="BL72" i="3"/>
  <c r="AZ72" i="3" s="1"/>
  <c r="G74" i="3"/>
  <c r="G75" i="3"/>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I18" i="43"/>
  <c r="E17" i="43" s="1"/>
  <c r="C17" i="43" s="1"/>
  <c r="A1" i="79"/>
  <c r="H55" i="43"/>
  <c r="H86" i="43"/>
  <c r="H87" i="43"/>
  <c r="H89" i="43"/>
  <c r="H88" i="43"/>
  <c r="H84" i="43"/>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1" i="15"/>
  <c r="I1" i="73"/>
  <c r="B39" i="1" s="1"/>
  <c r="F51" i="67"/>
  <c r="F65" i="67"/>
  <c r="J53" i="67"/>
  <c r="J57" i="67"/>
  <c r="J55" i="67" s="1"/>
  <c r="J58" i="67" s="1"/>
  <c r="Q50" i="67" s="1"/>
  <c r="L56" i="67"/>
  <c r="I54" i="67"/>
  <c r="M7" i="15"/>
  <c r="J6" i="15" s="1"/>
  <c r="F50" i="15"/>
  <c r="F51" i="15"/>
  <c r="F71" i="15"/>
  <c r="C6" i="15"/>
  <c r="N59" i="15"/>
  <c r="F66" i="15"/>
  <c r="Q71" i="67"/>
  <c r="F64" i="15"/>
  <c r="C27" i="15"/>
  <c r="F65" i="15"/>
  <c r="N59" i="67"/>
  <c r="L59" i="67"/>
  <c r="L58" i="67"/>
  <c r="M59" i="67"/>
  <c r="B13" i="70"/>
  <c r="M7" i="67"/>
  <c r="F50" i="67"/>
  <c r="F64" i="67"/>
  <c r="F68" i="15"/>
  <c r="C36" i="68"/>
  <c r="D9" i="69"/>
  <c r="C36" i="69"/>
  <c r="D9" i="68"/>
  <c r="L48" i="15"/>
  <c r="C16" i="15"/>
  <c r="D5" i="73"/>
  <c r="M24" i="67"/>
  <c r="F16" i="67"/>
  <c r="F40" i="67"/>
  <c r="M22" i="67"/>
  <c r="M6" i="67"/>
  <c r="F43" i="67"/>
  <c r="D3" i="73"/>
  <c r="F38" i="67"/>
  <c r="F26" i="67"/>
  <c r="D4" i="73"/>
  <c r="F6" i="67"/>
  <c r="F13" i="67"/>
  <c r="D7" i="73"/>
  <c r="L58" i="15" l="1"/>
  <c r="J53" i="15"/>
  <c r="L56" i="15" s="1"/>
  <c r="J57" i="15"/>
  <c r="J55" i="15" s="1"/>
  <c r="J58" i="15" s="1"/>
  <c r="Q50" i="15" s="1"/>
  <c r="M59" i="15"/>
  <c r="I54" i="15"/>
  <c r="P26" i="43"/>
  <c r="D63" i="40"/>
  <c r="D65" i="40" s="1"/>
  <c r="L59" i="15"/>
  <c r="Q74" i="15" s="1"/>
  <c r="O23" i="43"/>
  <c r="J7" i="36"/>
  <c r="W23" i="39"/>
  <c r="AB12" i="39"/>
  <c r="U12" i="39"/>
  <c r="Q16" i="1"/>
  <c r="F27" i="69" s="1"/>
  <c r="F45" i="69" s="1"/>
  <c r="K16" i="1"/>
  <c r="P6" i="1"/>
  <c r="C13" i="12" s="1"/>
  <c r="H16" i="1"/>
  <c r="E26" i="43"/>
  <c r="H26" i="43"/>
  <c r="G26" i="43"/>
  <c r="N94" i="46"/>
  <c r="J26" i="43"/>
  <c r="N370" i="46"/>
  <c r="F66" i="67"/>
  <c r="F68" i="67"/>
  <c r="F71" i="67"/>
  <c r="F31" i="67"/>
  <c r="C6" i="67"/>
  <c r="C32" i="67" s="1"/>
  <c r="C27" i="67"/>
  <c r="G5" i="3"/>
  <c r="B3" i="3" s="1"/>
  <c r="E510" i="3" s="1"/>
  <c r="AZ71" i="3"/>
  <c r="C70" i="71"/>
  <c r="D70" i="71" s="1"/>
  <c r="D71" i="71"/>
  <c r="AZ75" i="3"/>
  <c r="AB39" i="37"/>
  <c r="U39" i="37"/>
  <c r="AC39" i="40"/>
  <c r="W39" i="40"/>
  <c r="AA23" i="35"/>
  <c r="S23" i="35"/>
  <c r="W14" i="34"/>
  <c r="AC14" i="34"/>
  <c r="AA31" i="21"/>
  <c r="S31" i="21"/>
  <c r="AB24" i="36"/>
  <c r="U24" i="36"/>
  <c r="J6" i="67"/>
  <c r="J18" i="67" s="1"/>
  <c r="T28" i="71"/>
  <c r="D28" i="71"/>
  <c r="U28" i="71" s="1"/>
  <c r="C27" i="71"/>
  <c r="D79" i="71"/>
  <c r="C78" i="71"/>
  <c r="D78" i="71" s="1"/>
  <c r="AZ29" i="3"/>
  <c r="AZ5" i="3" s="1"/>
  <c r="AY6" i="3" s="1"/>
  <c r="AZ271" i="3"/>
  <c r="AZ49" i="3"/>
  <c r="AZ41" i="3"/>
  <c r="AZ277" i="3"/>
  <c r="D60" i="71"/>
  <c r="T60" i="71"/>
  <c r="T52" i="71"/>
  <c r="D52" i="71"/>
  <c r="AZ77" i="3"/>
  <c r="AZ368" i="3"/>
  <c r="AZ471" i="3"/>
  <c r="AZ241" i="3"/>
  <c r="AZ210" i="3"/>
  <c r="AZ425" i="3"/>
  <c r="AZ408" i="3"/>
  <c r="AA12" i="36"/>
  <c r="S12" i="36"/>
  <c r="U23" i="35"/>
  <c r="AB23" i="35"/>
  <c r="U31" i="21"/>
  <c r="AB31" i="21"/>
  <c r="AB28" i="34"/>
  <c r="U28" i="34"/>
  <c r="AB38" i="40"/>
  <c r="U38" i="40"/>
  <c r="AA46" i="21"/>
  <c r="S46" i="21"/>
  <c r="W32" i="34"/>
  <c r="AC32" i="34"/>
  <c r="AC24" i="36"/>
  <c r="W24" i="36"/>
  <c r="AZ63" i="3"/>
  <c r="D83" i="71"/>
  <c r="C82" i="71"/>
  <c r="D82" i="71" s="1"/>
  <c r="O65" i="71"/>
  <c r="D66" i="71"/>
  <c r="O66" i="71"/>
  <c r="D44" i="71"/>
  <c r="T44" i="71"/>
  <c r="AZ53" i="3"/>
  <c r="AZ39" i="3"/>
  <c r="N65" i="71"/>
  <c r="N66" i="71"/>
  <c r="T32" i="71"/>
  <c r="D32" i="71"/>
  <c r="AZ461" i="3"/>
  <c r="W12" i="36"/>
  <c r="AC12" i="36"/>
  <c r="U31" i="40"/>
  <c r="AB31" i="40"/>
  <c r="AA38" i="40"/>
  <c r="S38" i="40"/>
  <c r="U28" i="33"/>
  <c r="AB28" i="33"/>
  <c r="AA13" i="36"/>
  <c r="S13" i="36"/>
  <c r="AB45" i="39"/>
  <c r="U45" i="39"/>
  <c r="AC9" i="33"/>
  <c r="W9" i="33"/>
  <c r="AA31" i="40"/>
  <c r="S31" i="40"/>
  <c r="W28" i="34"/>
  <c r="AC28" i="34"/>
  <c r="C40" i="71"/>
  <c r="D39" i="71"/>
  <c r="C36" i="71"/>
  <c r="D35" i="71"/>
  <c r="AZ274" i="3"/>
  <c r="AZ38" i="3"/>
  <c r="AZ282" i="3"/>
  <c r="C56" i="71"/>
  <c r="D55" i="71"/>
  <c r="AZ251" i="3"/>
  <c r="AZ353" i="3"/>
  <c r="AZ256" i="3"/>
  <c r="AZ244" i="3"/>
  <c r="AZ239" i="3"/>
  <c r="AZ397" i="3"/>
  <c r="AZ414" i="3"/>
  <c r="AZ460" i="3"/>
  <c r="U39" i="40"/>
  <c r="AB39" i="40"/>
  <c r="U32" i="34"/>
  <c r="AB32" i="34"/>
  <c r="AB45" i="33"/>
  <c r="U45" i="33"/>
  <c r="AZ550" i="3"/>
  <c r="W12" i="35"/>
  <c r="AC12" i="35"/>
  <c r="AA28" i="33"/>
  <c r="S28" i="33"/>
  <c r="U13" i="36"/>
  <c r="AB13" i="36"/>
  <c r="AA28" i="34"/>
  <c r="S28" i="34"/>
  <c r="G16" i="1"/>
  <c r="F10" i="39" s="1"/>
  <c r="J7" i="37"/>
  <c r="AC7" i="37" s="1"/>
  <c r="K1" i="73"/>
  <c r="E539" i="3"/>
  <c r="E536" i="3"/>
  <c r="E212" i="3"/>
  <c r="E466" i="3"/>
  <c r="E449" i="3"/>
  <c r="AP6" i="3"/>
  <c r="E554" i="3"/>
  <c r="E491" i="3"/>
  <c r="E417" i="3"/>
  <c r="E479" i="3"/>
  <c r="E95" i="3"/>
  <c r="E152" i="3"/>
  <c r="E258" i="3"/>
  <c r="E292" i="3"/>
  <c r="E349" i="3"/>
  <c r="E389" i="3"/>
  <c r="E59" i="3"/>
  <c r="E409" i="3"/>
  <c r="E484" i="3"/>
  <c r="E64" i="3"/>
  <c r="E46" i="3"/>
  <c r="E160" i="3"/>
  <c r="E249" i="3"/>
  <c r="E371" i="3"/>
  <c r="E310" i="3"/>
  <c r="E84" i="3"/>
  <c r="E67" i="3"/>
  <c r="E33" i="3"/>
  <c r="E233" i="3"/>
  <c r="E355" i="3"/>
  <c r="E68" i="3"/>
  <c r="E81" i="3"/>
  <c r="E283" i="3"/>
  <c r="E309" i="3"/>
  <c r="E494" i="3"/>
  <c r="E198" i="3"/>
  <c r="E281" i="3"/>
  <c r="AL6" i="3"/>
  <c r="E42" i="3"/>
  <c r="E75" i="3"/>
  <c r="E18" i="3"/>
  <c r="E96" i="3"/>
  <c r="E129" i="3"/>
  <c r="E235" i="3"/>
  <c r="E383" i="3"/>
  <c r="E522" i="3"/>
  <c r="E34" i="3"/>
  <c r="E206" i="3"/>
  <c r="E251"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E63" i="40"/>
  <c r="F48" i="35"/>
  <c r="S7" i="36"/>
  <c r="W7" i="37"/>
  <c r="AB7" i="36"/>
  <c r="T36" i="36" s="1"/>
  <c r="G36" i="36" s="1"/>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C32" i="15"/>
  <c r="F1" i="67"/>
  <c r="Q52" i="67"/>
  <c r="Q60" i="15"/>
  <c r="Q73" i="15"/>
  <c r="Q61" i="67"/>
  <c r="Q74" i="67"/>
  <c r="AE11" i="1"/>
  <c r="AE9" i="1"/>
  <c r="F27" i="68"/>
  <c r="AE7" i="1"/>
  <c r="AE8" i="1"/>
  <c r="AE12" i="1"/>
  <c r="AE10" i="1"/>
  <c r="G1" i="73"/>
  <c r="C16" i="67"/>
  <c r="AE6" i="1"/>
  <c r="F41" i="67"/>
  <c r="Q52" i="15" l="1"/>
  <c r="Q61" i="15"/>
  <c r="E502" i="3"/>
  <c r="E499" i="3"/>
  <c r="C29" i="69"/>
  <c r="D27" i="69" s="1"/>
  <c r="C47" i="69"/>
  <c r="D45" i="69" s="1"/>
  <c r="AC6" i="3"/>
  <c r="H6" i="3"/>
  <c r="AF6" i="3"/>
  <c r="E86" i="3"/>
  <c r="E174" i="3"/>
  <c r="E482" i="3"/>
  <c r="E391" i="3"/>
  <c r="E513" i="3"/>
  <c r="E63" i="3"/>
  <c r="E184" i="3"/>
  <c r="E492" i="3"/>
  <c r="E267" i="3"/>
  <c r="E467" i="3"/>
  <c r="E544" i="3"/>
  <c r="E241" i="3"/>
  <c r="E37" i="3"/>
  <c r="E517" i="3"/>
  <c r="E430" i="3"/>
  <c r="E575" i="3"/>
  <c r="E332" i="3"/>
  <c r="E21" i="3"/>
  <c r="E264" i="3"/>
  <c r="E381" i="3"/>
  <c r="E144" i="3"/>
  <c r="E23" i="3"/>
  <c r="E300" i="3"/>
  <c r="E103" i="3"/>
  <c r="E425" i="3"/>
  <c r="E76" i="3"/>
  <c r="E363" i="3"/>
  <c r="E192" i="3"/>
  <c r="E56" i="3"/>
  <c r="E435" i="3"/>
  <c r="E255" i="3"/>
  <c r="E442" i="3"/>
  <c r="E286" i="3"/>
  <c r="E3" i="6"/>
  <c r="D3" i="21" s="1"/>
  <c r="J5" i="67"/>
  <c r="J24" i="67" s="1"/>
  <c r="T40" i="71"/>
  <c r="D40" i="71"/>
  <c r="C26" i="71"/>
  <c r="D26" i="71" s="1"/>
  <c r="D27" i="71"/>
  <c r="R36" i="36"/>
  <c r="I3" i="6"/>
  <c r="E541" i="3"/>
  <c r="R6" i="3"/>
  <c r="E199" i="3"/>
  <c r="D56" i="71"/>
  <c r="T56"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14" i="12"/>
  <c r="D3" i="34"/>
  <c r="L18" i="9"/>
  <c r="D3" i="3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F41" i="15"/>
  <c r="M27" i="15"/>
  <c r="D3" i="37" l="1"/>
  <c r="D19" i="11"/>
  <c r="C19" i="11" s="1"/>
  <c r="D37" i="11"/>
  <c r="C17" i="4"/>
  <c r="B4" i="52" s="1"/>
  <c r="B43" i="72" s="1"/>
  <c r="M18" i="9"/>
  <c r="B118" i="9" s="1"/>
  <c r="B1" i="74" s="1"/>
  <c r="F25" i="12"/>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15"/>
  <c r="C17" i="67"/>
  <c r="D30" i="6" l="1"/>
  <c r="C26" i="11"/>
  <c r="D22" i="11" s="1"/>
  <c r="C44" i="11"/>
  <c r="D41" i="11" s="1"/>
  <c r="H25" i="6"/>
  <c r="C44" i="68"/>
  <c r="D41" i="68" s="1"/>
  <c r="C26" i="68"/>
  <c r="D22" i="68"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67"/>
  <c r="F35" i="15"/>
  <c r="C32" i="12" l="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N69" i="39"/>
  <c r="C39" i="35"/>
  <c r="C38" i="35"/>
  <c r="N63" i="40"/>
  <c r="M65" i="40"/>
  <c r="E43" i="35"/>
  <c r="F43" i="35" s="1"/>
  <c r="E42" i="35"/>
  <c r="F42" i="35" s="1"/>
  <c r="I43" i="35"/>
  <c r="J43" i="35" s="1"/>
  <c r="L51" i="67"/>
  <c r="D2" i="33"/>
  <c r="O69" i="39" l="1"/>
  <c r="P67" i="39"/>
  <c r="D10" i="71"/>
  <c r="C9"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5"/>
  <c r="D2" i="34"/>
  <c r="D2" i="36"/>
  <c r="D2" i="37"/>
  <c r="L51" i="15"/>
  <c r="Q67" i="39" l="1"/>
  <c r="P69" i="3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9" i="1"/>
  <c r="AO12" i="1"/>
  <c r="AO8" i="1"/>
  <c r="AO7" i="1"/>
  <c r="AO10" i="1"/>
  <c r="AO11" i="1"/>
  <c r="R67" i="39" l="1"/>
  <c r="Q69" i="39"/>
  <c r="C7" i="71"/>
  <c r="D8" i="71"/>
  <c r="L46" i="15"/>
  <c r="B2" i="15" s="1"/>
  <c r="Q66" i="15"/>
  <c r="Q75" i="15" s="1"/>
  <c r="Q62" i="15"/>
  <c r="B9" i="70"/>
  <c r="B11" i="70"/>
  <c r="B7" i="70"/>
  <c r="B10" i="70"/>
  <c r="B12" i="70"/>
  <c r="B8" i="70"/>
  <c r="U7" i="40"/>
  <c r="AB7" i="40"/>
  <c r="T42" i="40" s="1"/>
  <c r="G42" i="40" s="1"/>
  <c r="AA7" i="40"/>
  <c r="R42" i="40" s="1"/>
  <c r="S7" i="40"/>
  <c r="AC7" i="40"/>
  <c r="V42" i="40" s="1"/>
  <c r="I42" i="40" s="1"/>
  <c r="W7" i="40"/>
  <c r="D19" i="9"/>
  <c r="AO6" i="1"/>
  <c r="S67" i="39" l="1"/>
  <c r="R69" i="39"/>
  <c r="D102" i="9"/>
  <c r="D21" i="9"/>
  <c r="B6" i="70"/>
  <c r="B3" i="15"/>
  <c r="D7" i="71"/>
  <c r="C6" i="71"/>
  <c r="B2" i="70"/>
  <c r="B3" i="70" s="1"/>
  <c r="I46" i="40"/>
  <c r="J46" i="40" s="1"/>
  <c r="R43" i="40"/>
  <c r="E42" i="40"/>
  <c r="G47" i="40"/>
  <c r="H47" i="40" s="1"/>
  <c r="G46" i="40"/>
  <c r="H46" i="40" s="1"/>
  <c r="D20" i="9"/>
  <c r="J7" i="39" l="1"/>
  <c r="H7" i="39"/>
  <c r="T67" i="39"/>
  <c r="T69" i="39" s="1"/>
  <c r="S69" i="39"/>
  <c r="F7" i="39" s="1"/>
  <c r="D103" i="9"/>
  <c r="D6" i="71"/>
  <c r="C5" i="71"/>
  <c r="D5" i="71" s="1"/>
  <c r="M24" i="43" s="1"/>
  <c r="C42" i="40"/>
  <c r="C43" i="40"/>
  <c r="E47" i="40"/>
  <c r="F47" i="40" s="1"/>
  <c r="E46" i="40"/>
  <c r="F46" i="40" s="1"/>
  <c r="I47" i="40"/>
  <c r="J47" i="40" s="1"/>
  <c r="S7" i="39" l="1"/>
  <c r="AA7" i="39"/>
  <c r="R47" i="39" s="1"/>
  <c r="AB7" i="39"/>
  <c r="T47" i="39" s="1"/>
  <c r="G47" i="39" s="1"/>
  <c r="U7" i="39"/>
  <c r="W7" i="39"/>
  <c r="AC7" i="39"/>
  <c r="V47" i="39" s="1"/>
  <c r="I47" i="39" s="1"/>
  <c r="B58" i="40"/>
  <c r="F58" i="40" s="1"/>
  <c r="B54" i="40"/>
  <c r="F54" i="40" s="1"/>
  <c r="B53" i="40"/>
  <c r="F53" i="40" s="1"/>
  <c r="B59" i="40"/>
  <c r="F59" i="40" s="1"/>
  <c r="B52" i="40"/>
  <c r="F52" i="40" s="1"/>
  <c r="B56" i="40"/>
  <c r="F56" i="40" s="1"/>
  <c r="B60" i="40"/>
  <c r="F60" i="40" s="1"/>
  <c r="B57" i="40"/>
  <c r="F57" i="40" s="1"/>
  <c r="B51" i="40"/>
  <c r="F51" i="40" s="1"/>
  <c r="F61" i="40"/>
  <c r="B2" i="40" s="1"/>
  <c r="B3" i="40" s="1"/>
  <c r="G52" i="39" l="1"/>
  <c r="H52" i="39" s="1"/>
  <c r="G51" i="39"/>
  <c r="H51" i="39" s="1"/>
  <c r="I51" i="39"/>
  <c r="J51" i="39" s="1"/>
  <c r="E47" i="39"/>
  <c r="I52" i="39" s="1"/>
  <c r="J52" i="39" s="1"/>
  <c r="R48" i="39"/>
  <c r="C47" i="39" l="1"/>
  <c r="C48" i="39"/>
  <c r="E51" i="39"/>
  <c r="F51" i="39" s="1"/>
  <c r="E52" i="39"/>
  <c r="F52" i="39" s="1"/>
  <c r="B64" i="39" l="1"/>
  <c r="F64" i="39" s="1"/>
  <c r="B58" i="39"/>
  <c r="F58" i="39" s="1"/>
  <c r="B60" i="39"/>
  <c r="F60" i="39" s="1"/>
  <c r="B62" i="39"/>
  <c r="F62" i="39" s="1"/>
  <c r="B57" i="39"/>
  <c r="F57" i="39" s="1"/>
  <c r="B56" i="39"/>
  <c r="F56" i="39" s="1"/>
  <c r="B61" i="39"/>
  <c r="F61" i="39" s="1"/>
  <c r="B59" i="39"/>
  <c r="F59" i="39" s="1"/>
  <c r="B63" i="39"/>
  <c r="F63" i="39" s="1"/>
  <c r="F65" i="39" l="1"/>
  <c r="B2" i="39" s="1"/>
  <c r="B3" i="39" s="1"/>
  <c r="C6" i="68" l="1"/>
  <c r="C7" i="68" s="1"/>
  <c r="C5" i="68" s="1"/>
  <c r="C23" i="68" s="1"/>
  <c r="C20" i="68" l="1"/>
  <c r="C28" i="68" s="1"/>
  <c r="C27" i="68" s="1"/>
  <c r="C25" i="68" l="1"/>
  <c r="C22" i="68" s="1"/>
  <c r="C31" i="68" s="1"/>
  <c r="C52" i="68" s="1"/>
  <c r="C57" i="68" s="1"/>
  <c r="C56" i="68" s="1"/>
  <c r="B2" i="68" l="1"/>
  <c r="B3" i="68" s="1"/>
  <c r="C19" i="9"/>
  <c r="C20" i="9"/>
  <c r="C102" i="9" l="1"/>
  <c r="D22" i="9"/>
  <c r="C21" i="9"/>
  <c r="G19" i="9"/>
  <c r="G21" i="9" s="1"/>
  <c r="C103" i="9"/>
  <c r="G20" i="9"/>
  <c r="C32" i="9" l="1"/>
  <c r="C35" i="9" s="1"/>
  <c r="C34" i="9" s="1"/>
  <c r="R24" i="31"/>
  <c r="S24" i="31" l="1"/>
  <c r="R25" i="31"/>
  <c r="S25" i="31" s="1"/>
  <c r="S22" i="31" l="1"/>
  <c r="B20" i="31" l="1"/>
  <c r="R22" i="31"/>
  <c r="B21" i="31" l="1"/>
  <c r="D14" i="74"/>
  <c r="G14" i="74" s="1"/>
  <c r="B6" i="74" s="1"/>
  <c r="D6" i="74" s="1"/>
  <c r="F14" i="74" l="1"/>
  <c r="E14" i="74"/>
  <c r="B5" i="74"/>
  <c r="D5" i="74" l="1"/>
  <c r="C86" i="9"/>
  <c r="C93" i="9"/>
  <c r="D54" i="9"/>
  <c r="C68" i="9"/>
  <c r="B47" i="72"/>
  <c r="D4" i="52"/>
  <c r="H5" i="52"/>
  <c r="H119" i="9"/>
  <c r="B22" i="72"/>
  <c r="D6" i="53"/>
  <c r="M55" i="9"/>
  <c r="C64" i="9"/>
  <c r="C63" i="9"/>
  <c r="C67" i="9"/>
  <c r="D59" i="9"/>
  <c r="B48" i="72"/>
  <c r="E4" i="52"/>
  <c r="B32" i="72"/>
  <c r="D14" i="53"/>
  <c r="C80" i="9"/>
  <c r="E80" i="9"/>
  <c r="E81" i="9"/>
  <c r="B51" i="72"/>
  <c r="F4" i="52"/>
  <c r="D13" i="53"/>
  <c r="B30" i="72"/>
  <c r="C6" i="74"/>
  <c r="M48" i="9"/>
  <c r="C97" i="9"/>
  <c r="D58" i="9"/>
  <c r="D56" i="9"/>
  <c r="M54" i="9"/>
  <c r="B49" i="72"/>
  <c r="E118" i="9"/>
  <c r="D118" i="9"/>
  <c r="D119" i="9"/>
  <c r="D5" i="52"/>
  <c r="I4" i="52"/>
  <c r="C105" i="9"/>
  <c r="D53" i="9"/>
  <c r="D52" i="9"/>
  <c r="P57" i="9"/>
  <c r="N58" i="9"/>
  <c r="B21" i="72"/>
  <c r="D7" i="53"/>
  <c r="D8" i="52"/>
  <c r="N60" i="9"/>
  <c r="D55" i="9"/>
  <c r="M53" i="9"/>
  <c r="N57" i="9"/>
  <c r="N59" i="9"/>
  <c r="N61" i="9"/>
  <c r="F119" i="9"/>
  <c r="F5" i="52"/>
  <c r="B53" i="72"/>
  <c r="B52" i="72"/>
  <c r="F118" i="9"/>
  <c r="G118" i="9"/>
  <c r="G4" i="52"/>
  <c r="H108" i="9"/>
  <c r="D15" i="53"/>
  <c r="B31" i="72"/>
  <c r="H107" i="9"/>
  <c r="D122" i="9"/>
  <c r="D123" i="9"/>
  <c r="D9" i="52"/>
  <c r="C78" i="9"/>
  <c r="C73" i="9"/>
  <c r="C72" i="9"/>
  <c r="C79" i="9"/>
  <c r="C81" i="9"/>
  <c r="H102" i="9"/>
  <c r="C5" i="74"/>
  <c r="C104" i="9"/>
  <c r="H4" i="52"/>
  <c r="D45" i="9"/>
  <c r="C85" i="9"/>
  <c r="C95" i="9"/>
  <c r="C96" i="9"/>
  <c r="E96" i="9"/>
  <c r="E97"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<sst xmlns="http://schemas.openxmlformats.org/spreadsheetml/2006/main" count="9277" uniqueCount="4039">
  <si>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</si>
  <si>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</si>
  <si>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</si>
  <si>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</si>
  <si>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</si>
  <si>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</si>
  <si>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</si>
  <si>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</si>
  <si>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</si>
  <si>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</si>
  <si>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</si>
  <si>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</si>
  <si>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</si>
  <si>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</si>
  <si>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</si>
  <si>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</si>
  <si>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</si>
  <si>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</si>
  <si>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</si>
  <si>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</si>
  <si>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</si>
  <si>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</si>
  <si>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</si>
  <si>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</si>
  <si>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</si>
  <si>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</si>
  <si>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</si>
  <si>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</si>
  <si>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</si>
  <si>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</si>
  <si>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</si>
  <si>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</si>
  <si>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</si>
  <si>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</si>
  <si>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</si>
  <si>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</si>
  <si>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</si>
  <si>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</si>
  <si>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</si>
  <si>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</si>
  <si>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</si>
  <si>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</si>
  <si>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</si>
  <si>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</si>
  <si>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</si>
  <si>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</si>
  <si>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</si>
  <si>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</si>
  <si>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</si>
  <si>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</si>
  <si>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</si>
  <si>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</si>
  <si>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</si>
  <si>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</si>
  <si>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</si>
  <si>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</si>
  <si>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</si>
  <si>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</si>
  <si>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</si>
  <si>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</si>
  <si>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</si>
  <si>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</si>
  <si>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</si>
  <si>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</si>
  <si>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</si>
  <si>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</si>
  <si>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</si>
  <si>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</si>
  <si>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</si>
  <si>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</si>
  <si>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</si>
  <si>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</si>
  <si>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</si>
  <si>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</si>
  <si>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</si>
  <si>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</si>
  <si>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</si>
  <si>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</si>
  <si>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</si>
  <si>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</si>
  <si>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</si>
  <si>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</si>
  <si>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</si>
  <si>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</si>
  <si>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</si>
  <si>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</si>
  <si>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</si>
  <si>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</si>
  <si>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</si>
  <si>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</si>
  <si>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</si>
  <si>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</si>
  <si>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</si>
  <si>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</si>
  <si>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</si>
  <si>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</si>
  <si>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</si>
  <si>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</si>
  <si>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</si>
  <si>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</si>
  <si>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</si>
  <si>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</si>
  <si>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</si>
  <si>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</si>
  <si>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</si>
  <si>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</si>
  <si>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</si>
  <si>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</si>
  <si>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</si>
  <si>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</si>
  <si>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</si>
  <si>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</si>
  <si>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</si>
  <si>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</si>
  <si>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</si>
  <si>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</si>
  <si>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</si>
  <si>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</si>
  <si>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</si>
  <si>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</si>
  <si>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</si>
  <si>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</si>
  <si>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</si>
  <si>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</si>
  <si>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</si>
  <si>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</si>
  <si>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</si>
  <si>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</si>
  <si>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</si>
  <si>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</si>
  <si>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</si>
  <si>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</si>
  <si>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</si>
  <si>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</si>
  <si>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</si>
  <si>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</si>
  <si>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</si>
  <si>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</si>
  <si>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</si>
  <si>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</si>
  <si>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</si>
  <si>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</si>
  <si>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</si>
  <si>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</si>
  <si>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</si>
  <si>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</si>
  <si>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</si>
  <si>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</si>
  <si>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</si>
  <si>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</si>
  <si>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</si>
  <si>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</si>
  <si>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</si>
  <si>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</si>
  <si>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</si>
  <si>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</si>
  <si>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</si>
  <si>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</si>
  <si>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</si>
  <si>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</si>
  <si>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</si>
  <si>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</si>
  <si>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</si>
  <si>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</si>
  <si>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</si>
  <si>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</si>
  <si>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</si>
  <si>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</si>
  <si>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</si>
  <si>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</si>
  <si>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</si>
  <si>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</si>
  <si>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</si>
  <si>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</si>
  <si>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</si>
  <si>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</si>
  <si>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</si>
  <si>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</si>
  <si>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</si>
  <si>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</si>
  <si>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</si>
  <si>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</si>
  <si>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</si>
  <si>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</si>
  <si>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</si>
  <si>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</si>
  <si>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</si>
  <si>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</si>
  <si>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</si>
  <si>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</si>
  <si>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</si>
  <si>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</si>
  <si>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</si>
  <si>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</si>
  <si>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</si>
  <si>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</si>
  <si>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</si>
  <si>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</si>
  <si>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</si>
  <si>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</si>
  <si>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</si>
  <si>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</si>
  <si>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</si>
  <si>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</si>
  <si>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</si>
  <si>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</si>
  <si>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</si>
  <si>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</si>
  <si>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</si>
  <si>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</si>
  <si>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</si>
  <si>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</si>
  <si>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</si>
  <si>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</si>
  <si>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</si>
  <si>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</si>
  <si>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</si>
  <si>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</si>
  <si>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</si>
  <si>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</si>
  <si>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</si>
  <si>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</si>
  <si>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</si>
  <si>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</si>
  <si>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</si>
  <si>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</si>
  <si>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</si>
  <si>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</si>
  <si>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</si>
  <si>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</si>
  <si>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</si>
  <si>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</si>
  <si>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</si>
  <si>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</si>
  <si>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</si>
  <si>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</si>
  <si>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</si>
  <si>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</si>
  <si>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</si>
  <si>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</si>
  <si>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</si>
  <si>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</si>
  <si>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</si>
  <si>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</si>
  <si>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</si>
  <si>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</si>
  <si>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</si>
  <si>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</si>
  <si>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</si>
  <si>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</si>
  <si>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</si>
  <si>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</si>
  <si>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</si>
  <si>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</si>
  <si>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</si>
  <si>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</si>
  <si>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</si>
  <si>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</si>
  <si>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</si>
  <si>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</si>
  <si>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</si>
  <si>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</si>
  <si>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</si>
  <si>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</si>
  <si>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</si>
  <si>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</si>
  <si>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</si>
  <si>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</si>
  <si>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</si>
  <si>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</si>
  <si>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</si>
  <si>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</si>
  <si>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</si>
  <si>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</si>
  <si>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</si>
  <si>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</si>
  <si>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</si>
  <si>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</si>
  <si>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</si>
  <si>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</si>
  <si>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</si>
  <si>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</si>
  <si>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</si>
  <si>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</si>
  <si>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</si>
  <si>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</si>
  <si>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</si>
  <si>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</si>
  <si>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</si>
  <si>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</si>
  <si>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</si>
  <si>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</si>
  <si>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</si>
  <si>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</si>
  <si>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</si>
  <si>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</si>
  <si>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</si>
  <si>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</si>
  <si>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</si>
  <si>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</si>
  <si>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</si>
  <si>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</si>
  <si>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</si>
  <si>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</si>
  <si>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</si>
  <si>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</si>
  <si>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</si>
  <si>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</si>
  <si>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</si>
  <si>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</si>
  <si>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</si>
  <si>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</si>
  <si>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</si>
  <si>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</si>
  <si>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</si>
  <si>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</si>
  <si>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</si>
  <si>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</si>
  <si>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</si>
  <si>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</si>
  <si>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</si>
  <si>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</si>
  <si>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</si>
  <si>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</si>
  <si>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</si>
  <si>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</si>
  <si>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</si>
  <si>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</si>
  <si>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</si>
  <si>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</si>
  <si>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</si>
  <si>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</si>
  <si>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</si>
  <si>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</si>
  <si>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</si>
  <si>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</si>
  <si>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</si>
  <si>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</si>
  <si>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</si>
  <si>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</si>
  <si>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</si>
  <si>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</si>
  <si>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</si>
  <si>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</si>
  <si>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</si>
  <si>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</si>
  <si>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</si>
  <si>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</si>
  <si>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</si>
  <si>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</si>
  <si>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</si>
  <si>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</si>
  <si>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</si>
  <si>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</si>
  <si>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</si>
  <si>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</si>
  <si>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</si>
  <si>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</si>
  <si>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</si>
  <si>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</si>
  <si>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</si>
  <si>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</si>
  <si>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</si>
  <si>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</si>
  <si>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</si>
  <si>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</si>
  <si>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</si>
  <si>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</si>
  <si>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</si>
  <si>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</si>
  <si>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</si>
  <si>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</si>
  <si>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</si>
  <si>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</si>
  <si>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</si>
  <si>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</si>
  <si>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</si>
  <si>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</si>
  <si>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</si>
  <si>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</si>
  <si>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</si>
  <si>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</si>
  <si>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</si>
  <si>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</si>
  <si>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</si>
  <si>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</si>
  <si>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</si>
  <si>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</si>
  <si>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</si>
  <si>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</si>
  <si>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</si>
  <si>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</si>
  <si>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</si>
  <si>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</si>
  <si>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</si>
  <si>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</si>
  <si>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</si>
  <si>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</si>
  <si>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</si>
  <si>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</si>
  <si>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</si>
  <si>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</si>
  <si>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</si>
  <si>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</si>
  <si>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</si>
  <si>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</si>
  <si>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</si>
  <si>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</si>
  <si>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</si>
  <si>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</si>
  <si>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</si>
  <si>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</si>
  <si>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</si>
  <si>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</si>
  <si>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</si>
  <si>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</si>
  <si>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</si>
  <si>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</si>
  <si>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</si>
  <si>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</si>
  <si>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</si>
  <si>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</si>
  <si>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</si>
  <si>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</si>
  <si>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</si>
  <si>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</si>
  <si>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</si>
  <si>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</si>
  <si>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</si>
  <si>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</si>
  <si>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</si>
  <si>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</si>
  <si>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</si>
  <si>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</si>
  <si>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</si>
  <si>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</si>
  <si>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</si>
  <si>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</si>
  <si>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</si>
  <si>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</si>
  <si>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</si>
  <si>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</si>
  <si>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</si>
  <si>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</si>
  <si>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</si>
  <si>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</si>
  <si>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</si>
  <si>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</si>
  <si>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</si>
  <si>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</si>
  <si>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</si>
  <si>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</si>
  <si>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</si>
  <si>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</si>
  <si>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</si>
  <si>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</si>
  <si>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</si>
  <si>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</si>
  <si>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</si>
  <si>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</si>
  <si>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</si>
  <si>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</si>
  <si>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</si>
  <si>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</si>
  <si>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</si>
  <si>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</si>
  <si>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</si>
  <si>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</si>
  <si>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</si>
  <si>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</si>
  <si>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</si>
  <si>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</si>
  <si>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</si>
  <si>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</si>
  <si>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</si>
  <si>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</si>
  <si>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</si>
  <si>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</si>
  <si>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</si>
  <si>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</si>
  <si>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</si>
  <si>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</si>
  <si>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</si>
  <si>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</si>
  <si>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</si>
  <si>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</si>
  <si>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</si>
  <si>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</si>
  <si>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</si>
  <si>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</si>
  <si>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</si>
  <si>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</si>
  <si>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</si>
  <si>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</si>
  <si>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</si>
  <si>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</si>
  <si>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</si>
  <si>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</si>
  <si>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</si>
  <si>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</si>
  <si>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</si>
  <si>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</si>
  <si>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</si>
  <si>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</si>
  <si>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</si>
  <si>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</si>
  <si>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</si>
  <si>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</si>
  <si>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</si>
  <si>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</si>
  <si>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</si>
  <si>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</si>
  <si>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</si>
  <si>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</si>
  <si>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</si>
  <si>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</si>
  <si>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</si>
  <si>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</si>
  <si>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</si>
  <si>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</si>
  <si>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</si>
  <si>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</si>
  <si>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</si>
  <si>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</si>
  <si>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</si>
  <si>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</si>
  <si>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</si>
  <si>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</si>
  <si>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</si>
  <si>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</si>
  <si>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</si>
  <si>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</si>
  <si>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</si>
  <si>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</si>
  <si>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</si>
  <si>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</si>
  <si>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</si>
  <si>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</si>
  <si>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</si>
  <si>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</si>
  <si>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</si>
  <si>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</si>
  <si>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</si>
  <si>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</si>
  <si>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</si>
  <si>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</si>
  <si>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</si>
  <si>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</si>
  <si>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</si>
  <si>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</si>
  <si>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</si>
  <si>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</si>
  <si>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</si>
  <si>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</si>
  <si>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</si>
  <si>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</si>
  <si>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</si>
  <si>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</si>
  <si>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</si>
  <si>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</si>
  <si>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</si>
  <si>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</si>
  <si>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</si>
  <si>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</si>
  <si>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</si>
  <si>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</si>
  <si>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</si>
  <si>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</si>
  <si>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</si>
  <si>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</si>
  <si>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</si>
  <si>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</si>
  <si>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</si>
  <si>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</si>
  <si>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</si>
  <si>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</si>
  <si>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</si>
  <si>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</si>
  <si>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</si>
  <si>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</si>
  <si>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</si>
  <si>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</si>
  <si>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</si>
  <si>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</si>
  <si>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</si>
  <si>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</si>
  <si>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</si>
  <si>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</si>
  <si>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</si>
  <si>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</si>
  <si>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</si>
  <si>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</si>
  <si>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</si>
  <si>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</si>
  <si>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</si>
  <si>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</si>
  <si>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</si>
  <si>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</si>
  <si>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</si>
  <si>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</si>
  <si>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</si>
  <si>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</si>
  <si>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</si>
  <si>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</si>
  <si>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</si>
  <si>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</si>
  <si>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</si>
  <si>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</si>
  <si>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</si>
  <si>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</si>
  <si>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</si>
  <si>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</si>
  <si>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</si>
  <si>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</si>
  <si>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</si>
  <si>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</si>
  <si>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</si>
  <si>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</si>
  <si>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</si>
  <si>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</si>
  <si>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</si>
  <si>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</si>
  <si>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</si>
  <si>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</si>
  <si>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</si>
  <si>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</si>
  <si>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</si>
  <si>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</si>
  <si>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</si>
  <si>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</si>
  <si>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</si>
  <si>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</si>
  <si>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</si>
  <si>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</si>
  <si>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</si>
  <si>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</si>
  <si>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</si>
  <si>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</si>
  <si>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</si>
  <si>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</si>
  <si>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</si>
  <si>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</si>
  <si>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</si>
  <si>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</si>
  <si>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</si>
  <si>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</si>
  <si>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</si>
  <si>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</si>
  <si>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</si>
  <si>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</si>
  <si>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</si>
  <si>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</si>
  <si>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</si>
  <si>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</si>
  <si>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</si>
  <si>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</si>
  <si>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</si>
  <si>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</si>
  <si>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</si>
  <si>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</si>
  <si>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</si>
  <si>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</si>
  <si>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</si>
  <si>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</si>
  <si>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</si>
  <si>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</si>
  <si>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</si>
  <si>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</si>
  <si>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</si>
  <si>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</si>
  <si>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</si>
  <si>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</si>
  <si>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</si>
  <si>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</si>
  <si>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</si>
  <si>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</si>
  <si>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</si>
  <si>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</si>
  <si>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</si>
  <si>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</si>
  <si>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</si>
  <si>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</si>
  <si>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</si>
  <si>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</si>
  <si>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</si>
  <si>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</si>
  <si>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</si>
  <si>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</si>
  <si>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</si>
  <si>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</si>
  <si>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</si>
  <si>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</si>
  <si>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</si>
  <si>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</si>
  <si>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</si>
  <si>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</si>
  <si>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</si>
  <si>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</si>
  <si>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</si>
  <si>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</si>
  <si>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</si>
  <si>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</si>
  <si>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</si>
  <si>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</si>
  <si>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</si>
  <si>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</si>
  <si>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</si>
  <si>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</si>
  <si>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</si>
  <si>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</si>
  <si>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</si>
  <si>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</si>
  <si>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</si>
  <si>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</si>
  <si>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</si>
  <si>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</si>
  <si>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</si>
  <si>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</si>
  <si>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</si>
  <si>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</si>
  <si>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</si>
  <si>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</si>
  <si>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</si>
  <si>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</si>
  <si>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</si>
  <si>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</si>
  <si>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</si>
  <si>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</si>
  <si>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</si>
  <si>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</si>
  <si>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</si>
  <si>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</si>
  <si>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</si>
  <si>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</si>
  <si>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</si>
  <si>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</si>
  <si>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</si>
  <si>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</si>
  <si>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</si>
  <si>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</si>
  <si>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</si>
  <si>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</si>
  <si>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</si>
  <si>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</si>
  <si>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</si>
  <si>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</si>
  <si>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</si>
  <si>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</si>
  <si>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</si>
  <si>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</si>
  <si>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</si>
  <si>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</si>
  <si>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</si>
  <si>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</si>
  <si>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</si>
  <si>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</si>
  <si>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</si>
  <si>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</si>
  <si>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</si>
  <si>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</si>
  <si>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</si>
  <si>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</si>
  <si>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</si>
  <si>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</si>
  <si>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</si>
  <si>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</si>
  <si>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</si>
  <si>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</si>
  <si>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</si>
  <si>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</si>
  <si>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</si>
  <si>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</si>
  <si>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</si>
  <si>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</si>
  <si>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</si>
  <si>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</si>
  <si>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</si>
  <si>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</si>
  <si>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</si>
  <si>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</si>
  <si>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</si>
  <si>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</si>
  <si>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</si>
  <si>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</si>
  <si>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</si>
  <si>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</si>
  <si>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</si>
  <si>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</si>
  <si>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</si>
  <si>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</si>
  <si>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</si>
  <si>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</si>
  <si>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</si>
  <si>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</si>
  <si>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</si>
  <si>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</si>
  <si>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</si>
  <si>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</si>
  <si>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</si>
  <si>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</si>
  <si>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</si>
  <si>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</si>
  <si>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</si>
  <si>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</si>
  <si>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</si>
  <si>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</si>
  <si>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</si>
  <si>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</si>
  <si>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</si>
  <si>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</si>
  <si>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</si>
  <si>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</si>
  <si>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</si>
  <si>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</si>
  <si>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</si>
  <si>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</si>
  <si>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</si>
  <si>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</si>
  <si>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</si>
  <si>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</si>
  <si>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</si>
  <si>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</si>
  <si>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</si>
  <si>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</si>
  <si>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</si>
  <si>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</si>
  <si>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</si>
  <si>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</si>
  <si>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</si>
  <si>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</si>
  <si>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</si>
  <si>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</si>
  <si>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</si>
  <si>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</si>
  <si>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</si>
  <si>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</si>
  <si>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</si>
  <si>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</si>
  <si>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</si>
  <si>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</si>
  <si>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</si>
  <si>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</si>
  <si>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</si>
  <si>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</si>
  <si>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</si>
  <si>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</si>
  <si>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</si>
  <si>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</si>
  <si>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</si>
  <si>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</si>
  <si>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</si>
  <si>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</si>
  <si>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</si>
  <si>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</si>
  <si>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</si>
  <si>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</si>
  <si>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</si>
  <si>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</si>
  <si>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</si>
  <si>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</si>
  <si>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</si>
  <si>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</si>
  <si>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</si>
  <si>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</si>
  <si>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</si>
  <si>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</si>
  <si>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</si>
  <si>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</si>
  <si>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</si>
  <si>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</si>
  <si>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</si>
  <si>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</si>
  <si>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</si>
  <si>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</si>
  <si>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</si>
  <si>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</si>
  <si>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</si>
  <si>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</si>
  <si>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</si>
  <si>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</si>
  <si>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</si>
  <si>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</si>
  <si>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</si>
  <si>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</si>
  <si>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</si>
  <si>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</si>
  <si>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</si>
  <si>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</si>
  <si>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</si>
  <si>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</si>
  <si>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</si>
  <si>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</si>
  <si>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</si>
  <si>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</si>
  <si>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</si>
  <si>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</si>
  <si>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</si>
  <si>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</si>
  <si>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</si>
  <si>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</si>
  <si>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</si>
  <si>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</si>
  <si>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</si>
  <si>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</si>
  <si>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</si>
  <si>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</si>
  <si>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</si>
  <si>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</si>
  <si>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</si>
  <si>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</si>
  <si>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</si>
  <si>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</si>
  <si>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</si>
  <si>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</si>
  <si>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</si>
  <si>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</si>
  <si>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</si>
  <si>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</si>
  <si>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</si>
  <si>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</si>
  <si>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</si>
  <si>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</si>
  <si>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</si>
  <si>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</si>
  <si>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</si>
  <si>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</si>
  <si>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</si>
  <si>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</si>
  <si>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</si>
  <si>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</si>
  <si>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</si>
  <si>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</si>
  <si>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</si>
  <si>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</si>
  <si>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</si>
  <si>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</si>
  <si>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</si>
  <si>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</si>
  <si>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</si>
  <si>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</si>
  <si>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</si>
  <si>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</si>
  <si>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</si>
  <si>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</si>
  <si>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</si>
  <si>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</si>
  <si>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</si>
  <si>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</si>
  <si>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</si>
  <si>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</si>
  <si>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</si>
  <si>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</si>
  <si>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</si>
  <si>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</si>
  <si>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</si>
  <si>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</si>
  <si>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</si>
  <si>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</si>
  <si>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</si>
  <si>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</si>
  <si>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</si>
  <si>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</si>
  <si>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</si>
  <si>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</si>
  <si>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</si>
  <si>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</si>
  <si>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</si>
  <si>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</si>
  <si>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</si>
  <si>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</si>
  <si>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</si>
  <si>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</si>
  <si>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</si>
  <si>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</si>
  <si>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</si>
  <si>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</si>
  <si>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</si>
  <si>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</si>
  <si>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</si>
  <si>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</si>
  <si>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</si>
  <si>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</si>
  <si>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</si>
  <si>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</si>
  <si>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</si>
  <si>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</si>
  <si>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</si>
  <si>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</si>
  <si>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</si>
  <si>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</si>
  <si>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</si>
  <si>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</si>
  <si>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</si>
  <si>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</si>
  <si>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</si>
  <si>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</si>
  <si>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</si>
  <si>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</si>
  <si>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</si>
  <si>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</si>
  <si>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</si>
  <si>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</si>
  <si>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</si>
  <si>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</si>
  <si>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</si>
  <si>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</si>
  <si>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</si>
  <si>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</si>
  <si>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</si>
  <si>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</si>
  <si>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</si>
  <si>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</si>
  <si>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</si>
  <si>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</si>
  <si>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</si>
  <si>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</si>
  <si>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</si>
  <si>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</si>
  <si>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</si>
  <si>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</si>
  <si>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</si>
  <si>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</si>
  <si>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</si>
  <si>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</si>
  <si>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</si>
  <si>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</si>
  <si>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</si>
  <si>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</si>
  <si>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</si>
  <si>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</si>
  <si>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</si>
  <si>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</si>
  <si>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</si>
  <si>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</si>
  <si>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</si>
  <si>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</si>
  <si>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</si>
  <si>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</si>
  <si>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</si>
  <si>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</si>
  <si>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</si>
  <si>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</si>
  <si>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</si>
  <si>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</si>
  <si>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</si>
  <si>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</si>
  <si>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</si>
  <si>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</si>
  <si>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</si>
  <si>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</si>
  <si>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</si>
  <si>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</si>
  <si>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</si>
  <si>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</si>
  <si>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</si>
  <si>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</si>
  <si>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</si>
  <si>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</si>
  <si>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</si>
  <si>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</si>
  <si>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</si>
  <si>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</si>
  <si>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</si>
  <si>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</si>
  <si>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</si>
  <si>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</si>
  <si>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</si>
  <si>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</si>
  <si>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</si>
  <si>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</si>
  <si>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</si>
  <si>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</si>
  <si>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</si>
  <si>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</si>
  <si>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</si>
  <si>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</si>
  <si>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</si>
  <si>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</si>
  <si>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</si>
  <si>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</si>
  <si>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</si>
  <si>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</si>
  <si>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</si>
  <si>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</si>
  <si>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</si>
  <si>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</si>
  <si>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</si>
  <si>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</si>
  <si>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</si>
  <si>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</si>
  <si>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</si>
  <si>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</si>
  <si>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</si>
  <si>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</si>
  <si>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</si>
  <si>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</si>
  <si>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</si>
  <si>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</si>
  <si>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</si>
  <si>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</si>
  <si>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</si>
  <si>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</si>
  <si>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</si>
  <si>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</si>
  <si>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</si>
  <si>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</si>
  <si>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</si>
  <si>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</si>
  <si>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</si>
  <si>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</si>
  <si>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</si>
  <si>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</si>
  <si>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</si>
  <si>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</si>
  <si>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</si>
  <si>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</si>
  <si>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</si>
  <si>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</si>
  <si>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</si>
  <si>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</si>
  <si>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</si>
  <si>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</si>
  <si>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</si>
  <si>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</si>
  <si>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</si>
  <si>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</si>
  <si>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</si>
  <si>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</si>
  <si>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</si>
  <si>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</si>
  <si>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</si>
  <si>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</si>
  <si>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</si>
  <si>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</si>
  <si>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</si>
  <si>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</si>
  <si>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</si>
  <si>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</si>
  <si>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</si>
  <si>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</si>
  <si>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</si>
  <si>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</si>
  <si>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</si>
  <si>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</si>
  <si>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</si>
  <si>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</si>
  <si>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</si>
  <si>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</si>
  <si>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</si>
  <si>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</si>
  <si>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</si>
  <si>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</si>
  <si>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</si>
  <si>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</si>
  <si>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</si>
  <si>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</si>
  <si>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</si>
  <si>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</si>
  <si>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</si>
  <si>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</si>
  <si>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</si>
  <si>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</si>
  <si>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</si>
  <si>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</si>
  <si>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</si>
  <si>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</si>
  <si>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</si>
  <si>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</si>
  <si>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</si>
  <si>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</si>
  <si>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</si>
  <si>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</si>
  <si>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</si>
  <si>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</si>
  <si>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</si>
  <si>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</si>
  <si>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</si>
  <si>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</si>
  <si>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</si>
  <si>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</si>
  <si>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</si>
  <si>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</si>
  <si>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</si>
  <si>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</si>
  <si>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</si>
  <si>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</si>
  <si>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</si>
  <si>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</si>
  <si>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</si>
  <si>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</si>
  <si>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</si>
  <si>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</si>
  <si>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</si>
  <si>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</si>
  <si>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</si>
  <si>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</si>
  <si>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</si>
  <si>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</si>
  <si>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</si>
  <si>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</si>
  <si>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</si>
  <si>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</si>
  <si>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</si>
  <si>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</si>
  <si>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</si>
  <si>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</si>
  <si>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</si>
  <si>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</si>
  <si>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</si>
  <si>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</si>
  <si>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</si>
  <si>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</si>
  <si>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</si>
  <si>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</si>
  <si>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</si>
  <si>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</si>
  <si>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</si>
  <si>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</si>
  <si>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</si>
  <si>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</si>
  <si>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</si>
  <si>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</si>
  <si>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</si>
  <si>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</si>
  <si>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</si>
  <si>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</si>
  <si>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</si>
  <si>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</si>
  <si>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</si>
  <si>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</si>
  <si>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</si>
  <si>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</si>
  <si>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</si>
  <si>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</si>
  <si>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</si>
  <si>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</si>
  <si>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</si>
  <si>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</si>
  <si>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</si>
  <si>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</si>
  <si>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</si>
  <si>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</si>
  <si>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</si>
  <si>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</si>
  <si>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</si>
  <si>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</si>
  <si>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</si>
  <si>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</si>
  <si>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</si>
  <si>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</si>
  <si>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</si>
  <si>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</si>
  <si>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</si>
  <si>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</si>
  <si>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</si>
  <si>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</si>
  <si>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</si>
  <si>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</si>
  <si>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</si>
  <si>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</si>
  <si>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</si>
  <si>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</si>
  <si>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</si>
  <si>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</si>
  <si>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</si>
  <si>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</si>
  <si>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</si>
  <si>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</si>
  <si>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</si>
  <si>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</si>
  <si>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</si>
  <si>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</si>
  <si>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</si>
  <si>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</si>
  <si>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</si>
  <si>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</si>
  <si>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</si>
  <si>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</si>
  <si>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</si>
  <si>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</si>
  <si>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</si>
  <si>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</si>
  <si>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</si>
  <si>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</si>
  <si>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</si>
  <si>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</si>
  <si>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</si>
  <si>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</si>
  <si>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</si>
  <si>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</si>
  <si>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</si>
  <si>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</si>
  <si>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</si>
  <si>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</si>
  <si>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</si>
  <si>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</si>
  <si>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</si>
  <si>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</si>
  <si>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</si>
  <si>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</si>
  <si>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</si>
  <si>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</si>
  <si>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</si>
  <si>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</si>
  <si>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</si>
  <si>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</si>
  <si>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</si>
  <si>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</si>
  <si>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</si>
  <si>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</si>
  <si>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</si>
  <si>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</si>
  <si>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</si>
  <si>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</si>
  <si>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</si>
  <si>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</si>
  <si>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</si>
  <si>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</si>
  <si>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</si>
  <si>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</si>
  <si>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</si>
  <si>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</si>
  <si>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</si>
  <si>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</si>
  <si>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</si>
  <si>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</si>
  <si>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</si>
  <si>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</si>
  <si>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</si>
  <si>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</si>
  <si>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</si>
  <si>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</si>
  <si>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</si>
  <si>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</si>
  <si>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</si>
  <si>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</si>
  <si>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</si>
  <si>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</si>
  <si>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</si>
  <si>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</si>
  <si>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</si>
  <si>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</si>
  <si>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</si>
  <si>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</si>
  <si>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</si>
  <si>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</si>
  <si>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</si>
  <si>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</si>
  <si>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</si>
  <si>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</si>
  <si>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</si>
  <si>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</si>
  <si>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</si>
  <si>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</si>
  <si>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</si>
  <si>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</si>
  <si>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</si>
  <si>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</si>
  <si>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</si>
  <si>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</si>
  <si>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</si>
  <si>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</si>
  <si>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</si>
  <si>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</si>
  <si>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</si>
  <si>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</si>
  <si>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</si>
  <si>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</si>
  <si>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</si>
  <si>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</si>
  <si>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</si>
  <si>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</si>
  <si>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</si>
  <si>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</si>
  <si>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</si>
  <si>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</si>
  <si>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</si>
  <si>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</si>
  <si>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</si>
  <si>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</si>
  <si>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</si>
  <si>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</si>
  <si>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</si>
  <si>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</si>
  <si>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</si>
  <si>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</si>
  <si>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</si>
  <si>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</si>
  <si>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</si>
  <si>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</si>
  <si>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</si>
  <si>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</si>
  <si>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</si>
  <si>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</si>
  <si>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</si>
  <si>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</si>
  <si>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</si>
  <si>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</si>
  <si>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</si>
  <si>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</si>
  <si>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</si>
  <si>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</si>
  <si>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</si>
  <si>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</si>
  <si>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</si>
  <si>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</si>
  <si>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</si>
  <si>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</si>
  <si>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</si>
  <si>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</si>
  <si>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</si>
  <si>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</si>
  <si>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</si>
  <si>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</si>
  <si>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</si>
  <si>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</si>
  <si>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</si>
  <si>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</si>
  <si>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</si>
  <si>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</si>
  <si>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</si>
  <si>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</si>
  <si>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</si>
  <si>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</si>
  <si>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</si>
  <si>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</si>
  <si>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</si>
  <si>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</si>
  <si>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</si>
  <si>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</si>
  <si>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</si>
  <si>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</si>
  <si>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</si>
  <si>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</si>
  <si>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</si>
  <si>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</si>
  <si>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</si>
  <si>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</si>
  <si>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</si>
  <si>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</si>
  <si>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</si>
  <si>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</si>
  <si>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</si>
  <si>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</si>
  <si>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</si>
  <si>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</si>
  <si>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</si>
  <si>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</si>
  <si>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</si>
  <si>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</si>
  <si>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</si>
  <si>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</si>
  <si>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</si>
  <si>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</si>
  <si>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</si>
  <si>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</si>
  <si>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</si>
  <si>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</si>
  <si>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</si>
  <si>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</si>
  <si>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</si>
  <si>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</si>
  <si>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</si>
  <si>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</si>
  <si>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</si>
  <si>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</si>
  <si>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</si>
  <si>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</si>
  <si>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</si>
  <si>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</si>
  <si>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</si>
  <si>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</si>
  <si>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</si>
  <si>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</si>
  <si>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</si>
  <si>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</si>
  <si>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</si>
  <si>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</si>
  <si>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</si>
  <si>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</si>
  <si>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</si>
  <si>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</si>
  <si>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</si>
  <si>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</si>
  <si>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</si>
  <si>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</si>
  <si>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</si>
  <si>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</si>
  <si>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</si>
  <si>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</si>
  <si>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</si>
  <si>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</si>
  <si>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</si>
  <si>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</si>
  <si>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</si>
  <si>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</si>
  <si>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</si>
  <si>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</si>
  <si>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</si>
  <si>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</si>
  <si>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</si>
  <si>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</si>
  <si>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</si>
  <si>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</si>
  <si>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</si>
  <si>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</si>
  <si>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</si>
  <si>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</si>
  <si>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</si>
  <si>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</si>
  <si>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</si>
  <si>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</si>
  <si>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</si>
  <si>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</si>
  <si>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</si>
  <si>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</si>
  <si>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</si>
  <si>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</si>
  <si>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</si>
  <si>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</si>
  <si>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</si>
  <si>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</si>
  <si>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</si>
  <si>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</si>
  <si>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</si>
  <si>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</si>
  <si>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</si>
  <si>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</si>
  <si>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</si>
  <si>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</si>
  <si>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</si>
  <si>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</si>
  <si>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</si>
  <si>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</si>
  <si>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</si>
  <si>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</si>
  <si>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</si>
  <si>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</si>
  <si>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</si>
  <si>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</si>
  <si>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</si>
  <si>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</si>
  <si>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</si>
  <si>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</si>
  <si>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</si>
  <si>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</si>
  <si>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</si>
  <si>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</si>
  <si>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</si>
  <si>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</si>
  <si>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</si>
  <si>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</si>
  <si>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</si>
  <si>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</si>
  <si>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</si>
  <si>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</si>
  <si>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</si>
  <si>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</si>
  <si>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</si>
  <si>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</si>
  <si>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</si>
  <si>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</si>
  <si>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</si>
  <si>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</si>
  <si>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</si>
  <si>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</si>
  <si>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</si>
  <si>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</si>
  <si>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</si>
  <si>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</si>
  <si>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</si>
  <si>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</si>
  <si>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</si>
  <si>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</si>
  <si>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</si>
  <si>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</si>
  <si>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</si>
  <si>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</si>
  <si>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</si>
  <si>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</si>
  <si>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</si>
  <si>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</si>
  <si>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</si>
  <si>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</si>
  <si>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</si>
  <si>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</si>
  <si>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</si>
  <si>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</si>
  <si>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</si>
  <si>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</si>
  <si>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</si>
  <si>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</si>
  <si>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</si>
  <si>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</si>
  <si>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</si>
  <si>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</si>
  <si>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</si>
  <si>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</si>
  <si>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</si>
  <si>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</si>
  <si>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</si>
  <si>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</si>
  <si>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</si>
  <si>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</si>
  <si>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</si>
  <si>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</si>
  <si>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</si>
  <si>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</si>
  <si>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</si>
  <si>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</si>
  <si>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</si>
  <si>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</si>
  <si>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</si>
  <si>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</si>
  <si>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</si>
  <si>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</si>
  <si>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</si>
  <si>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</si>
  <si>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</si>
  <si>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</si>
  <si>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</si>
  <si>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</si>
  <si>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</si>
  <si>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</si>
  <si>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</si>
  <si>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</si>
  <si>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</si>
  <si>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</si>
  <si>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</si>
  <si>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</si>
  <si>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</si>
  <si>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</si>
  <si>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</si>
  <si>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</si>
  <si>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</si>
  <si>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</si>
  <si>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</si>
  <si>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</si>
  <si>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</si>
  <si>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</si>
  <si>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</si>
  <si>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</si>
  <si>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</si>
  <si>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</si>
  <si>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</si>
  <si>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</si>
  <si>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</si>
  <si>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</si>
  <si>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</si>
  <si>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</si>
  <si>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</si>
  <si>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</si>
  <si>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</si>
  <si>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</si>
  <si>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</si>
  <si>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</si>
  <si>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</si>
  <si>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</si>
  <si>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</si>
  <si>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</si>
  <si>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</si>
  <si>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</si>
  <si>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</si>
  <si>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</si>
  <si>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</si>
  <si>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</si>
  <si>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</si>
  <si>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</si>
  <si>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</si>
  <si>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</si>
  <si>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</si>
  <si>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</si>
  <si>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</si>
  <si>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</si>
  <si>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</si>
  <si>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</si>
  <si>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</si>
  <si>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</si>
  <si>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</si>
  <si>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</si>
  <si>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</si>
  <si>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</si>
  <si>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</si>
  <si>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</si>
  <si>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</si>
  <si>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</si>
  <si>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</si>
  <si>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</si>
  <si>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</si>
  <si>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</si>
  <si>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</si>
  <si>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</si>
  <si>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</si>
  <si>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</si>
  <si>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</si>
  <si>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</si>
  <si>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</si>
  <si>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</si>
  <si>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</si>
  <si>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</si>
  <si>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</si>
  <si>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</si>
  <si>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</si>
  <si>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</si>
  <si>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</si>
  <si>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</si>
  <si>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</si>
  <si>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</si>
  <si>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</si>
  <si>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</si>
  <si>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</si>
  <si>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</si>
  <si>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</si>
  <si>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</si>
  <si>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</si>
  <si>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</si>
  <si>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</si>
  <si>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</si>
  <si>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</si>
  <si>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</si>
  <si>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</si>
  <si>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</si>
  <si>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</si>
  <si>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</si>
  <si>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</si>
  <si>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</si>
  <si>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</si>
  <si>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</si>
  <si>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</si>
  <si>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</si>
  <si>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</si>
  <si>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</si>
  <si>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</si>
  <si>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</si>
  <si>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</si>
  <si>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</si>
  <si>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</si>
  <si>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</si>
  <si>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</si>
  <si>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</si>
  <si>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</si>
  <si>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</si>
  <si>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</si>
  <si>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</si>
  <si>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</si>
  <si>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</si>
  <si>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</si>
  <si>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</si>
  <si>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</si>
  <si>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</si>
  <si>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</si>
  <si>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</si>
  <si>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</si>
  <si>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</si>
  <si>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</si>
  <si>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</si>
  <si>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</si>
  <si>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</si>
  <si>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</si>
  <si>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</si>
  <si>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</si>
  <si>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</si>
  <si>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</si>
  <si>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</si>
  <si>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</si>
  <si>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</si>
  <si>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</si>
  <si>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</si>
  <si>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</si>
  <si>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</si>
  <si>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</si>
  <si>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</si>
  <si>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</si>
  <si>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</si>
  <si>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</si>
  <si>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</si>
  <si>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</si>
  <si>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</si>
  <si>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</si>
  <si>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</si>
  <si>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</si>
  <si>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</si>
  <si>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</si>
  <si>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</si>
  <si>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</si>
  <si>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</si>
  <si>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</si>
  <si>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</si>
  <si>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</si>
  <si>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</si>
  <si>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</si>
  <si>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</si>
  <si>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</si>
  <si>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</si>
  <si>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</si>
  <si>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</si>
  <si>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</si>
  <si>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</si>
  <si>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</si>
  <si>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</si>
  <si>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</si>
  <si>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</si>
  <si>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</si>
  <si>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</si>
  <si>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</si>
  <si>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</si>
  <si>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</si>
  <si>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</si>
  <si>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</si>
  <si>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</si>
  <si>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</si>
  <si>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</si>
  <si>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</si>
  <si>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</si>
  <si>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</si>
  <si>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</si>
  <si>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</si>
  <si>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</si>
  <si>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</si>
  <si>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</si>
  <si>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</si>
  <si>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</si>
  <si>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</si>
  <si>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</si>
  <si>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</si>
  <si>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</si>
  <si>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</si>
  <si>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</si>
  <si>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</si>
  <si>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</si>
  <si>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</si>
  <si>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</si>
  <si>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</si>
  <si>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</si>
  <si>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</si>
  <si>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</si>
  <si>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</si>
  <si>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</si>
  <si>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</si>
  <si>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</si>
  <si>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</si>
  <si>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</si>
  <si>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</si>
  <si>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</si>
  <si>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</si>
  <si>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</si>
  <si>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</si>
  <si>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</si>
  <si>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</si>
  <si>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</si>
  <si>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</si>
  <si>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</si>
  <si>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</si>
  <si>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</si>
  <si>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</si>
  <si>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</si>
  <si>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</si>
  <si>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</si>
  <si>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</si>
  <si>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</si>
  <si>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</si>
  <si>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</si>
  <si>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</si>
  <si>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</si>
  <si>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</si>
  <si>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</si>
  <si>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</si>
  <si>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</si>
  <si>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</si>
  <si>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</si>
  <si>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</si>
  <si>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</si>
  <si>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</si>
  <si>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</si>
  <si>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</si>
  <si>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</si>
  <si>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</si>
  <si>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</si>
  <si>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</si>
  <si>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</si>
  <si>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</si>
  <si>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</si>
  <si>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</si>
  <si>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</si>
  <si>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</si>
  <si>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</si>
  <si>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</si>
  <si>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</si>
  <si>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</si>
  <si>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</si>
  <si>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</si>
  <si>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</si>
  <si>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</si>
  <si>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</si>
  <si>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</si>
  <si>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</si>
  <si>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</si>
  <si>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</si>
  <si>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</si>
  <si>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</si>
  <si>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</si>
  <si>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</si>
  <si>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</si>
  <si>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</si>
  <si>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</si>
  <si>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</si>
  <si>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</si>
  <si>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</si>
  <si>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</si>
  <si>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</si>
  <si>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</si>
  <si>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</si>
  <si>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</si>
  <si>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</si>
  <si>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</si>
  <si>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</si>
  <si>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</si>
  <si>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</si>
  <si>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</si>
  <si>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</si>
  <si>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</si>
  <si>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</si>
  <si>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</si>
  <si>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</si>
  <si>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</si>
  <si>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</si>
  <si>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</si>
  <si>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</si>
  <si>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</si>
  <si>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</si>
  <si>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</si>
  <si>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</si>
  <si>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</si>
  <si>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</si>
  <si>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</si>
  <si>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</si>
  <si>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</si>
  <si>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</si>
  <si>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</si>
  <si>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</si>
  <si>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</si>
  <si>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</si>
  <si>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</si>
  <si>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</si>
  <si>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</si>
  <si>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</si>
  <si>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</si>
  <si>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</si>
  <si>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</si>
  <si>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</si>
  <si>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</si>
  <si>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</si>
  <si>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</si>
  <si>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</si>
  <si>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</si>
  <si>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</si>
  <si>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</si>
  <si>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</si>
  <si>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</si>
  <si>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</si>
  <si>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</si>
  <si>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</si>
  <si>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</si>
  <si>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</si>
  <si>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</si>
  <si>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</si>
  <si>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</si>
  <si>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</si>
  <si>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</si>
  <si>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</si>
  <si>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</si>
  <si>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</si>
  <si>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</si>
  <si>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</si>
  <si>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</si>
  <si>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</si>
  <si>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</si>
  <si>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</si>
  <si>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</si>
  <si>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</si>
  <si>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</si>
  <si>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</si>
  <si>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</si>
  <si>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</si>
  <si>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</si>
  <si>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</si>
  <si>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</si>
  <si>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</si>
  <si>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</si>
  <si>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</si>
  <si>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</si>
  <si>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</si>
  <si>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</si>
  <si>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</si>
  <si>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</si>
  <si>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</si>
  <si>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</si>
  <si>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</si>
  <si>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</si>
  <si>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</si>
  <si>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</si>
  <si>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</si>
  <si>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</si>
  <si>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</si>
  <si>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</si>
  <si>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</si>
  <si>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</si>
  <si>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</si>
  <si>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</si>
  <si>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</si>
  <si>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</si>
  <si>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</si>
  <si>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</si>
  <si>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</si>
  <si>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</si>
  <si>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</si>
  <si>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</si>
  <si>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</si>
  <si>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</si>
  <si>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</si>
  <si>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</si>
  <si>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</si>
  <si>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</si>
  <si>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</si>
  <si>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</si>
  <si>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</si>
  <si>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</si>
  <si>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</si>
  <si>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</si>
  <si>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</si>
  <si>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</si>
  <si>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</si>
  <si>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</si>
  <si>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</si>
  <si>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</si>
  <si>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</si>
  <si>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</si>
  <si>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</si>
  <si>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</si>
  <si>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</si>
  <si>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</si>
  <si>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</si>
  <si>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</si>
  <si>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</si>
  <si>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</si>
  <si>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</si>
  <si>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</si>
  <si>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</si>
  <si>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</si>
  <si>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</si>
  <si>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</si>
  <si>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</si>
  <si>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</si>
  <si>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</si>
  <si>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</si>
  <si>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</si>
  <si>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</si>
  <si>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</si>
  <si>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</si>
  <si>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</si>
  <si>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</si>
  <si>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</si>
  <si>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</si>
  <si>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</si>
  <si>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</si>
  <si>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</si>
  <si>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</si>
  <si>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</si>
  <si>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</si>
  <si>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</si>
  <si>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</si>
  <si>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</si>
  <si>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</si>
  <si>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</si>
  <si>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</si>
  <si>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</si>
  <si>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</si>
  <si>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</si>
  <si>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</si>
  <si>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</si>
  <si>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</si>
  <si>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</si>
  <si>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</si>
  <si>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</si>
  <si>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</si>
  <si>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</si>
  <si>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</si>
  <si>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</si>
  <si>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</si>
  <si>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</si>
  <si>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</si>
  <si>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</si>
  <si>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</si>
  <si>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</si>
  <si>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</si>
  <si>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</si>
  <si>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</si>
  <si>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</si>
  <si>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</si>
  <si>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</si>
  <si>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</si>
  <si>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</si>
  <si>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</si>
  <si>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</si>
  <si>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</si>
  <si>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</si>
  <si>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</si>
  <si>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</si>
  <si>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</si>
  <si>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</si>
  <si>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</si>
  <si>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</si>
  <si>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</si>
  <si>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</si>
  <si>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</si>
  <si>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</si>
  <si>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</si>
  <si>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</si>
  <si>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</si>
  <si>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</si>
  <si>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</si>
  <si>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</si>
  <si>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</si>
  <si>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</si>
  <si>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</si>
  <si>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</si>
  <si>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</si>
  <si>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</si>
  <si>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</si>
  <si>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</si>
  <si>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</si>
  <si>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</si>
  <si>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</si>
  <si>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</si>
  <si>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</si>
  <si>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</si>
  <si>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</si>
  <si>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</si>
  <si>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</si>
  <si>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</si>
  <si>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</si>
  <si>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</si>
  <si>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</si>
  <si>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</si>
  <si>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</si>
  <si>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</si>
  <si>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</si>
  <si>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</si>
  <si>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</si>
  <si>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</si>
  <si>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</si>
  <si>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</si>
  <si>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</si>
  <si>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</si>
  <si>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</si>
  <si>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</si>
  <si>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</si>
  <si>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</si>
  <si>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</si>
  <si>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</si>
  <si>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</si>
  <si>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</si>
  <si>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</si>
  <si>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</si>
  <si>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</si>
  <si>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</si>
  <si>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</si>
  <si>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</si>
  <si>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</si>
  <si>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</si>
  <si>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</si>
  <si>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</si>
  <si>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</si>
  <si>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</si>
  <si>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</si>
  <si>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</si>
  <si>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</si>
  <si>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</si>
  <si>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</si>
  <si>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</si>
  <si>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</si>
  <si>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</si>
  <si>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</si>
  <si>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</si>
  <si>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</si>
  <si>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</si>
  <si>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</si>
  <si>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</si>
  <si>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</si>
  <si>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</si>
  <si>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</si>
  <si>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</si>
  <si>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</si>
  <si>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</si>
  <si>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</si>
  <si>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</si>
  <si>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</si>
  <si>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</si>
  <si>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</si>
  <si>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</si>
  <si>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</si>
  <si>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</si>
  <si>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</si>
  <si>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</si>
  <si>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</si>
  <si>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</si>
  <si>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</si>
  <si>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</si>
  <si>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</si>
  <si>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</si>
  <si>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</si>
  <si>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</si>
  <si>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</si>
  <si>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</si>
  <si>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</si>
  <si>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</si>
  <si>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</si>
  <si>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</si>
  <si>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</si>
  <si>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</si>
  <si>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</si>
  <si>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</si>
  <si>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</si>
  <si>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</si>
  <si>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</si>
  <si>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</si>
  <si>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</si>
  <si>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</si>
  <si>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</si>
  <si>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</si>
  <si>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</si>
  <si>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</si>
  <si>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</si>
  <si>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</si>
  <si>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</si>
  <si>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</si>
  <si>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</si>
  <si>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</si>
  <si>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</si>
  <si>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</si>
  <si>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</si>
  <si>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</si>
  <si>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</si>
  <si>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</si>
  <si>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</si>
  <si>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</si>
  <si>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</si>
  <si>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</si>
  <si>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</si>
  <si>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</si>
  <si>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</si>
  <si>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</si>
  <si>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</si>
  <si>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</si>
  <si>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</si>
  <si>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</si>
  <si>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</si>
  <si>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</si>
  <si>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</si>
  <si>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</si>
  <si>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</si>
  <si>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</si>
  <si>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</si>
  <si>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</si>
  <si>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</si>
  <si>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</si>
  <si>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</si>
  <si>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</si>
  <si>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</si>
  <si>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</si>
  <si>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</si>
  <si>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</si>
  <si>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</si>
  <si>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</si>
  <si>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</si>
  <si>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</si>
  <si>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</si>
  <si>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</si>
  <si>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</si>
  <si>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</si>
  <si>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</si>
  <si>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</si>
  <si>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</si>
  <si>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</si>
  <si>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</si>
  <si>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</si>
  <si>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</si>
  <si>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</si>
  <si>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</si>
  <si>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</si>
  <si>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</si>
  <si>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</si>
  <si>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</si>
  <si>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</si>
  <si>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</si>
  <si>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</si>
  <si>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</si>
  <si>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</si>
  <si>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</si>
  <si>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</si>
  <si>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</si>
  <si>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</si>
  <si>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</si>
  <si>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</si>
  <si>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</si>
  <si>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</si>
  <si>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</si>
  <si>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</si>
  <si>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</si>
  <si>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</si>
  <si>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</si>
  <si>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</si>
  <si>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</si>
  <si>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</si>
  <si>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</si>
  <si>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</si>
  <si>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</si>
  <si>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</si>
  <si>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</si>
  <si>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</si>
  <si>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</si>
  <si>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</si>
  <si>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</si>
  <si>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</si>
  <si>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</si>
  <si>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</si>
  <si>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</si>
  <si>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</si>
  <si>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</si>
  <si>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</si>
  <si>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</si>
  <si>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</si>
  <si>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</si>
  <si>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</si>
  <si>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</si>
  <si>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</si>
  <si>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</si>
  <si>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</si>
  <si>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</si>
  <si>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</si>
  <si>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</si>
  <si>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</si>
  <si>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</si>
  <si>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</si>
  <si>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</si>
  <si>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</si>
  <si>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</si>
  <si>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</si>
  <si>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</si>
  <si>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</si>
  <si>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</si>
  <si>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</si>
  <si>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</si>
  <si>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</si>
  <si>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</si>
  <si>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</si>
  <si>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</si>
  <si>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</si>
  <si>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</si>
  <si>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</si>
  <si>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</si>
  <si>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</si>
  <si>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</si>
  <si>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</si>
  <si>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</si>
  <si>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</si>
  <si>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</si>
  <si>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</si>
  <si>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</si>
  <si>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</si>
  <si>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</si>
  <si>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</si>
  <si>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</si>
  <si>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</si>
  <si>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</si>
  <si>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</si>
  <si>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</si>
  <si>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</si>
  <si>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</si>
  <si>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</si>
  <si>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</si>
  <si>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</si>
  <si>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</si>
  <si>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</si>
  <si>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</si>
  <si>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</si>
  <si>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</si>
  <si>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</si>
  <si>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</si>
  <si>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</si>
  <si>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</si>
  <si>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</si>
  <si>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</si>
  <si>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</si>
  <si>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</si>
  <si>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</si>
  <si>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</si>
  <si>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</si>
  <si>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</si>
  <si>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</si>
  <si>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</si>
  <si>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</si>
  <si>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</si>
  <si>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</si>
  <si>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</si>
  <si>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</si>
  <si>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</si>
  <si>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</si>
  <si>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</si>
  <si>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</si>
  <si>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</si>
  <si>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</si>
  <si>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</si>
  <si>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</si>
  <si>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</si>
  <si>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</si>
  <si>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</si>
  <si>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</si>
  <si>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</si>
  <si>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</si>
  <si>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</si>
  <si>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</si>
  <si>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</si>
  <si>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</si>
  <si>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</si>
  <si>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</si>
  <si>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</si>
  <si>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</si>
  <si>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</si>
  <si>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</si>
  <si>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</si>
  <si>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</si>
  <si>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</si>
  <si>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</si>
  <si>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</si>
  <si>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</si>
  <si>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</si>
  <si>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</si>
  <si>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</si>
  <si>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</si>
  <si>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</si>
  <si>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</si>
  <si>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</si>
  <si>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</si>
  <si>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</si>
  <si>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</si>
  <si>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</si>
  <si>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</si>
  <si>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</si>
  <si>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</si>
  <si>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</si>
  <si>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</si>
  <si>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</si>
  <si>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</si>
  <si>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</si>
  <si>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</si>
  <si>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</si>
  <si>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</si>
  <si>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</si>
  <si>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</si>
  <si>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</si>
  <si>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</si>
  <si>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</si>
  <si>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</si>
  <si>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</si>
  <si>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</si>
  <si>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</si>
  <si>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</si>
  <si>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</si>
  <si>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</si>
  <si>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</si>
  <si>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</si>
  <si>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</si>
  <si>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</si>
  <si>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</si>
  <si>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</si>
  <si>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</si>
  <si>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</si>
  <si>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</si>
  <si>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</si>
  <si>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</si>
  <si>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</si>
  <si>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</si>
  <si>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</si>
  <si>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</si>
  <si>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</si>
  <si>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</si>
  <si>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</si>
  <si>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</si>
  <si>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</si>
  <si>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</si>
  <si>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</si>
  <si>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</si>
  <si>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</si>
  <si>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</si>
  <si>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</si>
  <si>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</si>
  <si>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</si>
  <si>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</si>
  <si>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</si>
  <si>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</si>
  <si>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</si>
  <si>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</si>
  <si>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</si>
  <si>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</si>
  <si>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</si>
  <si>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</si>
  <si>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</si>
  <si>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</si>
  <si>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</si>
  <si>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</si>
  <si>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</si>
  <si>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</si>
  <si>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</si>
  <si>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</si>
  <si>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</si>
  <si>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</si>
  <si>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</si>
  <si>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</si>
  <si>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</si>
  <si>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</si>
  <si>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</si>
  <si>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</si>
  <si>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</si>
  <si>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</si>
  <si>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</si>
  <si>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</si>
  <si>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</si>
  <si>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</si>
  <si>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</si>
  <si>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</si>
  <si>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</si>
  <si>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</si>
  <si>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</si>
  <si>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</si>
  <si>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</si>
  <si>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</si>
  <si>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</si>
  <si>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</si>
  <si>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</si>
  <si>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</si>
  <si>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</si>
  <si>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</si>
  <si>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</si>
  <si>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</si>
  <si>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</si>
  <si>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</si>
  <si>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</si>
  <si>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</si>
  <si>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</si>
  <si>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</si>
  <si>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</si>
  <si>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</si>
  <si>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</si>
  <si>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</si>
  <si>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</si>
  <si>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</si>
  <si>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</si>
  <si>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</si>
  <si>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</si>
  <si>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</si>
  <si>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</si>
  <si>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</si>
  <si>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</si>
  <si>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</si>
  <si>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</si>
  <si>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</si>
  <si>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</si>
  <si>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</si>
  <si>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</si>
  <si>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</si>
  <si>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</si>
  <si>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</si>
  <si>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</si>
  <si>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</si>
  <si>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</si>
  <si>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</si>
  <si>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</si>
  <si>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</si>
  <si>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</si>
  <si>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</si>
  <si>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</si>
  <si>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</si>
  <si>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</si>
  <si>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</si>
  <si>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</si>
  <si>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</si>
  <si>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</si>
  <si>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</si>
  <si>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</si>
  <si>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</si>
  <si>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</si>
  <si>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</si>
  <si>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</si>
  <si>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</si>
  <si>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</si>
  <si>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</si>
  <si>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</si>
  <si>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</si>
  <si>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</si>
  <si>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</si>
  <si>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</si>
  <si>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</si>
  <si>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</si>
  <si>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</si>
  <si>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</si>
  <si>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</si>
  <si>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</si>
  <si>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</si>
  <si>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</si>
  <si>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</si>
  <si>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</si>
  <si>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</si>
  <si>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</si>
  <si>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</si>
  <si>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</si>
  <si>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</si>
  <si>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</si>
  <si>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</si>
  <si>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</si>
  <si>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</si>
  <si>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</si>
  <si>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</si>
  <si>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</si>
  <si>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</si>
  <si>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</si>
  <si>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</si>
  <si>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</si>
  <si>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</si>
  <si>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</si>
  <si>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</si>
  <si>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</si>
  <si>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</si>
  <si>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</si>
  <si>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</si>
  <si>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</si>
  <si>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</si>
  <si>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</si>
  <si>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</si>
  <si>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</si>
  <si>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</si>
  <si>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</si>
  <si>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</si>
  <si>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</si>
  <si>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</si>
  <si>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</si>
  <si>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</si>
  <si>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</si>
  <si>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</si>
  <si>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</si>
  <si>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</si>
  <si>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</si>
  <si>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</si>
  <si>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</si>
  <si>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</si>
  <si>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</si>
  <si>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</si>
  <si>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</si>
  <si>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</si>
  <si>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</si>
  <si>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</si>
  <si>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</si>
  <si>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</si>
  <si>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</si>
  <si>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</si>
  <si>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</si>
  <si>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</si>
  <si>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</si>
  <si>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</si>
  <si>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</si>
  <si>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</si>
  <si>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</si>
  <si>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</si>
  <si>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</si>
  <si>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</si>
  <si>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</si>
  <si>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</si>
  <si>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</si>
  <si>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</si>
  <si>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</si>
  <si>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</si>
  <si>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</si>
  <si>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</si>
  <si>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</si>
  <si>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</si>
  <si>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</si>
  <si>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</si>
  <si>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</si>
  <si>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</si>
  <si>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</si>
  <si>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</si>
  <si>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</si>
  <si>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</si>
  <si>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</si>
  <si>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</si>
  <si>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</si>
  <si>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</si>
  <si>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</si>
  <si>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</si>
  <si>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</si>
  <si>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</si>
  <si>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</si>
  <si>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</si>
  <si>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</si>
  <si>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</si>
  <si>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</si>
  <si>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</si>
  <si>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</si>
  <si>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</si>
  <si>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</si>
  <si>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</si>
  <si>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</si>
  <si>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</si>
  <si>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</si>
  <si>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</si>
  <si>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</si>
  <si>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</si>
  <si>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</si>
  <si>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</si>
  <si>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</si>
  <si>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</si>
  <si>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</si>
  <si>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</si>
  <si>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</si>
  <si>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</si>
  <si>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</si>
  <si>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</si>
  <si>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</si>
  <si>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</si>
  <si>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</si>
  <si>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</si>
  <si>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</si>
  <si>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</si>
  <si>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</si>
  <si>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</si>
  <si>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</si>
  <si>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</si>
  <si>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</si>
  <si>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</si>
  <si>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</si>
  <si>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</si>
  <si>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</si>
  <si>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</si>
  <si>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</si>
  <si>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</si>
  <si>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</si>
  <si>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</si>
  <si>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</si>
  <si>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</si>
  <si>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</si>
  <si>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</si>
  <si>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</si>
  <si>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</si>
  <si>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</si>
  <si>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</si>
  <si>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</si>
  <si>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</si>
  <si>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</si>
  <si>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</si>
  <si>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</si>
  <si>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</si>
  <si>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</si>
  <si>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</si>
  <si>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</si>
  <si>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</si>
  <si>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</si>
  <si>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</si>
  <si>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</si>
  <si>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</si>
  <si>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</si>
  <si>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</si>
  <si>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</si>
  <si>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</si>
  <si>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</si>
  <si>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</si>
  <si>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</si>
  <si>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</si>
  <si>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</si>
  <si>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</si>
  <si>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</si>
  <si>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</si>
  <si>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</si>
  <si>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</si>
  <si>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</si>
  <si>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</si>
  <si>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</si>
  <si>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</si>
  <si>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</si>
  <si>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</si>
  <si>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</si>
  <si>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</si>
  <si>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</si>
  <si>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</si>
  <si>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</si>
  <si>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</si>
  <si>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</si>
  <si>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</si>
  <si>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</si>
  <si>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</si>
  <si>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</si>
  <si>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</si>
  <si>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</si>
  <si>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</si>
  <si>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</si>
  <si>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</si>
  <si>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</si>
  <si>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</si>
  <si>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</si>
  <si>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</si>
  <si>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</si>
  <si>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</si>
  <si>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</si>
  <si>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</si>
  <si>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</si>
  <si>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</si>
  <si>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</si>
  <si>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</si>
  <si>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</si>
  <si>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</si>
  <si>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</si>
  <si>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</si>
  <si>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</si>
  <si>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</si>
  <si>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</si>
  <si>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</si>
  <si>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</si>
  <si>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</si>
  <si>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</si>
  <si>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</si>
  <si>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</si>
  <si>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</si>
  <si>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</si>
  <si>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</si>
  <si>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</si>
  <si>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</si>
  <si>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</si>
  <si>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</si>
  <si>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</si>
  <si>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</si>
  <si>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</si>
  <si>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</si>
  <si>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</si>
  <si>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</si>
  <si>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</si>
  <si>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</si>
  <si>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</si>
  <si>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</si>
  <si>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</si>
  <si>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</si>
  <si>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</si>
  <si>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</si>
  <si>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</si>
  <si>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</si>
  <si>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</si>
  <si>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</si>
  <si>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</si>
  <si>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</si>
  <si>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</si>
  <si>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</si>
  <si>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</si>
  <si>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</si>
  <si>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</si>
  <si>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</si>
  <si>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</si>
  <si>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</si>
  <si>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</si>
  <si>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</si>
  <si>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</si>
  <si>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</si>
  <si>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</si>
  <si>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</si>
  <si>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</si>
  <si>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</si>
  <si>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</si>
  <si>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</si>
  <si>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</si>
  <si>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</si>
  <si>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</si>
  <si>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</si>
  <si>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</si>
  <si>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</si>
  <si>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</si>
  <si>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</si>
  <si>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</si>
  <si>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</si>
  <si>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</si>
  <si>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</si>
  <si>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</si>
  <si>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</si>
  <si>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</si>
  <si>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</si>
  <si>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</si>
  <si>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</si>
  <si>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</si>
  <si>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</si>
  <si>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</si>
  <si>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</si>
  <si>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</si>
  <si>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</si>
  <si>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</si>
  <si>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</si>
  <si>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</si>
  <si>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</si>
  <si>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</si>
  <si>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</si>
  <si>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</si>
  <si>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</si>
  <si>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</si>
  <si>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</si>
  <si>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</si>
  <si>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</si>
  <si>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</si>
  <si>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</si>
  <si>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</si>
  <si>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</si>
  <si>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</si>
  <si>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</si>
  <si>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</si>
  <si>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</si>
  <si>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</si>
  <si>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</si>
  <si>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</si>
  <si>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</si>
  <si>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</si>
  <si>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</si>
  <si>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</si>
  <si>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</si>
  <si>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</si>
  <si>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</si>
  <si>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</si>
  <si>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</si>
  <si>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</si>
  <si>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</si>
  <si>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</si>
  <si>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</si>
  <si>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</si>
  <si>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</si>
  <si>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</si>
  <si>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</si>
  <si>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</si>
  <si>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</si>
  <si>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</si>
  <si>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</si>
  <si>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</si>
  <si>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</si>
  <si>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</si>
  <si>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</si>
  <si>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</si>
  <si>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</si>
  <si>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</si>
  <si>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</si>
  <si>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</si>
  <si>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</si>
  <si>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</si>
  <si>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</si>
  <si>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</si>
  <si>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</si>
  <si>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</si>
  <si>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</si>
  <si>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</si>
  <si>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</si>
  <si>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</si>
  <si>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</si>
  <si>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</si>
  <si>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</si>
  <si>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</si>
  <si>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</si>
  <si>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</si>
  <si>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</si>
  <si>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</si>
  <si>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</si>
  <si>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</si>
  <si>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</si>
  <si>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</si>
  <si>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</si>
  <si>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</si>
  <si>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</si>
  <si>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</si>
  <si>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</si>
  <si>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</si>
  <si>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</si>
  <si>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</si>
  <si>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</si>
  <si>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</si>
  <si>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</si>
  <si>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</si>
  <si>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</si>
  <si>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</si>
  <si>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</si>
  <si>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</si>
  <si>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</si>
  <si>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</si>
  <si>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</si>
  <si>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</si>
  <si>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</si>
  <si>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</si>
  <si>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</si>
  <si>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</si>
  <si>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</si>
  <si>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</si>
  <si>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</si>
  <si>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</si>
  <si>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</si>
  <si>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</si>
  <si>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</si>
  <si>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</si>
  <si>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</si>
  <si>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</si>
  <si>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</si>
  <si>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</si>
  <si>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</si>
  <si>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</si>
  <si>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</si>
  <si>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</si>
  <si>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</si>
  <si>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</si>
  <si>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</si>
  <si>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</si>
  <si>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</si>
  <si>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</si>
  <si>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</si>
  <si>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</si>
  <si>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</si>
  <si>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</si>
  <si>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</si>
  <si>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</si>
  <si>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</si>
  <si>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</si>
  <si>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</si>
  <si>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</si>
  <si>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</si>
  <si>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</si>
  <si>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</si>
  <si>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</si>
  <si>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</si>
  <si>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</si>
  <si>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</si>
  <si>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</si>
  <si>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</si>
  <si>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</si>
  <si>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</si>
  <si>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</si>
  <si>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</si>
  <si>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</si>
  <si>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</si>
  <si>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</si>
  <si>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</si>
  <si>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</si>
  <si>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</si>
  <si>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</si>
  <si>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</si>
  <si>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</si>
  <si>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</si>
  <si>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</si>
  <si>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</si>
  <si>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</si>
  <si>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</si>
  <si>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</si>
  <si>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</si>
  <si>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</si>
  <si>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</si>
  <si>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</si>
  <si>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</si>
  <si>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</si>
  <si>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</si>
  <si>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</si>
  <si>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</si>
  <si>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</si>
  <si>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</si>
  <si>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</si>
  <si>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</si>
  <si>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</si>
  <si>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</si>
  <si>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</si>
  <si>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</si>
  <si>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</si>
  <si>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</si>
  <si>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</si>
  <si>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</si>
  <si>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</si>
  <si>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</si>
  <si>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</si>
  <si>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</si>
  <si>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</si>
  <si>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</si>
  <si>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</si>
  <si>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</si>
  <si>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</si>
  <si>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</si>
  <si>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</si>
  <si>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</si>
  <si>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</si>
  <si>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</si>
  <si>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</si>
  <si>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</si>
  <si>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</si>
  <si>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</si>
  <si>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</si>
  <si>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</si>
  <si>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</si>
  <si>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</si>
  <si>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</si>
  <si>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</si>
  <si>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</si>
  <si>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</si>
  <si>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</si>
  <si>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</si>
  <si>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</si>
  <si>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</si>
  <si>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</si>
  <si>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</si>
  <si>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</si>
  <si>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</si>
  <si>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</si>
  <si>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</si>
  <si>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</si>
  <si>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</si>
  <si>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</si>
  <si>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</si>
  <si>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</si>
  <si>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</si>
  <si>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</si>
  <si>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</si>
  <si>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</si>
  <si>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</si>
  <si>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</si>
  <si>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</si>
  <si>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</si>
  <si>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</si>
  <si>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</si>
  <si>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</si>
  <si>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</si>
  <si>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</si>
  <si>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</si>
  <si>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</si>
  <si>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</si>
  <si>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</si>
  <si>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</si>
  <si>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</si>
  <si>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</si>
  <si>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</si>
  <si>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</si>
  <si>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</si>
  <si>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</si>
  <si>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</si>
  <si>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</si>
  <si>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</si>
  <si>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</si>
  <si>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</si>
  <si>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</si>
  <si>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</si>
  <si>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</si>
  <si>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</si>
  <si>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</si>
  <si>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</si>
  <si>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</si>
  <si>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</si>
  <si>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</si>
  <si>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</si>
  <si>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</si>
  <si>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</si>
  <si>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</si>
  <si>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</si>
  <si>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</si>
  <si>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</si>
  <si>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</si>
  <si>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</si>
  <si>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</si>
  <si>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</si>
  <si>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</si>
  <si>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</si>
  <si>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</si>
  <si>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</si>
  <si>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</si>
  <si>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</si>
  <si>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</si>
  <si>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</si>
  <si>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</si>
  <si>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</si>
  <si>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</si>
  <si>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</si>
  <si>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</si>
  <si>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</si>
  <si>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</si>
  <si>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</si>
  <si>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</si>
  <si>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</si>
  <si>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</si>
  <si>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</si>
  <si>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</si>
  <si>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</si>
  <si>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</si>
  <si>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</si>
  <si>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</si>
  <si>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</si>
  <si>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</si>
  <si>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</si>
  <si>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</si>
  <si>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</si>
  <si>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</si>
  <si>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</si>
  <si>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</si>
  <si>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</si>
  <si>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</si>
  <si>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</si>
  <si>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</si>
  <si>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</si>
  <si>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</si>
  <si>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</si>
  <si>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</si>
  <si>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</si>
  <si>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</si>
  <si>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</si>
  <si>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</si>
  <si>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</si>
  <si>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</si>
  <si>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</si>
  <si>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</si>
  <si>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</si>
  <si>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</si>
  <si>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</si>
  <si>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</si>
  <si>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</si>
  <si>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</si>
  <si>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</si>
  <si>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</si>
  <si>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</si>
  <si>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</si>
  <si>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</si>
  <si>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</si>
  <si>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</si>
  <si>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</si>
  <si>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</si>
  <si>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</si>
  <si>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</si>
  <si>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</si>
  <si>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</si>
  <si>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</si>
  <si>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</si>
  <si>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</si>
  <si>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</si>
  <si>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</si>
  <si>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</si>
  <si>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</si>
  <si>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</si>
  <si>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</si>
  <si>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</si>
  <si>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</si>
  <si>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</si>
  <si>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</si>
  <si>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</si>
  <si>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</si>
  <si>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</si>
  <si>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</si>
  <si>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</si>
  <si>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</si>
  <si>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</si>
  <si>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</si>
  <si>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</si>
  <si>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</si>
  <si>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</si>
  <si>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</si>
  <si>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</si>
  <si>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</si>
  <si>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</si>
  <si>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</si>
  <si>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</si>
  <si>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</si>
  <si>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</si>
  <si>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</si>
  <si>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</si>
  <si>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</si>
  <si>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</si>
  <si>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</si>
  <si>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</si>
  <si>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</si>
  <si>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</si>
  <si>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</si>
  <si>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</si>
  <si>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</si>
  <si>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</si>
  <si>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</si>
  <si>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</si>
  <si>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</si>
  <si>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</si>
  <si>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</si>
  <si>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</si>
  <si>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</si>
  <si>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</si>
  <si>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</si>
  <si>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</si>
  <si>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</si>
  <si>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</si>
  <si>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</si>
  <si>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</si>
  <si>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</si>
  <si>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</si>
  <si>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</si>
  <si>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</si>
  <si>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</si>
  <si>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</si>
  <si>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</si>
  <si>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</si>
  <si>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</si>
  <si>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</si>
  <si>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</si>
  <si>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</si>
  <si>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</si>
  <si>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</si>
  <si>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</si>
  <si>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</si>
  <si>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</si>
  <si>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</si>
  <si>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</si>
  <si>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</si>
  <si>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</si>
  <si>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</si>
  <si>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</si>
  <si>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</si>
  <si>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</si>
  <si>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</si>
  <si>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</si>
  <si>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</si>
  <si>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</si>
  <si>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</si>
  <si>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</si>
  <si>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</si>
  <si>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</si>
  <si>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</si>
  <si>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</si>
  <si>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</si>
  <si>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</si>
  <si>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</si>
  <si>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</si>
  <si>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</si>
  <si>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</si>
  <si>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</si>
  <si>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</si>
  <si>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</si>
  <si>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</si>
  <si>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</si>
  <si>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</si>
  <si>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</si>
  <si>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</si>
  <si>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</si>
  <si>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</si>
  <si>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</si>
  <si>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</si>
  <si>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</si>
  <si>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</si>
  <si>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</si>
  <si>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</si>
  <si>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</si>
  <si>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</si>
  <si>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</si>
  <si>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</si>
  <si>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</si>
  <si>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</si>
  <si>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</si>
  <si>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</si>
  <si>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</si>
  <si>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</si>
  <si>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</si>
  <si>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</si>
  <si>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</si>
  <si>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</si>
  <si>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</si>
  <si>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</si>
  <si>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</si>
  <si>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</si>
  <si>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</si>
  <si>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</si>
  <si>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</si>
  <si>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</si>
  <si>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</si>
  <si>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</si>
  <si>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</si>
  <si>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</si>
  <si>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</si>
  <si>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</si>
  <si>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</si>
  <si>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</si>
  <si>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</si>
  <si>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</si>
  <si>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</si>
  <si>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</si>
  <si>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</si>
  <si>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</si>
  <si>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</si>
  <si>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</si>
  <si>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</si>
  <si>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</si>
  <si>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</si>
  <si>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</si>
  <si>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</si>
  <si>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</si>
  <si>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</si>
  <si>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</si>
  <si>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</si>
  <si>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</si>
  <si>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</si>
  <si>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</si>
  <si>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</si>
  <si>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</si>
  <si>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</si>
  <si>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房屋登记面积汇总表</t>
    <phoneticPr fontId="3" type="noConversion"/>
  </si>
  <si>
    <t xml:space="preserve">      我公司坐落于京地出【合】字（2010）第0141号地块上的楼房，已办理初始登记及正在办理的楼栋房屋登记面积汇总如下并对数据的真实性负责</t>
  </si>
  <si>
    <t>拆分价值</t>
    <phoneticPr fontId="134" type="noConversion"/>
  </si>
  <si>
    <t>序号</t>
  </si>
  <si>
    <t>坐落</t>
  </si>
  <si>
    <t>房屋登记面积（㎡）</t>
    <phoneticPr fontId="3" type="noConversion"/>
  </si>
  <si>
    <t>地上面积（㎡）</t>
    <phoneticPr fontId="3" type="noConversion"/>
  </si>
  <si>
    <r>
      <t>地下面积</t>
    </r>
    <r>
      <rPr>
        <sz val="10"/>
        <color theme="1"/>
        <rFont val="宋体"/>
        <family val="3"/>
        <charset val="134"/>
        <scheme val="minor"/>
      </rPr>
      <t>（㎡）</t>
    </r>
    <phoneticPr fontId="3" type="noConversion"/>
  </si>
  <si>
    <t>不动产登记证号</t>
    <phoneticPr fontId="3" type="noConversion"/>
  </si>
  <si>
    <t>建安单价</t>
    <phoneticPr fontId="134" type="noConversion"/>
  </si>
  <si>
    <t>建安总额</t>
    <phoneticPr fontId="134" type="noConversion"/>
  </si>
  <si>
    <t>土地价值</t>
    <phoneticPr fontId="134" type="noConversion"/>
  </si>
  <si>
    <t>建筑物</t>
    <phoneticPr fontId="134" type="noConversion"/>
  </si>
  <si>
    <t>房地产</t>
    <phoneticPr fontId="134" type="noConversion"/>
  </si>
  <si>
    <t>昌平区顺沙路58号院1号</t>
  </si>
  <si>
    <t>京（2020）昌不动产权第0000459号</t>
    <phoneticPr fontId="3" type="noConversion"/>
  </si>
  <si>
    <t>昌平区顺沙路58号院2号</t>
  </si>
  <si>
    <t>京（2020）昌不动产权第0000460号</t>
    <phoneticPr fontId="3" type="noConversion"/>
  </si>
  <si>
    <t>昌平区顺沙路58号院3号</t>
  </si>
  <si>
    <t>京（2020）昌不动产权第0000461号</t>
    <phoneticPr fontId="3" type="noConversion"/>
  </si>
  <si>
    <t>昌平区顺沙路58号院4号</t>
  </si>
  <si>
    <t>京（2020）昌不动产权第0000462号</t>
    <phoneticPr fontId="3" type="noConversion"/>
  </si>
  <si>
    <t>昌平区顺沙路58号院5号</t>
  </si>
  <si>
    <t>京（2020）昌不动产权第0000463号</t>
    <phoneticPr fontId="3" type="noConversion"/>
  </si>
  <si>
    <t>昌平区顺沙路58号院6号</t>
  </si>
  <si>
    <t>京（2020）昌不动产权第0000464号</t>
    <phoneticPr fontId="3" type="noConversion"/>
  </si>
  <si>
    <t>昌平区顺沙路58号院7号</t>
  </si>
  <si>
    <t>京（2020）昌不动产权第0000465号</t>
    <phoneticPr fontId="3" type="noConversion"/>
  </si>
  <si>
    <t>昌平区顺沙路58号院8号</t>
  </si>
  <si>
    <t>京（2020）昌不动产权第0000467号</t>
    <phoneticPr fontId="3" type="noConversion"/>
  </si>
  <si>
    <t>昌平区顺沙路58号院9号</t>
  </si>
  <si>
    <t>京（2020）昌不动产权第0000469号</t>
    <phoneticPr fontId="3" type="noConversion"/>
  </si>
  <si>
    <t>昌平区顺沙路58号院10号</t>
  </si>
  <si>
    <t>京（2020）昌不动产权第0000470号</t>
    <phoneticPr fontId="3" type="noConversion"/>
  </si>
  <si>
    <t>昌平区顺沙路58号院11号</t>
  </si>
  <si>
    <t>京（2020）昌不动产权第0000471号</t>
    <phoneticPr fontId="3" type="noConversion"/>
  </si>
  <si>
    <t>昌平区顺沙路58号院12号</t>
  </si>
  <si>
    <t>京（2020）昌不动产权第0000473号</t>
    <phoneticPr fontId="3" type="noConversion"/>
  </si>
  <si>
    <t>昌平区顺沙路58号院13号</t>
  </si>
  <si>
    <t>京（2020）昌不动产权第0000474号</t>
    <phoneticPr fontId="3" type="noConversion"/>
  </si>
  <si>
    <t>昌平区顺沙路58号院14号</t>
  </si>
  <si>
    <t>京（2020）昌不动产权第0000475号</t>
    <phoneticPr fontId="3" type="noConversion"/>
  </si>
  <si>
    <t>昌平区顺沙路58号院15号</t>
  </si>
  <si>
    <t>京（2020）昌不动产权第0000476号</t>
    <phoneticPr fontId="3" type="noConversion"/>
  </si>
  <si>
    <t>昌平区顺沙路58号院16号</t>
  </si>
  <si>
    <t>京（2020）昌不动产权第0000478号</t>
    <phoneticPr fontId="3" type="noConversion"/>
  </si>
  <si>
    <t>昌平区顺沙路58号院17号</t>
  </si>
  <si>
    <t>京（2020）昌不动产权第0001336号</t>
    <phoneticPr fontId="3" type="noConversion"/>
  </si>
  <si>
    <t>昌平区顺沙路58号院18号</t>
  </si>
  <si>
    <t>京（2020）昌不动产权第0001333号</t>
    <phoneticPr fontId="3" type="noConversion"/>
  </si>
  <si>
    <t>昌平区顺沙路58号院19号</t>
  </si>
  <si>
    <t>京（2020）昌不动产权第0001327号</t>
    <phoneticPr fontId="3" type="noConversion"/>
  </si>
  <si>
    <t>昌平区顺沙路58号院B101
至B121、B1001至B1029号</t>
  </si>
  <si>
    <t>合计</t>
  </si>
  <si>
    <r>
      <t xml:space="preserve">   </t>
    </r>
    <r>
      <rPr>
        <b/>
        <sz val="10"/>
        <rFont val="宋体"/>
        <family val="3"/>
        <charset val="134"/>
      </rPr>
      <t>注：详见房屋登记表，房屋登记面积包括登记簿中记载且颁发所有权证部分建筑面积和登记簿中记载不颁发所有权证部分建筑面积。</t>
    </r>
  </si>
  <si>
    <t>土地出让金</t>
    <phoneticPr fontId="134" type="noConversion"/>
  </si>
  <si>
    <t>其余成本</t>
    <phoneticPr fontId="134" type="noConversion"/>
  </si>
  <si>
    <t>单方建安</t>
    <phoneticPr fontId="134" type="noConversion"/>
  </si>
  <si>
    <t>建安成本</t>
    <phoneticPr fontId="134" type="noConversion"/>
  </si>
  <si>
    <t>财务费用</t>
    <phoneticPr fontId="134" type="noConversion"/>
  </si>
  <si>
    <t>4、18、19装修费</t>
    <phoneticPr fontId="134" type="noConversion"/>
  </si>
  <si>
    <r>
      <rPr>
        <sz val="11"/>
        <color theme="1"/>
        <rFont val="宋体"/>
        <family val="2"/>
        <charset val="134"/>
      </rPr>
      <t>建筑类型</t>
    </r>
    <phoneticPr fontId="247" type="noConversion"/>
  </si>
  <si>
    <t xml:space="preserve"> </t>
  </si>
  <si>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</si>
  <si>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</si>
  <si>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</si>
  <si>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</si>
  <si>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</si>
  <si>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</si>
  <si>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</si>
  <si>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t>主体结构</t>
    <phoneticPr fontId="247" type="noConversion"/>
  </si>
  <si>
    <t>外装材料</t>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</si>
  <si>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</si>
  <si>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</si>
  <si>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人工</t>
    <phoneticPr fontId="134" type="noConversion"/>
  </si>
  <si>
    <t>占比</t>
    <phoneticPr fontId="247" type="noConversion"/>
  </si>
  <si>
    <t>主体</t>
    <phoneticPr fontId="247" type="noConversion"/>
  </si>
  <si>
    <t>装修</t>
    <phoneticPr fontId="247" type="noConversion"/>
  </si>
  <si>
    <t>设备</t>
    <phoneticPr fontId="247" type="noConversion"/>
  </si>
  <si>
    <t>人工</t>
    <phoneticPr fontId="247" type="noConversion"/>
  </si>
  <si>
    <t>否</t>
  </si>
  <si>
    <t>是</t>
  </si>
  <si>
    <t>地上</t>
  </si>
  <si>
    <t>地下</t>
  </si>
  <si>
    <t>11号楼</t>
  </si>
  <si>
    <t>11号楼</t>
    <phoneticPr fontId="7" type="noConversion"/>
  </si>
  <si>
    <t>自定义容积率</t>
  </si>
  <si>
    <t>不临65条商业街</t>
  </si>
  <si>
    <t>与级别开发程度不一致</t>
  </si>
  <si>
    <t>通路</t>
  </si>
  <si>
    <t>通电</t>
  </si>
  <si>
    <t>通讯</t>
  </si>
  <si>
    <t>通上水</t>
  </si>
  <si>
    <t>通下水</t>
  </si>
  <si>
    <t>燃气</t>
  </si>
  <si>
    <t>平整</t>
  </si>
  <si>
    <t>按公示增长率计算</t>
  </si>
  <si>
    <t>中心城区以外</t>
  </si>
  <si>
    <t>较差</t>
  </si>
  <si>
    <t>一般</t>
  </si>
  <si>
    <t>较好</t>
  </si>
  <si>
    <t>成新度</t>
  </si>
  <si>
    <t>收益法</t>
  </si>
  <si>
    <t>成本法</t>
  </si>
  <si>
    <t>押一</t>
  </si>
  <si>
    <t>钢混</t>
  </si>
  <si>
    <t>非生产用房</t>
  </si>
  <si>
    <t>商务金融</t>
    <phoneticPr fontId="3" type="noConversion"/>
  </si>
  <si>
    <t>B1商业设施用地</t>
    <phoneticPr fontId="3" type="noConversion"/>
  </si>
  <si>
    <r>
      <t>F3</t>
    </r>
    <r>
      <rPr>
        <sz val="11"/>
        <rFont val="宋体"/>
        <family val="3"/>
        <charset val="134"/>
      </rPr>
      <t>其他类多功能用地</t>
    </r>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</si>
  <si>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</si>
  <si>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</si>
  <si>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</si>
  <si>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</si>
  <si>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</si>
  <si>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</si>
  <si>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</si>
  <si>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</si>
  <si>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北京顺进商务咨询有限公司</t>
  </si>
  <si>
    <t>已成交</t>
  </si>
  <si>
    <t>2023-02-23</t>
  </si>
  <si>
    <t>挂牌</t>
  </si>
  <si>
    <t>4.39</t>
  </si>
  <si>
    <t>商业40年办公50年</t>
  </si>
  <si>
    <t>B4综合性商业金融服务业用地</t>
  </si>
  <si>
    <t>商业/办公用地</t>
  </si>
  <si>
    <t>京土储挂(朝)[2023]001号</t>
  </si>
  <si>
    <t>朝阳区</t>
  </si>
  <si>
    <t>北京市</t>
  </si>
  <si>
    <t>北京市朝阳区朝阳站交通枢纽南侧建设用地一体化项目0313-5597、5598、5599地块B4综合性商业金融服务业用地</t>
  </si>
  <si>
    <t>北京易创通景信息科技有限公司</t>
  </si>
  <si>
    <t>2023-04-14</t>
  </si>
  <si>
    <t>≤2.8</t>
  </si>
  <si>
    <t>商业 40 年、办公 50 年</t>
  </si>
  <si>
    <t>京土储挂(通)〔2023〕004号</t>
  </si>
  <si>
    <t>通州区</t>
  </si>
  <si>
    <t>北京市通州区永顺镇0401街区 46号地块(西马庄收储) B4综合性商业金融服务业用地</t>
  </si>
  <si>
    <t>北京懋源鸿竺房地产开发有限公司</t>
  </si>
  <si>
    <t>2023-07-07</t>
  </si>
  <si>
    <t>4.50</t>
  </si>
  <si>
    <t>京土储挂(朝)[2023]031号</t>
  </si>
  <si>
    <t>北京市朝阳区太阳宫乡0301-613地块B4综合性商业金融服务业用地</t>
  </si>
  <si>
    <t>北京通州投资发展有限公司</t>
  </si>
  <si>
    <t>0146容积率3.82、0148容积率2.75</t>
  </si>
  <si>
    <t>居住70年、商业40年、办公50年</t>
  </si>
  <si>
    <t>F3 其他类多功能用地</t>
  </si>
  <si>
    <t>京土储挂(通)〔2023〕032号</t>
  </si>
  <si>
    <t>北京城市副中心0403街区FZX-0403-0146、0148地块F3 其他类多功能用地</t>
  </si>
  <si>
    <t>北京泽御置业有限公司</t>
  </si>
  <si>
    <t>2023-08-03</t>
  </si>
  <si>
    <t>2.20</t>
  </si>
  <si>
    <t>F3其他类多功能用地</t>
  </si>
  <si>
    <t>京土储挂(海)[2023]039号</t>
  </si>
  <si>
    <t>海淀区</t>
  </si>
  <si>
    <t>北京市海淀区西北旺镇永丰产业基地(新)HD00-0403-004地块F3其他类多功能用地</t>
  </si>
  <si>
    <t>2023-09-20</t>
  </si>
  <si>
    <t>1.56</t>
  </si>
  <si>
    <t>商业40年办公50年公服50年</t>
  </si>
  <si>
    <t>京土储挂(通)[2023]042号</t>
  </si>
  <si>
    <t>北京城市副中心0201街区玉桥家园中心FZX-0201-0096、0102地块F3其他类多功能用地国有建设用地使用权出让公告</t>
  </si>
  <si>
    <t>腾讯科技(北京)有限公司</t>
  </si>
  <si>
    <t>2024-01-23</t>
  </si>
  <si>
    <t>4.04</t>
  </si>
  <si>
    <t>商业 40 年; 办公 50 年; 公服(科研) 50 年</t>
  </si>
  <si>
    <t>B4综合性商业金融服务业用地、B23研发设计用地</t>
  </si>
  <si>
    <t>京土储挂(海)[2023]073号</t>
  </si>
  <si>
    <t>北京市海淀区学院路北端A、B、C、J地块B4综合性商业金融服务业用地、 B23研发设计用地</t>
  </si>
  <si>
    <t>安徽省高速地产集团有限公司</t>
  </si>
  <si>
    <t>2024-01-29</t>
  </si>
  <si>
    <t>1.76</t>
  </si>
  <si>
    <t>商业 40 年 办公 50 年</t>
  </si>
  <si>
    <t>京土储挂(朝)[2023]074号</t>
  </si>
  <si>
    <t>北京市朝阳区大屯地区0205-659地块及周边储备用地B4综合性商业金融服务业用地</t>
  </si>
  <si>
    <t>北京翠湖智达科技服务有限责任公司</t>
  </si>
  <si>
    <t>2024-03-15</t>
  </si>
  <si>
    <t>0175:1、6008:1.6</t>
  </si>
  <si>
    <t>商业 40 年; 办公 50 年; 公服(科研) 20 年</t>
  </si>
  <si>
    <t>F3其他类多功能用地、B23研发设计用地</t>
  </si>
  <si>
    <t>京土储挂(海)[2024]008号</t>
  </si>
  <si>
    <t>北京市海淀区中关村翠湖科技园A1地块HD00-0302-0175、6008地块F3其他类多功能用地、B23研发设计用地</t>
  </si>
  <si>
    <t>北京海开云创产业发展有限责任公司</t>
  </si>
  <si>
    <t>2024-05-28</t>
  </si>
  <si>
    <t>3.20</t>
  </si>
  <si>
    <t>综合性商业金融服务业用地</t>
  </si>
  <si>
    <t>京土储挂(海)[2024]015号</t>
  </si>
  <si>
    <t>北京市海淀区清河站北-安宁庄综合开发地块综合性商业金融服务业用地</t>
  </si>
  <si>
    <t>北京阳泰兴泉科技股份有限公司</t>
  </si>
  <si>
    <t>1</t>
  </si>
  <si>
    <t>0901商业用地</t>
  </si>
  <si>
    <t>京土储挂(海)[2024]014号</t>
  </si>
  <si>
    <t>北京市海淀区温泉镇中心区F16地块0901商业用地</t>
  </si>
  <si>
    <t>北京城市副中心投资建设集团有限公司</t>
  </si>
  <si>
    <t>2024-06-18</t>
  </si>
  <si>
    <t>地面层:0.04、地下一层:0.43、地下二层:0.74</t>
  </si>
  <si>
    <t>其他公园绿地、地下用地</t>
  </si>
  <si>
    <t>京土储挂(通)〔2024〕018号</t>
  </si>
  <si>
    <t>北京城市副中心通州运河核心区6号地项目VIII-09瓮城遗址公园地块国有建设用地使用权出让</t>
  </si>
  <si>
    <t>北京罗红摄影艺术文化有限公司</t>
  </si>
  <si>
    <t>2024-07-22</t>
  </si>
  <si>
    <t>1.50</t>
  </si>
  <si>
    <t>B4综合性商业金融服务用地</t>
  </si>
  <si>
    <t>京土储挂(顺)[2024]024号</t>
  </si>
  <si>
    <t>顺义区</t>
  </si>
  <si>
    <t>北京市顺义区天竺旧村改造土地一级开发项目SY00-2801-0149地块B4综合性商业金融服务用地</t>
  </si>
  <si>
    <t>北京通州鲸航置业发展有限公司</t>
  </si>
  <si>
    <t>2024-09-11</t>
  </si>
  <si>
    <t>京土储挂(通)〔2024〕031号</t>
  </si>
  <si>
    <t>北京城市副中心1202街区FZX-1202-0074地块 F3其他类多功能用地国有建设用地使用权挂牌出让</t>
  </si>
  <si>
    <t>北京闼闼同创商务有限公司</t>
  </si>
  <si>
    <t>2024-11-28</t>
  </si>
  <si>
    <t>1.30</t>
  </si>
  <si>
    <t>办公50年;商业40年</t>
  </si>
  <si>
    <t>村庄产业 用地(C3,商务办公等多功能用途)</t>
  </si>
  <si>
    <t>京规自挂(通)集[2024]004号</t>
  </si>
  <si>
    <t>通州区潞城镇TZ02-0101-0009地块村庄产业用地项目(C3,商务办公等多功能用途)集体经营性建设用地</t>
  </si>
  <si>
    <t>北京中关村大街建设发展有限公司</t>
  </si>
  <si>
    <t>2025-02-18</t>
  </si>
  <si>
    <t>1.03</t>
  </si>
  <si>
    <t>商业 40 年,办公 50 年</t>
  </si>
  <si>
    <t>京土储挂(海)[2025]001号</t>
  </si>
  <si>
    <t>北京市海淀区六郎庄项目HD00-1010-0002、0003、0004地块F3其他类多功能用地</t>
  </si>
  <si>
    <t>北京水务投资集团有限公司</t>
  </si>
  <si>
    <t>2025-02-25</t>
  </si>
  <si>
    <t>2.40</t>
  </si>
  <si>
    <t>商业40 年,办公50 年</t>
  </si>
  <si>
    <t>京土储挂(通)[2025]003号</t>
  </si>
  <si>
    <t>北京城市副中心站综合交通枢纽地区 FZX-0101-03单元FZX-0101-0307 (3)地块F3其他类多功能用地</t>
  </si>
  <si>
    <t>北京国泰东风商城有限公司</t>
  </si>
  <si>
    <t>2025-02-26</t>
  </si>
  <si>
    <t>商业 40 年</t>
  </si>
  <si>
    <t>B1商业用地</t>
  </si>
  <si>
    <t>京土储挂(顺)[2025]005号</t>
  </si>
  <si>
    <t>北京市顺义区顺义新城0201街区东风商场片区项目SY00-0201-116地块B1商业用地</t>
  </si>
  <si>
    <t>北京祥龙物业经营管理有限公司</t>
  </si>
  <si>
    <t>2025-03-03</t>
  </si>
  <si>
    <t>4</t>
  </si>
  <si>
    <t>京土储挂(通)[2025]007号</t>
  </si>
  <si>
    <t>北京城市副中心站综合交通枢纽地区 FZX-0101-03单元FZX-0101-0307 (1)地块F3其他类多功能用地</t>
  </si>
  <si>
    <t>北京市基础设施投资有限公司</t>
  </si>
  <si>
    <t>0306:1.4, 0307(2):2.6,0309:7.5</t>
  </si>
  <si>
    <t>京土储挂(通)[2025]008号</t>
  </si>
  <si>
    <t>北京城市副中心站综合交通枢纽地区 FZX-0101-03单元FZX-0101-0306、 0307(2)、0309地块 F3其他类多功能用地</t>
  </si>
  <si>
    <t>北京市南郊农场有限公司</t>
  </si>
  <si>
    <t>2025-10-11</t>
  </si>
  <si>
    <t>1.88</t>
  </si>
  <si>
    <t>商业40年,办公50年</t>
  </si>
  <si>
    <t>京土储挂(开)[2025]030号</t>
  </si>
  <si>
    <t>北京经济技术开发区亦庄新城YZ00-0302街区 C4F1地块F3其他类多功能用地</t>
  </si>
  <si>
    <t>中国华冶科工集团有限公司</t>
  </si>
  <si>
    <t>2025-10-22</t>
  </si>
  <si>
    <t>2</t>
  </si>
  <si>
    <t>京土储挂(开)[2025]031号</t>
  </si>
  <si>
    <t>北京经济技术开发区亦庄新城YZ00-0206街区X44B2地块B4综合性商业金融服务业用地</t>
  </si>
  <si>
    <t>北京京国盛置业有限责任公司</t>
  </si>
  <si>
    <t>2025-10-28</t>
  </si>
  <si>
    <t>≤6.35</t>
  </si>
  <si>
    <t>商业年40办公年50</t>
  </si>
  <si>
    <t>京土储挂(通)[2025]033号</t>
  </si>
  <si>
    <t>北京城市副中心0101街区FZX-0101-0607地块F3其他类多功能用地</t>
  </si>
  <si>
    <t>受让单位</t>
  </si>
  <si>
    <t>成交每亩价(万元/亩)</t>
  </si>
  <si>
    <t>成交楼面价(元/㎡)</t>
  </si>
  <si>
    <t>成交土地单价(元/㎡)</t>
  </si>
  <si>
    <t>成交总价(万元)</t>
  </si>
  <si>
    <t>起始价(万元)</t>
  </si>
  <si>
    <t>交易状态</t>
  </si>
  <si>
    <t>成交时间</t>
  </si>
  <si>
    <t>截止时间</t>
  </si>
  <si>
    <t>出让方式</t>
  </si>
  <si>
    <t>容积率</t>
  </si>
  <si>
    <t>出让年限(年)</t>
  </si>
  <si>
    <t>详细规划</t>
  </si>
  <si>
    <t>用地性质</t>
  </si>
  <si>
    <t>规划建筑面积(㎡)</t>
  </si>
  <si>
    <t>建设用地面积(㎡)</t>
  </si>
  <si>
    <t>地块编号</t>
  </si>
  <si>
    <t>区县</t>
  </si>
  <si>
    <t>城市</t>
  </si>
  <si>
    <t>地块名称</t>
  </si>
  <si>
    <t>土地级别</t>
    <phoneticPr fontId="134" type="noConversion"/>
  </si>
  <si>
    <t>案例土地级别对应修正系数</t>
    <phoneticPr fontId="134" type="noConversion"/>
  </si>
  <si>
    <t>案例土地级别对应容积率1修正系数</t>
    <phoneticPr fontId="134" type="noConversion"/>
  </si>
  <si>
    <t>案例土地级别对应修正系数</t>
  </si>
  <si>
    <t>案例土地级别对应容积率1修正系数</t>
  </si>
  <si>
    <t>折算案例当前土地级别容积率1的楼面价</t>
  </si>
  <si>
    <t>折算估价对象土地级别容积率1的地面价</t>
  </si>
  <si>
    <t>板块</t>
  </si>
  <si>
    <t>土地位置</t>
  </si>
  <si>
    <t>建设用地分类</t>
  </si>
  <si>
    <t>公告时间</t>
  </si>
  <si>
    <t>起始时间</t>
  </si>
  <si>
    <t>公告编号</t>
  </si>
  <si>
    <t>成交价(万元)</t>
  </si>
  <si>
    <t>容积率上限</t>
  </si>
  <si>
    <t>折算案例当前土地级别容积率1的楼面价</t>
    <phoneticPr fontId="134" type="noConversion"/>
  </si>
  <si>
    <t>推出楼面价(元/㎡)</t>
  </si>
  <si>
    <t>溢价率(%)</t>
  </si>
  <si>
    <t>开工进度</t>
  </si>
  <si>
    <t>拿地企业</t>
  </si>
  <si>
    <t>企业性质</t>
  </si>
  <si>
    <t>是否城投企业</t>
  </si>
  <si>
    <t>B商业服务业设施用地</t>
  </si>
  <si>
    <t>未开工</t>
  </si>
  <si>
    <t>B1商业设施用地</t>
  </si>
  <si>
    <t>大兴区榆垡镇DX09-1301-6401等地块F81集体产业用地</t>
  </si>
  <si>
    <t>京规自集使挂(兴)[2024]003号</t>
  </si>
  <si>
    <t>大兴区</t>
  </si>
  <si>
    <t>F81集体产业用地</t>
  </si>
  <si>
    <t>2025-01-22</t>
  </si>
  <si>
    <t>已开工</t>
  </si>
  <si>
    <t>北京绿野晴川动物园有限公司</t>
  </si>
  <si>
    <t>北京市平谷区马坊镇02街区北区PG05-0101-D007地块商业用地</t>
  </si>
  <si>
    <t>京土储挂(平)[2024]041号</t>
  </si>
  <si>
    <t>平谷区</t>
  </si>
  <si>
    <t>商业用地</t>
  </si>
  <si>
    <t>2024-11-05</t>
  </si>
  <si>
    <t>1.20</t>
  </si>
  <si>
    <t>商业40年</t>
  </si>
  <si>
    <t>北京九擎科技有限公司</t>
  </si>
  <si>
    <t>北京大兴国际机场临空经济区 DX16-0104-0013地块F3其他类多功能用地</t>
  </si>
  <si>
    <t>京土储挂(兴临空)〔2024〕030号</t>
  </si>
  <si>
    <t>2024-09-04</t>
  </si>
  <si>
    <t>北京航城兴贤商业管理有限公司</t>
  </si>
  <si>
    <t>北京经济技术开发区亦庄新城0701 街区 N17F3地块F3其他类多功能用地</t>
  </si>
  <si>
    <t>京土储挂(开)[2024]028号</t>
  </si>
  <si>
    <t>2024-08-19</t>
  </si>
  <si>
    <t>≤2.5</t>
  </si>
  <si>
    <t>北京海创英才安居置业有限公司</t>
  </si>
  <si>
    <t>B21金融保险用地、B1商业设施用地</t>
  </si>
  <si>
    <t>G1公园绿地</t>
  </si>
  <si>
    <t>北京市延庆区八达岭经济开发区光谷三街南侧YQ02-0102-6028-2地块F3其他类多功能用地</t>
  </si>
  <si>
    <t>京土储挂(延)[2024]001号</t>
  </si>
  <si>
    <t xml:space="preserve"> 延庆区 </t>
  </si>
  <si>
    <t xml:space="preserve"> 康庄 </t>
  </si>
  <si>
    <t xml:space="preserve"> 延庆区康庄镇 </t>
  </si>
  <si>
    <t xml:space="preserve"> 商业/办公用地 </t>
  </si>
  <si>
    <t xml:space="preserve"> B2商务设施用地 </t>
  </si>
  <si>
    <t xml:space="preserve"> F3其他类多功能用地 </t>
  </si>
  <si>
    <t xml:space="preserve"> 京土储挂(延)[2024]001号 </t>
  </si>
  <si>
    <t xml:space="preserve"> 不大于2.3不小于2 </t>
  </si>
  <si>
    <t xml:space="preserve"> 挂牌 </t>
  </si>
  <si>
    <t xml:space="preserve"> 商业 40 年 办公 50 年 </t>
  </si>
  <si>
    <t xml:space="preserve"> 已开工 </t>
  </si>
  <si>
    <t xml:space="preserve"> 北京中发展领航科技有限公司  </t>
  </si>
  <si>
    <t xml:space="preserve"> 北京建工,中关村发展,北京城建集团 </t>
  </si>
  <si>
    <t xml:space="preserve"> 地方国有企业，地方国有企业，地方国有企业 </t>
  </si>
  <si>
    <t xml:space="preserve"> 城投企业，城投企业，城投企业 </t>
  </si>
  <si>
    <t xml:space="preserve"> 朝阳区 </t>
  </si>
  <si>
    <t xml:space="preserve"> 奥运场馆周边 </t>
  </si>
  <si>
    <t xml:space="preserve"> 朝阳区惠新西街立交桥东北角 </t>
  </si>
  <si>
    <t xml:space="preserve"> B21金融保险用地、B1商业设施用地 </t>
  </si>
  <si>
    <t xml:space="preserve"> B4综合性商业金融服务业用地 </t>
  </si>
  <si>
    <t xml:space="preserve"> 京土储挂(朝)[2023]074号 </t>
  </si>
  <si>
    <t xml:space="preserve"> 安徽省高速地产集团有限公司  </t>
  </si>
  <si>
    <t xml:space="preserve"> 高速地产集团 </t>
  </si>
  <si>
    <t xml:space="preserve"> 地方国有企业 </t>
  </si>
  <si>
    <t xml:space="preserve"> -- </t>
  </si>
  <si>
    <t xml:space="preserve"> 海淀区 </t>
  </si>
  <si>
    <t xml:space="preserve"> 学清路 </t>
  </si>
  <si>
    <t xml:space="preserve"> 海淀区学院路地区 </t>
  </si>
  <si>
    <t xml:space="preserve"> B4综合性商业金融服务业用地、B23研发设计用地 </t>
  </si>
  <si>
    <t xml:space="preserve"> 京土储挂(海)[2023]073号 </t>
  </si>
  <si>
    <t xml:space="preserve"> 商业 40 年; 办公 50 年; 公服(科研) 50 年 </t>
  </si>
  <si>
    <t xml:space="preserve"> 腾讯科技(北京)有限公司  </t>
  </si>
  <si>
    <t xml:space="preserve"> 腾讯科技（北京）有限公司 </t>
  </si>
  <si>
    <t>北京市石景山区中关村科技园区石景山园北I区1605-650地块B23研发设计用地</t>
  </si>
  <si>
    <t>京土储挂(石)[2023]072号</t>
  </si>
  <si>
    <t xml:space="preserve"> 石景山区 </t>
  </si>
  <si>
    <t xml:space="preserve"> 温泉 </t>
  </si>
  <si>
    <t xml:space="preserve"> 石景山区苹果园地区 </t>
  </si>
  <si>
    <t xml:space="preserve"> B23研发设计用地 </t>
  </si>
  <si>
    <t xml:space="preserve"> 京土储挂(石)[2023]072号 </t>
  </si>
  <si>
    <t xml:space="preserve"> 北京保恒置业发展有限公司  </t>
  </si>
  <si>
    <t xml:space="preserve"> 石景山国资投资 </t>
  </si>
  <si>
    <t xml:space="preserve"> 城投企业 </t>
  </si>
  <si>
    <t>北京丽泽金融商务区北区A地块建设及综合治理项目FT00-0609-0037(2)地块B4综合性商业金融服务业用地</t>
  </si>
  <si>
    <t>京土储挂(丰)[2023]067号</t>
  </si>
  <si>
    <t xml:space="preserve"> 丰台区 </t>
  </si>
  <si>
    <t xml:space="preserve"> 六里桥 </t>
  </si>
  <si>
    <t xml:space="preserve"> 丰台区太平桥街道 </t>
  </si>
  <si>
    <t xml:space="preserve"> 京土储挂(丰)[2023]067号 </t>
  </si>
  <si>
    <t xml:space="preserve"> 小于等于7 </t>
  </si>
  <si>
    <t xml:space="preserve"> 商业40年 办公50年 </t>
  </si>
  <si>
    <t xml:space="preserve"> 中国南水北调集团综合服务有限公司  </t>
  </si>
  <si>
    <t xml:space="preserve"> 中国南水北调集团有限公司 </t>
  </si>
  <si>
    <t>北京市延庆区八达岭经济开发区光谷三街南侧YQ02-0102-6028-1-1地块F3其他类多功能用地</t>
  </si>
  <si>
    <t>京土储挂(延)[2023]047号</t>
  </si>
  <si>
    <t xml:space="preserve"> B商业服务业设施用地 </t>
  </si>
  <si>
    <t xml:space="preserve"> 京土储挂(延)[2023]047号 </t>
  </si>
  <si>
    <t xml:space="preserve"> 商业40年办公50年 </t>
  </si>
  <si>
    <t xml:space="preserve"> 北京图精科技有限公司  </t>
  </si>
  <si>
    <t xml:space="preserve"> 北京图精科技有限公司 </t>
  </si>
  <si>
    <t xml:space="preserve"> 通州区 </t>
  </si>
  <si>
    <t xml:space="preserve"> 北苑街道、玉桥街道 </t>
  </si>
  <si>
    <t xml:space="preserve"> 城市副中心0201街区 </t>
  </si>
  <si>
    <t xml:space="preserve"> 京土储挂(通)[2023]042号 </t>
  </si>
  <si>
    <t xml:space="preserve"> 商业40年办公50年公服50年 </t>
  </si>
  <si>
    <t xml:space="preserve"> 北京通州投资发展有限公司  </t>
  </si>
  <si>
    <t xml:space="preserve"> 北投集团 </t>
  </si>
  <si>
    <t xml:space="preserve"> 海淀区西北旺镇永丰产业基地 </t>
  </si>
  <si>
    <t xml:space="preserve"> 京土储挂(海)[2023]039号 </t>
  </si>
  <si>
    <t xml:space="preserve"> 北京泽御置业有限公司  </t>
  </si>
  <si>
    <t xml:space="preserve"> 北京市海淀区玉渊潭农工商总公司 </t>
  </si>
  <si>
    <t xml:space="preserve"> 城市副中心0403街区 </t>
  </si>
  <si>
    <t xml:space="preserve"> F3 其他类多功能用地 </t>
  </si>
  <si>
    <t xml:space="preserve"> 京土储挂(通)〔2023〕032号 </t>
  </si>
  <si>
    <t xml:space="preserve"> 0146容积率3.82、0148容积率2.75 </t>
  </si>
  <si>
    <t xml:space="preserve"> 居住70年、商业40年、办公50年 </t>
  </si>
  <si>
    <t xml:space="preserve"> 太阳宫 </t>
  </si>
  <si>
    <t xml:space="preserve"> 朝阳区太阳宫乡 </t>
  </si>
  <si>
    <t xml:space="preserve"> 京土储挂(朝)[2023]031号 </t>
  </si>
  <si>
    <t xml:space="preserve"> 北京懋源鸿竺房地产开发有限公司  </t>
  </si>
  <si>
    <t xml:space="preserve"> 北京懋源 </t>
  </si>
  <si>
    <t xml:space="preserve"> 民营企业 </t>
  </si>
  <si>
    <t>北京市丰台区丽泽金融商务区FT00-0612-0016等地块F3其他类多功能用地、S32公交场站设施用地</t>
  </si>
  <si>
    <t>京土储挂(丰)[2023]014号</t>
  </si>
  <si>
    <t xml:space="preserve"> 菜户营、西罗园 </t>
  </si>
  <si>
    <t xml:space="preserve"> S3交通枢纽用地、B商业服务业设施用地、S4交通场站用地 </t>
  </si>
  <si>
    <t xml:space="preserve"> F3其他类多功能用地、S32公交场站设施用地 </t>
  </si>
  <si>
    <t xml:space="preserve"> 京土储挂(丰)[2023]014号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</si>
  <si>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</si>
  <si>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</si>
  <si>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 </t>
  </si>
  <si>
    <t xml:space="preserve"> --，--，城投企业 </t>
  </si>
  <si>
    <t>北京市房山区窦店镇高端制造业基地06街区01地块FS00-DD06-0018、0019、0023、0024地块F3其他类多功能用地</t>
  </si>
  <si>
    <t>京土储挂(房)[2023]013号</t>
  </si>
  <si>
    <t xml:space="preserve"> 房山区 </t>
  </si>
  <si>
    <t xml:space="preserve"> 窦店 </t>
  </si>
  <si>
    <t xml:space="preserve"> 房山区窦店镇、良乡镇 </t>
  </si>
  <si>
    <t xml:space="preserve"> 京土储挂(房)[2023]013号 </t>
  </si>
  <si>
    <t xml:space="preserve"> fs00-dd06-0018、0019容积率1.6;0023、0024容积率2.5 </t>
  </si>
  <si>
    <t xml:space="preserve"> 北京京东方医院有限公司  </t>
  </si>
  <si>
    <t xml:space="preserve"> 京东方科技 </t>
  </si>
  <si>
    <t xml:space="preserve"> 定福庄、管庄 </t>
  </si>
  <si>
    <t xml:space="preserve"> 通州区永顺镇 </t>
  </si>
  <si>
    <t xml:space="preserve"> 京土储挂(通)〔2023〕004号 </t>
  </si>
  <si>
    <t xml:space="preserve"> ≤2.8 </t>
  </si>
  <si>
    <t xml:space="preserve"> 商业 40 年、办公 50 年 </t>
  </si>
  <si>
    <t xml:space="preserve"> 北京易创通景信息科技有限公司  </t>
  </si>
  <si>
    <t xml:space="preserve"> 国韬科技文化发展（珠海）有限公司 </t>
  </si>
  <si>
    <t>大兴区西红门镇集体经营性建设用地2号地2-002A地块</t>
  </si>
  <si>
    <t>京规自集使挂(兴)[2023]002号</t>
  </si>
  <si>
    <t xml:space="preserve"> 大兴区 </t>
  </si>
  <si>
    <t xml:space="preserve"> 西红门 </t>
  </si>
  <si>
    <t xml:space="preserve"> 西红门镇 </t>
  </si>
  <si>
    <t xml:space="preserve"> F81集体产业用地 </t>
  </si>
  <si>
    <t xml:space="preserve"> 京规自集使挂(兴)[2023]002号 </t>
  </si>
  <si>
    <t xml:space="preserve"> 电建智汇(北京)运营管理有限公司  </t>
  </si>
  <si>
    <t xml:space="preserve"> 中国电建集团贵阳勘测设计研究院有限公司,中国电建集团中南勘测设计研究院有限公司,中信股份,中国电建 </t>
  </si>
  <si>
    <t xml:space="preserve"> --，--，中央国有企业，中央国有企业 </t>
  </si>
  <si>
    <t xml:space="preserve"> 姚家园 </t>
  </si>
  <si>
    <t xml:space="preserve"> 朝阳区东风乡 </t>
  </si>
  <si>
    <t xml:space="preserve"> 京土储挂(朝)[2023]001号 </t>
  </si>
  <si>
    <t xml:space="preserve"> 北京顺进商务咨询有限公司  </t>
  </si>
  <si>
    <t xml:space="preserve"> 华润置地 </t>
  </si>
  <si>
    <t xml:space="preserve"> 中央国有企业 </t>
  </si>
  <si>
    <t>北京大兴国际机场临空经济区DX12-0105-6103地块S5加油加气站(加氢站)用地</t>
  </si>
  <si>
    <t>京土储挂(兴临空)[2022]072号</t>
  </si>
  <si>
    <t xml:space="preserve"> 榆垡 </t>
  </si>
  <si>
    <t xml:space="preserve"> 大兴区礼贤镇 </t>
  </si>
  <si>
    <t xml:space="preserve"> B41加油加气站用地 </t>
  </si>
  <si>
    <t xml:space="preserve"> S5加油加气站(加氢站)用地 </t>
  </si>
  <si>
    <t xml:space="preserve"> 京土储挂(兴临空)[2022]072号 </t>
  </si>
  <si>
    <t xml:space="preserve"> ≤0.4 </t>
  </si>
  <si>
    <t xml:space="preserve"> 商业40年 </t>
  </si>
  <si>
    <t xml:space="preserve"> 空气(北京)氢能科技有限公司  </t>
  </si>
  <si>
    <t>北京市平谷区兴谷新消费综合体项目商业地块PG00-0106-0106地块B1商业用地</t>
  </si>
  <si>
    <t>京土储挂(平)[2022]071号</t>
  </si>
  <si>
    <t xml:space="preserve"> 平谷区 </t>
  </si>
  <si>
    <t xml:space="preserve"> 兴谷街道 </t>
  </si>
  <si>
    <t xml:space="preserve"> 平谷区兴谷街道 </t>
  </si>
  <si>
    <t xml:space="preserve"> B1商业设施用地 </t>
  </si>
  <si>
    <t xml:space="preserve"> B1商业用地 </t>
  </si>
  <si>
    <t xml:space="preserve"> 京土储挂(平)[2022]071号 </t>
  </si>
  <si>
    <t xml:space="preserve"> 北京市平谷区联扶实业管理有限公司  </t>
  </si>
  <si>
    <t xml:space="preserve"> 北京市平谷区联扶实业管理有限公司 </t>
  </si>
  <si>
    <t>北京市石景山区中关村科技园石景山园北Ⅱ区西井地块土地一级开发项目1606-605地块B23研发设计用地</t>
  </si>
  <si>
    <t>京土储挂(石)[2022]070号</t>
  </si>
  <si>
    <t xml:space="preserve"> 苹果园、八角、金顶街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</si>
  <si>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</si>
  <si>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</si>
  <si>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</si>
  <si>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</si>
  <si>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</si>
  <si>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</si>
  <si>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北京市海淀区西北旺镇永丰产业基地(新)HD00-0403-009地块F3其他类多功能用地</t>
  </si>
  <si>
    <t>京土储挂(海)[2022]063号</t>
  </si>
  <si>
    <t xml:space="preserve"> 海淀区永丰产业基地 </t>
  </si>
  <si>
    <t xml:space="preserve"> 京土储挂(海)[2022]063号 </t>
  </si>
  <si>
    <t xml:space="preserve"> 北京永丰数字融汇科技有限责任公司  </t>
  </si>
  <si>
    <t xml:space="preserve"> 北京实创科技园 </t>
  </si>
  <si>
    <t>北京市海淀区西北旺镇永丰产业基地(新)HD00-0403-001地块F3其他类多功能用地</t>
  </si>
  <si>
    <t>京土储挂(海)[2022]062号</t>
  </si>
  <si>
    <t xml:space="preserve"> 京土储挂(海)[2022]062号 </t>
  </si>
  <si>
    <t xml:space="preserve"> 北京永丰数字先行科技有限责任公司  </t>
  </si>
  <si>
    <t>北京市丰台区丽泽金融商务区D-01地块B4综合性商业金融服务业用地</t>
  </si>
  <si>
    <t>京土储挂(丰)[2022]043号</t>
  </si>
  <si>
    <t xml:space="preserve"> 京土储挂(丰)[2022]043号 </t>
  </si>
  <si>
    <t xml:space="preserve"> ≤6.33 </t>
  </si>
  <si>
    <t xml:space="preserve"> 北京福榕置业有限公司  </t>
  </si>
  <si>
    <t xml:space="preserve"> 福建国资,福建高速,福建投资开发 </t>
  </si>
  <si>
    <t>北京市通州经济开发区西区南扩区 三、五、六期棚户区改造项目 FZX-1102-6002地块 F3其他类多功能用地</t>
  </si>
  <si>
    <t>京土储挂(通)〔2022〕041号</t>
  </si>
  <si>
    <t xml:space="preserve"> 张家湾 </t>
  </si>
  <si>
    <t xml:space="preserve"> 通州区张家湾镇 </t>
  </si>
  <si>
    <t xml:space="preserve"> 京土储挂(通)〔2022〕041号 </t>
  </si>
  <si>
    <t xml:space="preserve"> ≤2.2 </t>
  </si>
  <si>
    <t xml:space="preserve"> 商业40年、办公50年 </t>
  </si>
  <si>
    <t xml:space="preserve"> 北京未来科创建筑有限公司  </t>
  </si>
  <si>
    <t xml:space="preserve"> 北京未来科创建筑有限公司 </t>
  </si>
  <si>
    <t>北京市通州经济开发区西区南扩区三、五、六期棚户区改造项目FZX-1102-6219地块F3其他类多功能用地</t>
  </si>
  <si>
    <t>京土储挂(通)〔2022〕042号</t>
  </si>
  <si>
    <t xml:space="preserve"> 京土储挂(通)〔2022〕042号 </t>
  </si>
  <si>
    <t xml:space="preserve"> 北京市工程咨询有限公司  </t>
  </si>
  <si>
    <t>北京城市副中心1202街区FZX-1202-0001地块 F3其他类多功能用地</t>
  </si>
  <si>
    <t>京土储挂(通)〔2022〕040号</t>
  </si>
  <si>
    <t xml:space="preserve"> 梨园 </t>
  </si>
  <si>
    <t xml:space="preserve"> 北京城市副中心12组团 </t>
  </si>
  <si>
    <t xml:space="preserve"> 京土储挂(通)〔2022〕040号 </t>
  </si>
  <si>
    <t xml:space="preserve"> 商业 40 年、 办公 50 年 </t>
  </si>
  <si>
    <t xml:space="preserve"> 北京首旅城市副中心投资有限公司  </t>
  </si>
  <si>
    <t xml:space="preserve"> 北京首旅集团 </t>
  </si>
  <si>
    <t>北京经济技术开发区亦庄新城0303街区C14C-3地块F3其他类多功能用地</t>
  </si>
  <si>
    <t>京土储挂(开)[2022]039号</t>
  </si>
  <si>
    <t xml:space="preserve"> 台湖 </t>
  </si>
  <si>
    <t xml:space="preserve"> 北京经济技术开发区亦庄新城0303街区C14C-3地块 </t>
  </si>
  <si>
    <t xml:space="preserve"> 京土储挂(开)[2022]039号 </t>
  </si>
  <si>
    <t xml:space="preserve"> ≤5.0 </t>
  </si>
  <si>
    <t xml:space="preserve"> 商业40 年、办公 50 年 </t>
  </si>
  <si>
    <t xml:space="preserve"> 北京京东昆岳科技产业创新发展有限公司  </t>
  </si>
  <si>
    <t xml:space="preserve"> 北京京东昆岳科技产业创新发展有限公司 </t>
  </si>
  <si>
    <t>北京大兴国际机场临空经济区 DX12-0105-6006、6009 地块F3其他类多功能用地</t>
  </si>
  <si>
    <t>京土储挂(兴临空)[2022]020号</t>
  </si>
  <si>
    <t xml:space="preserve"> 礼贤 </t>
  </si>
  <si>
    <t xml:space="preserve"> 京土储挂(兴临空)[2022]020号 </t>
  </si>
  <si>
    <t xml:space="preserve"> 北京新航城建设实业发展有限公司  </t>
  </si>
  <si>
    <t xml:space="preserve"> 北京新航城 </t>
  </si>
  <si>
    <t>北京大兴国际机场临空经济区(北京部分)0205街区DX09-0103-0205地块B4综合性商业金融服务业用地</t>
  </si>
  <si>
    <t>京土储挂(兴临空)[2022]019号</t>
  </si>
  <si>
    <t xml:space="preserve"> 大兴区榆垡镇 </t>
  </si>
  <si>
    <t xml:space="preserve"> B1商业设施用地、B21金融保险用地 </t>
  </si>
  <si>
    <t xml:space="preserve"> 京土储挂(兴临空)[2022]019号 </t>
  </si>
  <si>
    <t xml:space="preserve"> 40年 </t>
  </si>
  <si>
    <t xml:space="preserve"> 已竣工 </t>
  </si>
  <si>
    <t>北京经济技术开发区亦庄新城0902街区JG01-07地块F3其他类多功能用地</t>
  </si>
  <si>
    <t>京土整储挂(开)[2021]099号</t>
  </si>
  <si>
    <t xml:space="preserve"> 旧宫 </t>
  </si>
  <si>
    <t xml:space="preserve"> 北京经济技术开发区亦庄新城0902街区JG01-07 </t>
  </si>
  <si>
    <t xml:space="preserve"> 京土整储挂(开)[2021]099号 </t>
  </si>
  <si>
    <t xml:space="preserve"> 中国太平洋人寿保险股份有限公司  </t>
  </si>
  <si>
    <t xml:space="preserve"> 太平洋人寿 </t>
  </si>
  <si>
    <t>北京市怀柔区怀北、雁栖镇HR00-0211-6031地块〔城市客厅B地块(北侧地块)〕F3其他类多功能用地(怀柔科学城核心区及周边土地一级开发项目)</t>
  </si>
  <si>
    <t>京土整储挂(怀)[2021]097号</t>
  </si>
  <si>
    <t xml:space="preserve"> 怀柔区 </t>
  </si>
  <si>
    <t xml:space="preserve"> 怀北、怀柔 </t>
  </si>
  <si>
    <t xml:space="preserve"> 怀柔区怀北镇、雁栖镇 </t>
  </si>
  <si>
    <t xml:space="preserve"> 京土整储挂(怀)[2021]097号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</si>
  <si>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</si>
  <si>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</si>
  <si>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</si>
  <si>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京土整储挂(怀)[2021]098号 </t>
  </si>
  <si>
    <t xml:space="preserve"> 北京怀柔科学城城开四部开发建设有限公司  </t>
  </si>
  <si>
    <t xml:space="preserve"> 怀柔科学城 </t>
  </si>
  <si>
    <t>北京城市副中心0101街区FZX-0101-0902地块F3其他类多功能用地</t>
  </si>
  <si>
    <t>京土整储挂(通)[2021]096号</t>
  </si>
  <si>
    <t xml:space="preserve"> 潞城 </t>
  </si>
  <si>
    <t xml:space="preserve"> 北京城市副中心01组团 </t>
  </si>
  <si>
    <t xml:space="preserve"> 京土整储挂(通)[2021]096号 </t>
  </si>
  <si>
    <t xml:space="preserve"> 商业40年,办公50年 </t>
  </si>
  <si>
    <t xml:space="preserve"> 华夏银行股份有限公司  </t>
  </si>
  <si>
    <t>北京市大兴区黄村镇DX00-0201-6001地块B14旅馆用地</t>
  </si>
  <si>
    <t>京土整储挂(兴)[2021]089号</t>
  </si>
  <si>
    <t xml:space="preserve"> 林校路街道 </t>
  </si>
  <si>
    <t xml:space="preserve"> 大兴区黄村镇 </t>
  </si>
  <si>
    <t xml:space="preserve"> B14旅馆用地 </t>
  </si>
  <si>
    <t xml:space="preserve"> 京土整储挂(兴)[2021]089号 </t>
  </si>
  <si>
    <t xml:space="preserve"> 北京大兴宾馆有限责任公司  </t>
  </si>
  <si>
    <t xml:space="preserve"> 北京兴创投资 </t>
  </si>
  <si>
    <t>北京市海淀区西北旺镇永丰产业基地(新)HD00-0403-024地块F3其他类多功能用地</t>
  </si>
  <si>
    <t>京土整储挂(海)[2021] 082号</t>
  </si>
  <si>
    <t xml:space="preserve"> 海淀区永丰产业基地(新)一级开发组团J地块内 </t>
  </si>
  <si>
    <t xml:space="preserve"> 京土整储挂(海)[2021] 082号 </t>
  </si>
  <si>
    <t xml:space="preserve"> 北京永丰数字共享科技有限责任公司  </t>
  </si>
  <si>
    <t>北京市海淀区西北旺镇永丰产业基地(新)HD00-0403-011地块F3其他类多功能用地</t>
  </si>
  <si>
    <t>京土整储挂(海)[2021] 081号</t>
  </si>
  <si>
    <t xml:space="preserve"> 京土整储挂(海)[2021] 081号 </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</si>
  <si>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</si>
  <si>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</si>
  <si>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</si>
  <si>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 </t>
  </si>
  <si>
    <t xml:space="preserve"> 北京市基础设施投资有限公司 、北京首都旅游集团有限责任公司 、北京城建集团有限责任公司  </t>
  </si>
  <si>
    <t xml:space="preserve"> 北京城建集团 </t>
  </si>
  <si>
    <t>北京市石景山区首钢园区东南区土地一级开发项目1612-774地块B4综合性商业金融服务业用地</t>
  </si>
  <si>
    <t>京土整储挂(石)[2021] 079号</t>
  </si>
  <si>
    <t xml:space="preserve"> 石景山区古城南街东侧 </t>
  </si>
  <si>
    <t xml:space="preserve"> 京土整储挂(石)[2021] 079号 </t>
  </si>
  <si>
    <t xml:space="preserve"> 北京首鹰置业有限公司  </t>
  </si>
  <si>
    <t xml:space="preserve"> 北京首鹰置业有限公司 </t>
  </si>
  <si>
    <t>北京市东城区广渠门外大街马圈土地一级开发项目0407-001地块F3其他类多功能用地</t>
  </si>
  <si>
    <t>京土整储挂(东)[2021] 076号</t>
  </si>
  <si>
    <t xml:space="preserve"> 东城区 </t>
  </si>
  <si>
    <t xml:space="preserve"> 劲松 </t>
  </si>
  <si>
    <t xml:space="preserve"> 东城区广渠门外大街22号 </t>
  </si>
  <si>
    <t xml:space="preserve"> F3(其他多功能用地) </t>
  </si>
  <si>
    <t xml:space="preserve"> 京土整储挂(东)[2021] 076号 </t>
  </si>
  <si>
    <t xml:space="preserve"> 福建隆恩建材贸易有限公司  </t>
  </si>
  <si>
    <t>北京市海淀区西北旺镇永丰产业基地(新)HD00-0403-003地块F3其他类多功能用地</t>
  </si>
  <si>
    <t>京土整储挂(海)[2021] 080号</t>
  </si>
  <si>
    <t xml:space="preserve"> 京土整储挂(海)[2021] 080号 </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</si>
  <si>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</si>
  <si>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</si>
  <si>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</si>
  <si>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</si>
  <si>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B2商务用地 </t>
  </si>
  <si>
    <t xml:space="preserve"> 京土整储挂(通)[2021]032号 </t>
  </si>
  <si>
    <t xml:space="preserve"> ≤3.1 </t>
  </si>
  <si>
    <t xml:space="preserve"> 北京城市副中心投资建设集团有限公司  </t>
  </si>
  <si>
    <t>正常</t>
  </si>
  <si>
    <t>商务金融</t>
  </si>
  <si>
    <r>
      <t>50</t>
    </r>
    <r>
      <rPr>
        <sz val="11"/>
        <color indexed="8"/>
        <rFont val="宋体"/>
        <family val="3"/>
        <charset val="134"/>
      </rPr>
      <t>年</t>
    </r>
    <phoneticPr fontId="30" type="noConversion"/>
  </si>
  <si>
    <t>折算估价对象土地级别容积率1的楼面价</t>
    <phoneticPr fontId="134" type="noConversion"/>
  </si>
  <si>
    <t>未包含在土地购买价格中</t>
  </si>
  <si>
    <t>全部缴纳</t>
  </si>
  <si>
    <t>已包含在土地取得成本中</t>
  </si>
  <si>
    <t>毛坯</t>
    <phoneticPr fontId="3" type="noConversion"/>
  </si>
  <si>
    <t>装修</t>
    <phoneticPr fontId="3" type="noConversion"/>
  </si>
  <si>
    <t>成新度</t>
    <phoneticPr fontId="3" type="noConversion"/>
  </si>
  <si>
    <t>90%-100%</t>
  </si>
  <si>
    <t>90%-100%</t>
    <phoneticPr fontId="24" type="noConversion"/>
  </si>
  <si>
    <t>毛坯</t>
  </si>
  <si>
    <t>七通</t>
  </si>
  <si>
    <t>较规则</t>
  </si>
  <si>
    <t>较适宜</t>
  </si>
  <si>
    <t>六通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</si>
</sst>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font>
    <font>
      <i/>
      <sz val="9"/>
      <color theme="1"/>
      <name val="Arial"/>
      <family val="2"/>
    </font>
    <font>
      <i/>
      <sz val="9"/>
      <color theme="1"/>
      <name val="宋体"/>
      <family val="3"/>
      <charset val="134"/>
    </font>
    <font>
      <sz val="12"/>
      <color theme="1"/>
      <name val="宋体"/>
      <family val="2"/>
      <scheme val="minor"/>
    </font>
    <font>
      <sz val="10"/>
      <color theme="1"/>
      <name val="宋体"/>
      <family val="2"/>
      <scheme val="minor"/>
    </font>
    <font>
      <sz val="9"/>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9" fontId="95" fillId="0" borderId="0" applyFont="0" applyFill="0" applyBorder="0" applyAlignment="0" applyProtection="0">
      <alignment vertical="center"/>
    </xf>
    <xf numFmtId="0" fontId="274" fillId="0" borderId="0"/>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9" fillId="0" borderId="0" xfId="19" applyFont="1" applyAlignment="1">
      <alignment horizontal="left" vertical="center"/>
    </xf>
    <xf numFmtId="0" fontId="19" fillId="0" borderId="0" xfId="19" applyFont="1" applyAlignment="1">
      <alignment horizontal="left" vertical="center" wrapText="1"/>
    </xf>
    <xf numFmtId="0" fontId="19" fillId="0" borderId="1" xfId="19" applyFont="1" applyBorder="1" applyAlignment="1">
      <alignment horizontal="left" vertical="center"/>
    </xf>
    <xf numFmtId="0" fontId="19" fillId="0" borderId="1" xfId="19" applyFont="1" applyBorder="1" applyAlignment="1">
      <alignment horizontal="left" vertical="center" wrapText="1"/>
    </xf>
    <xf numFmtId="0" fontId="95" fillId="0" borderId="1" xfId="10" applyBorder="1" applyAlignment="1">
      <alignment horizontal="left" vertical="center"/>
    </xf>
    <xf numFmtId="0" fontId="19" fillId="5" borderId="1" xfId="19" applyFont="1" applyFill="1" applyBorder="1" applyAlignment="1">
      <alignment horizontal="left" vertical="center"/>
    </xf>
    <xf numFmtId="0" fontId="19" fillId="5" borderId="0" xfId="19" applyFont="1" applyFill="1" applyAlignment="1">
      <alignment horizontal="left" vertical="center"/>
    </xf>
    <xf numFmtId="0" fontId="19" fillId="0" borderId="1" xfId="19" applyFont="1" applyBorder="1" applyAlignment="1">
      <alignment horizontal="left" vertical="top" wrapText="1"/>
    </xf>
    <xf numFmtId="0" fontId="98" fillId="0" borderId="0" xfId="10" applyFont="1" applyAlignment="1">
      <alignment horizontal="left" vertical="center" wrapText="1"/>
    </xf>
    <xf numFmtId="0" fontId="98" fillId="0" borderId="1" xfId="10" applyFont="1" applyBorder="1" applyAlignment="1">
      <alignment horizontal="left" vertical="center" wrapText="1"/>
    </xf>
    <xf numFmtId="0" fontId="98" fillId="0" borderId="1" xfId="10" applyFont="1" applyBorder="1" applyAlignment="1">
      <alignment vertical="center" wrapText="1"/>
    </xf>
    <xf numFmtId="0" fontId="114" fillId="0" borderId="1" xfId="10" applyFont="1" applyBorder="1" applyAlignment="1">
      <alignment horizontal="left" vertical="center" wrapText="1"/>
    </xf>
    <xf numFmtId="0" fontId="272" fillId="0" borderId="1" xfId="10" applyFont="1" applyBorder="1" applyAlignment="1">
      <alignment horizontal="right" vertical="center" wrapText="1"/>
    </xf>
    <xf numFmtId="0" fontId="98" fillId="22" borderId="1" xfId="10" applyFont="1" applyFill="1" applyBorder="1" applyAlignment="1">
      <alignment horizontal="left" vertical="center" wrapText="1"/>
    </xf>
    <xf numFmtId="0" fontId="98" fillId="23" borderId="1" xfId="10" applyFont="1" applyFill="1" applyBorder="1" applyAlignment="1">
      <alignment vertical="center" wrapText="1"/>
    </xf>
    <xf numFmtId="0" fontId="98" fillId="23" borderId="1" xfId="10" applyFont="1" applyFill="1" applyBorder="1" applyAlignment="1">
      <alignment horizontal="left" vertical="center" wrapText="1"/>
    </xf>
    <xf numFmtId="0" fontId="265" fillId="0" borderId="1" xfId="10" applyFont="1" applyBorder="1" applyAlignment="1">
      <alignment horizontal="right" vertical="center" wrapText="1"/>
    </xf>
    <xf numFmtId="0" fontId="98" fillId="24" borderId="1" xfId="10" applyFont="1" applyFill="1" applyBorder="1" applyAlignment="1">
      <alignment horizontal="left" vertical="center" wrapText="1"/>
    </xf>
    <xf numFmtId="0" fontId="114" fillId="24" borderId="1" xfId="10" applyFont="1" applyFill="1" applyBorder="1" applyAlignment="1">
      <alignment horizontal="left" vertical="center" wrapText="1"/>
    </xf>
    <xf numFmtId="181" fontId="98" fillId="0" borderId="1" xfId="20" applyNumberFormat="1" applyFont="1" applyBorder="1" applyAlignment="1">
      <alignment horizontal="left" vertical="center" wrapText="1"/>
    </xf>
    <xf numFmtId="181" fontId="47" fillId="9" borderId="49" xfId="0" applyNumberFormat="1" applyFont="1" applyFill="1" applyBorder="1" applyAlignment="1" applyProtection="1">
      <alignment horizontal="center" vertical="center"/>
      <protection locked="0"/>
    </xf>
    <xf numFmtId="181" fontId="47" fillId="9" borderId="8" xfId="0" applyNumberFormat="1" applyFont="1" applyFill="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07" fillId="0" borderId="0" xfId="21" applyFont="1" applyAlignment="1">
      <alignment horizontal="left" vertical="center"/>
    </xf>
    <xf numFmtId="0" fontId="107" fillId="0" borderId="0" xfId="21" applyFont="1" applyAlignment="1">
      <alignment horizontal="left" vertical="center" wrapText="1"/>
    </xf>
    <xf numFmtId="0" fontId="275" fillId="0" borderId="0" xfId="21" applyFont="1" applyAlignment="1">
      <alignment horizontal="left" vertical="center"/>
    </xf>
    <xf numFmtId="0" fontId="275" fillId="0" borderId="0" xfId="21" applyFont="1" applyAlignment="1">
      <alignment horizontal="left" vertical="center" wrapText="1"/>
    </xf>
    <xf numFmtId="0" fontId="275" fillId="5" borderId="0" xfId="21" applyFont="1" applyFill="1" applyAlignment="1">
      <alignment horizontal="left" vertical="center" wrapText="1"/>
    </xf>
    <xf numFmtId="0" fontId="265" fillId="14" borderId="1" xfId="21" applyFont="1" applyFill="1" applyBorder="1" applyAlignment="1">
      <alignment horizontal="left" vertical="center" wrapText="1"/>
    </xf>
    <xf numFmtId="0" fontId="276" fillId="25" borderId="1" xfId="21" applyFont="1" applyFill="1" applyBorder="1" applyAlignment="1">
      <alignment horizontal="left" vertical="center"/>
    </xf>
    <xf numFmtId="0" fontId="265" fillId="0" borderId="1" xfId="21" applyFont="1" applyBorder="1" applyAlignment="1">
      <alignment horizontal="left" vertical="center" wrapText="1"/>
    </xf>
    <xf numFmtId="0" fontId="276" fillId="14" borderId="1" xfId="21" applyFont="1" applyFill="1" applyBorder="1" applyAlignment="1">
      <alignment horizontal="left" vertical="center" wrapText="1"/>
    </xf>
    <xf numFmtId="0" fontId="265" fillId="9" borderId="1" xfId="21" applyFont="1" applyFill="1" applyBorder="1" applyAlignment="1">
      <alignment horizontal="left" vertical="center" wrapText="1"/>
    </xf>
    <xf numFmtId="0" fontId="265" fillId="0" borderId="0" xfId="21" applyFont="1" applyAlignment="1">
      <alignment horizontal="left" vertical="center" wrapText="1"/>
    </xf>
    <xf numFmtId="0" fontId="275" fillId="0" borderId="1" xfId="21" applyFont="1" applyBorder="1" applyAlignment="1">
      <alignment horizontal="left" vertical="center"/>
    </xf>
    <xf numFmtId="0" fontId="265" fillId="0" borderId="1" xfId="21" applyFont="1" applyBorder="1" applyAlignment="1">
      <alignment horizontal="left" vertical="center"/>
    </xf>
    <xf numFmtId="0" fontId="107" fillId="0" borderId="1" xfId="21" applyFont="1" applyBorder="1" applyAlignment="1">
      <alignment horizontal="left" vertical="center"/>
    </xf>
    <xf numFmtId="0" fontId="276" fillId="0" borderId="1" xfId="21" applyFont="1" applyBorder="1" applyAlignment="1">
      <alignment horizontal="left" vertical="center"/>
    </xf>
    <xf numFmtId="0" fontId="276" fillId="14" borderId="1" xfId="21" applyFont="1" applyFill="1" applyBorder="1" applyAlignment="1">
      <alignment horizontal="left" vertical="center"/>
    </xf>
    <xf numFmtId="0" fontId="265" fillId="9" borderId="1" xfId="21" applyFont="1" applyFill="1" applyBorder="1" applyAlignment="1">
      <alignment horizontal="left" vertical="center"/>
    </xf>
    <xf numFmtId="0" fontId="265" fillId="25" borderId="1" xfId="21" applyFont="1" applyFill="1" applyBorder="1" applyAlignment="1">
      <alignment horizontal="left" vertical="center" wrapText="1"/>
    </xf>
    <xf numFmtId="0" fontId="265" fillId="25" borderId="1" xfId="21" applyFont="1" applyFill="1" applyBorder="1" applyAlignment="1">
      <alignment horizontal="left" vertical="center"/>
    </xf>
    <xf numFmtId="14" fontId="265" fillId="0" borderId="1" xfId="21" applyNumberFormat="1" applyFont="1" applyBorder="1" applyAlignment="1">
      <alignment horizontal="left" vertical="center"/>
    </xf>
    <xf numFmtId="0" fontId="265" fillId="14" borderId="1" xfId="21" applyFont="1" applyFill="1" applyBorder="1" applyAlignment="1">
      <alignment horizontal="left" vertical="center"/>
    </xf>
    <xf numFmtId="0" fontId="265" fillId="0" borderId="0" xfId="21" applyFont="1" applyAlignment="1">
      <alignment horizontal="left" vertical="center"/>
    </xf>
    <xf numFmtId="14" fontId="265" fillId="25" borderId="1" xfId="21" applyNumberFormat="1" applyFont="1" applyFill="1" applyBorder="1" applyAlignment="1">
      <alignment horizontal="left" vertical="center"/>
    </xf>
    <xf numFmtId="0" fontId="265" fillId="25" borderId="0" xfId="21" applyFont="1" applyFill="1" applyAlignment="1">
      <alignment horizontal="left" vertical="center"/>
    </xf>
    <xf numFmtId="0" fontId="265" fillId="7" borderId="1" xfId="21" applyFont="1" applyFill="1" applyBorder="1" applyAlignment="1">
      <alignment horizontal="left" vertical="center" wrapText="1"/>
    </xf>
    <xf numFmtId="0" fontId="265" fillId="7" borderId="1" xfId="21" applyFont="1" applyFill="1" applyBorder="1" applyAlignment="1">
      <alignment horizontal="left" vertical="center"/>
    </xf>
    <xf numFmtId="14" fontId="265" fillId="7" borderId="1" xfId="21" applyNumberFormat="1" applyFont="1" applyFill="1" applyBorder="1" applyAlignment="1">
      <alignment horizontal="left" vertical="center"/>
    </xf>
    <xf numFmtId="0" fontId="265" fillId="7" borderId="0" xfId="21" applyFont="1" applyFill="1" applyAlignment="1">
      <alignment horizontal="left" vertical="center"/>
    </xf>
    <xf numFmtId="0" fontId="265" fillId="14" borderId="0" xfId="21" applyFont="1" applyFill="1" applyAlignment="1">
      <alignment horizontal="left" vertical="center"/>
    </xf>
    <xf numFmtId="0" fontId="276" fillId="14" borderId="0" xfId="21" applyFont="1" applyFill="1" applyAlignment="1">
      <alignment horizontal="left" vertical="center"/>
    </xf>
    <xf numFmtId="0" fontId="265" fillId="9" borderId="0" xfId="21" applyFont="1" applyFill="1" applyAlignment="1">
      <alignment horizontal="left" vertical="center"/>
    </xf>
    <xf numFmtId="0" fontId="44" fillId="6" borderId="30" xfId="0" applyFont="1" applyFill="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265" fillId="26" borderId="1" xfId="21" applyFont="1" applyFill="1" applyBorder="1" applyAlignment="1">
      <alignment horizontal="left" vertical="center" wrapText="1"/>
    </xf>
    <xf numFmtId="0" fontId="265" fillId="26" borderId="1" xfId="21" applyFont="1" applyFill="1" applyBorder="1" applyAlignment="1">
      <alignment horizontal="left" vertical="center"/>
    </xf>
    <xf numFmtId="0" fontId="276" fillId="26" borderId="1" xfId="21" applyFont="1" applyFill="1" applyBorder="1" applyAlignment="1">
      <alignment horizontal="left" vertical="center"/>
    </xf>
    <xf numFmtId="0" fontId="276" fillId="26" borderId="1" xfId="21" applyFont="1" applyFill="1" applyBorder="1" applyAlignment="1">
      <alignment horizontal="left" vertical="center" wrapText="1"/>
    </xf>
    <xf numFmtId="0" fontId="265" fillId="26" borderId="0" xfId="21" applyFont="1" applyFill="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98" fillId="0" borderId="1" xfId="10" applyFont="1" applyBorder="1" applyAlignment="1">
      <alignment horizontal="left" vertical="center" wrapText="1"/>
    </xf>
    <xf numFmtId="0" fontId="98" fillId="0" borderId="1" xfId="10" applyFont="1" applyBorder="1" applyAlignment="1">
      <alignment horizontal="center" vertical="center" wrapText="1"/>
    </xf>
    <xf numFmtId="0" fontId="114" fillId="22" borderId="1" xfId="10" applyFont="1" applyFill="1" applyBorder="1" applyAlignment="1">
      <alignment horizontal="left" vertical="center" wrapText="1"/>
    </xf>
    <xf numFmtId="0" fontId="98" fillId="22" borderId="1" xfId="10" applyFont="1" applyFill="1" applyBorder="1" applyAlignment="1">
      <alignment horizontal="left" vertical="center" wrapText="1"/>
    </xf>
    <xf numFmtId="0" fontId="98" fillId="24" borderId="1" xfId="10" applyFont="1" applyFill="1" applyBorder="1" applyAlignment="1">
      <alignment horizontal="left" vertical="center" wrapText="1"/>
    </xf>
    <xf numFmtId="0" fontId="19" fillId="0" borderId="0" xfId="19" applyFont="1" applyAlignment="1">
      <alignment horizontal="left" vertical="center"/>
    </xf>
    <xf numFmtId="0" fontId="19" fillId="0" borderId="35" xfId="19" applyFont="1" applyBorder="1" applyAlignment="1">
      <alignment horizontal="left" vertical="center"/>
    </xf>
    <xf numFmtId="0" fontId="19" fillId="0" borderId="0" xfId="19" applyFont="1" applyAlignment="1">
      <alignment horizontal="left" vertical="center" wrapText="1"/>
    </xf>
    <xf numFmtId="0" fontId="19" fillId="0" borderId="35" xfId="19" applyFont="1" applyBorder="1" applyAlignment="1">
      <alignment horizontal="left" vertical="center" wrapText="1"/>
    </xf>
    <xf numFmtId="0" fontId="19" fillId="0" borderId="1" xfId="19" applyFont="1" applyBorder="1" applyAlignment="1">
      <alignment horizontal="left" vertical="center"/>
    </xf>
    <xf numFmtId="0" fontId="98" fillId="0" borderId="0" xfId="1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0" xr:uid="{640E0116-4F4B-4571-8CAB-9622C7877F61}"/>
    <cellStyle name="常规" xfId="0" builtinId="0"/>
    <cellStyle name="常规 10" xfId="19" xr:uid="{F019AF38-ECB8-47B6-82B8-8FB2E21A9753}"/>
    <cellStyle name="常规 11" xfId="18" xr:uid="{00000000-0005-0000-0000-000003000000}"/>
    <cellStyle name="常规 12" xfId="21" xr:uid="{973B076A-315D-48C7-AE0C-F06C309AB6A5}"/>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43</xdr:row>
      <xdr:rowOff>142875</xdr:rowOff>
    </xdr:from>
    <xdr:to>
      <xdr:col>21</xdr:col>
      <xdr:colOff>379524</xdr:colOff>
      <xdr:row>53</xdr:row>
      <xdr:rowOff>152180</xdr:rowOff>
    </xdr:to>
    <xdr:pic>
      <xdr:nvPicPr>
        <xdr:cNvPr id="2" name="图片 1">
          <a:extLst>
            <a:ext uri="{FF2B5EF4-FFF2-40B4-BE49-F238E27FC236}">
              <a16:creationId xmlns:a16="http://schemas.microsoft.com/office/drawing/2014/main" id="{76B1437A-FC4A-4847-831B-5F0AC675E565}"/>
            </a:ext>
          </a:extLst>
        </xdr:cNvPr>
        <xdr:cNvPicPr>
          <a:picLocks noChangeAspect="1"/>
        </xdr:cNvPicPr>
      </xdr:nvPicPr>
      <xdr:blipFill>
        <a:blip xmlns:r="http://schemas.openxmlformats.org/officeDocument/2006/relationships" r:embed="rId1"/>
        <a:stretch>
          <a:fillRect/>
        </a:stretch>
      </xdr:blipFill>
      <xdr:spPr>
        <a:xfrm>
          <a:off x="7134225" y="7267575"/>
          <a:ext cx="11809524" cy="1761905"/>
        </a:xfrm>
        <a:prstGeom prst="rect">
          <a:avLst/>
        </a:prstGeom>
      </xdr:spPr>
    </xdr:pic>
    <xdr:clientData/>
  </xdr:twoCellAnchor>
  <xdr:twoCellAnchor editAs="oneCell">
    <xdr:from>
      <xdr:col>6</xdr:col>
      <xdr:colOff>76200</xdr:colOff>
      <xdr:row>39</xdr:row>
      <xdr:rowOff>57150</xdr:rowOff>
    </xdr:from>
    <xdr:to>
      <xdr:col>10</xdr:col>
      <xdr:colOff>285368</xdr:colOff>
      <xdr:row>44</xdr:row>
      <xdr:rowOff>76092</xdr:rowOff>
    </xdr:to>
    <xdr:pic>
      <xdr:nvPicPr>
        <xdr:cNvPr id="3" name="图片 2">
          <a:extLst>
            <a:ext uri="{FF2B5EF4-FFF2-40B4-BE49-F238E27FC236}">
              <a16:creationId xmlns:a16="http://schemas.microsoft.com/office/drawing/2014/main" id="{B53EC095-7363-4E15-B089-4FDFCCEEE976}"/>
            </a:ext>
          </a:extLst>
        </xdr:cNvPr>
        <xdr:cNvPicPr>
          <a:picLocks noChangeAspect="1"/>
        </xdr:cNvPicPr>
      </xdr:nvPicPr>
      <xdr:blipFill>
        <a:blip xmlns:r="http://schemas.openxmlformats.org/officeDocument/2006/relationships" r:embed="rId2"/>
        <a:stretch>
          <a:fillRect/>
        </a:stretch>
      </xdr:blipFill>
      <xdr:spPr>
        <a:xfrm>
          <a:off x="7162800" y="6515100"/>
          <a:ext cx="3057143" cy="8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13</xdr:col>
      <xdr:colOff>284405</xdr:colOff>
      <xdr:row>92</xdr:row>
      <xdr:rowOff>104095</xdr:rowOff>
    </xdr:to>
    <xdr:pic>
      <xdr:nvPicPr>
        <xdr:cNvPr id="2" name="图片 1">
          <a:extLst>
            <a:ext uri="{FF2B5EF4-FFF2-40B4-BE49-F238E27FC236}">
              <a16:creationId xmlns:a16="http://schemas.microsoft.com/office/drawing/2014/main" id="{767C522F-52FD-402A-AF0F-0D94A68E3685}"/>
            </a:ext>
          </a:extLst>
        </xdr:cNvPr>
        <xdr:cNvPicPr>
          <a:picLocks noChangeAspect="1"/>
        </xdr:cNvPicPr>
      </xdr:nvPicPr>
      <xdr:blipFill>
        <a:blip xmlns:r="http://schemas.openxmlformats.org/officeDocument/2006/relationships" r:embed="rId1"/>
        <a:stretch>
          <a:fillRect/>
        </a:stretch>
      </xdr:blipFill>
      <xdr:spPr>
        <a:xfrm>
          <a:off x="0" y="18268950"/>
          <a:ext cx="10761905" cy="5447619"/>
        </a:xfrm>
        <a:prstGeom prst="rect">
          <a:avLst/>
        </a:prstGeom>
      </xdr:spPr>
    </xdr:pic>
    <xdr:clientData/>
  </xdr:twoCellAnchor>
  <xdr:twoCellAnchor>
    <xdr:from>
      <xdr:col>6</xdr:col>
      <xdr:colOff>990600</xdr:colOff>
      <xdr:row>76</xdr:row>
      <xdr:rowOff>47625</xdr:rowOff>
    </xdr:from>
    <xdr:to>
      <xdr:col>7</xdr:col>
      <xdr:colOff>0</xdr:colOff>
      <xdr:row>78</xdr:row>
      <xdr:rowOff>28575</xdr:rowOff>
    </xdr:to>
    <xdr:sp macro="" textlink="">
      <xdr:nvSpPr>
        <xdr:cNvPr id="3" name="六角星 4">
          <a:extLst>
            <a:ext uri="{FF2B5EF4-FFF2-40B4-BE49-F238E27FC236}">
              <a16:creationId xmlns:a16="http://schemas.microsoft.com/office/drawing/2014/main" id="{DABFFD71-C9CF-4008-9660-DCADA957E4C5}"/>
            </a:ext>
          </a:extLst>
        </xdr:cNvPr>
        <xdr:cNvSpPr/>
      </xdr:nvSpPr>
      <xdr:spPr>
        <a:xfrm>
          <a:off x="6381750" y="210693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342900</xdr:colOff>
      <xdr:row>76</xdr:row>
      <xdr:rowOff>47625</xdr:rowOff>
    </xdr:from>
    <xdr:to>
      <xdr:col>6</xdr:col>
      <xdr:colOff>628650</xdr:colOff>
      <xdr:row>78</xdr:row>
      <xdr:rowOff>28575</xdr:rowOff>
    </xdr:to>
    <xdr:sp macro="" textlink="">
      <xdr:nvSpPr>
        <xdr:cNvPr id="4" name="六角星 5">
          <a:extLst>
            <a:ext uri="{FF2B5EF4-FFF2-40B4-BE49-F238E27FC236}">
              <a16:creationId xmlns:a16="http://schemas.microsoft.com/office/drawing/2014/main" id="{36D584AF-F2E1-48B3-BF44-184BAF5C359C}"/>
            </a:ext>
          </a:extLst>
        </xdr:cNvPr>
        <xdr:cNvSpPr/>
      </xdr:nvSpPr>
      <xdr:spPr>
        <a:xfrm>
          <a:off x="5734050" y="210693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952500</xdr:colOff>
      <xdr:row>78</xdr:row>
      <xdr:rowOff>28575</xdr:rowOff>
    </xdr:from>
    <xdr:to>
      <xdr:col>6</xdr:col>
      <xdr:colOff>1238250</xdr:colOff>
      <xdr:row>80</xdr:row>
      <xdr:rowOff>9525</xdr:rowOff>
    </xdr:to>
    <xdr:sp macro="" textlink="">
      <xdr:nvSpPr>
        <xdr:cNvPr id="5" name="六角星 6">
          <a:extLst>
            <a:ext uri="{FF2B5EF4-FFF2-40B4-BE49-F238E27FC236}">
              <a16:creationId xmlns:a16="http://schemas.microsoft.com/office/drawing/2014/main" id="{7E7EA328-4654-455A-ABFF-DDA296DF2415}"/>
            </a:ext>
          </a:extLst>
        </xdr:cNvPr>
        <xdr:cNvSpPr/>
      </xdr:nvSpPr>
      <xdr:spPr>
        <a:xfrm>
          <a:off x="6343650" y="213741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76200</xdr:colOff>
      <xdr:row>68</xdr:row>
      <xdr:rowOff>28575</xdr:rowOff>
    </xdr:from>
    <xdr:to>
      <xdr:col>2</xdr:col>
      <xdr:colOff>361950</xdr:colOff>
      <xdr:row>70</xdr:row>
      <xdr:rowOff>9525</xdr:rowOff>
    </xdr:to>
    <xdr:sp macro="" textlink="">
      <xdr:nvSpPr>
        <xdr:cNvPr id="6" name="六角星 7">
          <a:extLst>
            <a:ext uri="{FF2B5EF4-FFF2-40B4-BE49-F238E27FC236}">
              <a16:creationId xmlns:a16="http://schemas.microsoft.com/office/drawing/2014/main" id="{DB9E17B7-7F93-4C93-A401-E21A70B12193}"/>
            </a:ext>
          </a:extLst>
        </xdr:cNvPr>
        <xdr:cNvSpPr/>
      </xdr:nvSpPr>
      <xdr:spPr>
        <a:xfrm>
          <a:off x="4800600" y="19754850"/>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7</xdr:col>
      <xdr:colOff>1152525</xdr:colOff>
      <xdr:row>59</xdr:row>
      <xdr:rowOff>66675</xdr:rowOff>
    </xdr:from>
    <xdr:to>
      <xdr:col>22</xdr:col>
      <xdr:colOff>312610</xdr:colOff>
      <xdr:row>85</xdr:row>
      <xdr:rowOff>69069</xdr:rowOff>
    </xdr:to>
    <xdr:pic>
      <xdr:nvPicPr>
        <xdr:cNvPr id="7" name="图片 6">
          <a:extLst>
            <a:ext uri="{FF2B5EF4-FFF2-40B4-BE49-F238E27FC236}">
              <a16:creationId xmlns:a16="http://schemas.microsoft.com/office/drawing/2014/main" id="{C1EFC5E1-0428-4B73-9418-0446AD613283}"/>
            </a:ext>
          </a:extLst>
        </xdr:cNvPr>
        <xdr:cNvPicPr>
          <a:picLocks noChangeAspect="1"/>
        </xdr:cNvPicPr>
      </xdr:nvPicPr>
      <xdr:blipFill rotWithShape="1">
        <a:blip xmlns:r="http://schemas.openxmlformats.org/officeDocument/2006/relationships" r:embed="rId2"/>
        <a:srcRect l="10868" t="6905" r="-456" b="11087"/>
        <a:stretch/>
      </xdr:blipFill>
      <xdr:spPr>
        <a:xfrm>
          <a:off x="7820025" y="18335625"/>
          <a:ext cx="8751760" cy="4212444"/>
        </a:xfrm>
        <a:prstGeom prst="rect">
          <a:avLst/>
        </a:prstGeom>
      </xdr:spPr>
    </xdr:pic>
    <xdr:clientData/>
  </xdr:twoCellAnchor>
  <xdr:twoCellAnchor>
    <xdr:from>
      <xdr:col>13</xdr:col>
      <xdr:colOff>219075</xdr:colOff>
      <xdr:row>63</xdr:row>
      <xdr:rowOff>85725</xdr:rowOff>
    </xdr:from>
    <xdr:to>
      <xdr:col>13</xdr:col>
      <xdr:colOff>504825</xdr:colOff>
      <xdr:row>65</xdr:row>
      <xdr:rowOff>66675</xdr:rowOff>
    </xdr:to>
    <xdr:sp macro="" textlink="">
      <xdr:nvSpPr>
        <xdr:cNvPr id="8" name="六角星 7">
          <a:extLst>
            <a:ext uri="{FF2B5EF4-FFF2-40B4-BE49-F238E27FC236}">
              <a16:creationId xmlns:a16="http://schemas.microsoft.com/office/drawing/2014/main" id="{1C6F54EC-84DB-4F74-8359-991BE7F0B054}"/>
            </a:ext>
          </a:extLst>
        </xdr:cNvPr>
        <xdr:cNvSpPr/>
      </xdr:nvSpPr>
      <xdr:spPr>
        <a:xfrm>
          <a:off x="10696575" y="19002375"/>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1028700</xdr:colOff>
      <xdr:row>70</xdr:row>
      <xdr:rowOff>57150</xdr:rowOff>
    </xdr:from>
    <xdr:to>
      <xdr:col>12</xdr:col>
      <xdr:colOff>1314450</xdr:colOff>
      <xdr:row>72</xdr:row>
      <xdr:rowOff>38100</xdr:rowOff>
    </xdr:to>
    <xdr:sp macro="" textlink="">
      <xdr:nvSpPr>
        <xdr:cNvPr id="9" name="六角星 5">
          <a:extLst>
            <a:ext uri="{FF2B5EF4-FFF2-40B4-BE49-F238E27FC236}">
              <a16:creationId xmlns:a16="http://schemas.microsoft.com/office/drawing/2014/main" id="{95E272B2-DCFC-49C0-BEE2-3D59915755A3}"/>
            </a:ext>
          </a:extLst>
        </xdr:cNvPr>
        <xdr:cNvSpPr/>
      </xdr:nvSpPr>
      <xdr:spPr>
        <a:xfrm>
          <a:off x="9791700" y="201072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457200</xdr:colOff>
      <xdr:row>78</xdr:row>
      <xdr:rowOff>0</xdr:rowOff>
    </xdr:from>
    <xdr:to>
      <xdr:col>16</xdr:col>
      <xdr:colOff>228600</xdr:colOff>
      <xdr:row>79</xdr:row>
      <xdr:rowOff>142875</xdr:rowOff>
    </xdr:to>
    <xdr:sp macro="" textlink="">
      <xdr:nvSpPr>
        <xdr:cNvPr id="10" name="六角星 5">
          <a:extLst>
            <a:ext uri="{FF2B5EF4-FFF2-40B4-BE49-F238E27FC236}">
              <a16:creationId xmlns:a16="http://schemas.microsoft.com/office/drawing/2014/main" id="{AB6D9076-C2ED-4B0C-A943-A2D0E0647893}"/>
            </a:ext>
          </a:extLst>
        </xdr:cNvPr>
        <xdr:cNvSpPr/>
      </xdr:nvSpPr>
      <xdr:spPr>
        <a:xfrm>
          <a:off x="12401550" y="213455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504825</xdr:colOff>
      <xdr:row>76</xdr:row>
      <xdr:rowOff>19050</xdr:rowOff>
    </xdr:from>
    <xdr:to>
      <xdr:col>16</xdr:col>
      <xdr:colOff>276225</xdr:colOff>
      <xdr:row>78</xdr:row>
      <xdr:rowOff>0</xdr:rowOff>
    </xdr:to>
    <xdr:sp macro="" textlink="">
      <xdr:nvSpPr>
        <xdr:cNvPr id="11" name="六角星 5">
          <a:extLst>
            <a:ext uri="{FF2B5EF4-FFF2-40B4-BE49-F238E27FC236}">
              <a16:creationId xmlns:a16="http://schemas.microsoft.com/office/drawing/2014/main" id="{6435EC59-67F2-467D-9A18-FAA87CCBEC6F}"/>
            </a:ext>
          </a:extLst>
        </xdr:cNvPr>
        <xdr:cNvSpPr/>
      </xdr:nvSpPr>
      <xdr:spPr>
        <a:xfrm>
          <a:off x="12449175" y="210407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163</xdr:row>
      <xdr:rowOff>152399</xdr:rowOff>
    </xdr:from>
    <xdr:to>
      <xdr:col>25</xdr:col>
      <xdr:colOff>541525</xdr:colOff>
      <xdr:row>199</xdr:row>
      <xdr:rowOff>150697</xdr:rowOff>
    </xdr:to>
    <xdr:grpSp>
      <xdr:nvGrpSpPr>
        <xdr:cNvPr id="12" name="组合 11">
          <a:extLst>
            <a:ext uri="{FF2B5EF4-FFF2-40B4-BE49-F238E27FC236}">
              <a16:creationId xmlns:a16="http://schemas.microsoft.com/office/drawing/2014/main" id="{8801C784-4F42-4895-9F86-F00F13A5810D}"/>
            </a:ext>
          </a:extLst>
        </xdr:cNvPr>
        <xdr:cNvGrpSpPr/>
      </xdr:nvGrpSpPr>
      <xdr:grpSpPr>
        <a:xfrm>
          <a:off x="0" y="19370487"/>
          <a:ext cx="19143290" cy="5646063"/>
          <a:chOff x="0" y="34804349"/>
          <a:chExt cx="19181950" cy="5827598"/>
        </a:xfrm>
      </xdr:grpSpPr>
      <xdr:pic>
        <xdr:nvPicPr>
          <xdr:cNvPr id="13" name="图片 12">
            <a:extLst>
              <a:ext uri="{FF2B5EF4-FFF2-40B4-BE49-F238E27FC236}">
                <a16:creationId xmlns:a16="http://schemas.microsoft.com/office/drawing/2014/main" id="{54742709-B369-AC5E-D430-09491F8C3AE6}"/>
              </a:ext>
            </a:extLst>
          </xdr:cNvPr>
          <xdr:cNvPicPr>
            <a:picLocks noChangeAspect="1"/>
          </xdr:cNvPicPr>
        </xdr:nvPicPr>
        <xdr:blipFill>
          <a:blip xmlns:r="http://schemas.openxmlformats.org/officeDocument/2006/relationships" r:embed="rId3"/>
          <a:stretch>
            <a:fillRect/>
          </a:stretch>
        </xdr:blipFill>
        <xdr:spPr>
          <a:xfrm>
            <a:off x="0" y="34804349"/>
            <a:ext cx="8616228" cy="5809223"/>
          </a:xfrm>
          <a:prstGeom prst="rect">
            <a:avLst/>
          </a:prstGeom>
        </xdr:spPr>
      </xdr:pic>
      <xdr:pic>
        <xdr:nvPicPr>
          <xdr:cNvPr id="14" name="图片 13">
            <a:extLst>
              <a:ext uri="{FF2B5EF4-FFF2-40B4-BE49-F238E27FC236}">
                <a16:creationId xmlns:a16="http://schemas.microsoft.com/office/drawing/2014/main" id="{2D049183-2E33-DEA3-E31C-E5277A4BF9FD}"/>
              </a:ext>
            </a:extLst>
          </xdr:cNvPr>
          <xdr:cNvPicPr>
            <a:picLocks noChangeAspect="1"/>
          </xdr:cNvPicPr>
        </xdr:nvPicPr>
        <xdr:blipFill>
          <a:blip xmlns:r="http://schemas.openxmlformats.org/officeDocument/2006/relationships" r:embed="rId4"/>
          <a:stretch>
            <a:fillRect/>
          </a:stretch>
        </xdr:blipFill>
        <xdr:spPr>
          <a:xfrm>
            <a:off x="8439150" y="35013901"/>
            <a:ext cx="10742800" cy="5618046"/>
          </a:xfrm>
          <a:prstGeom prst="rect">
            <a:avLst/>
          </a:prstGeom>
        </xdr:spPr>
      </xdr:pic>
    </xdr:grpSp>
    <xdr:clientData/>
  </xdr:twoCellAnchor>
  <xdr:twoCellAnchor>
    <xdr:from>
      <xdr:col>0</xdr:col>
      <xdr:colOff>0</xdr:colOff>
      <xdr:row>127</xdr:row>
      <xdr:rowOff>55601</xdr:rowOff>
    </xdr:from>
    <xdr:to>
      <xdr:col>22</xdr:col>
      <xdr:colOff>112787</xdr:colOff>
      <xdr:row>162</xdr:row>
      <xdr:rowOff>103747</xdr:rowOff>
    </xdr:to>
    <xdr:grpSp>
      <xdr:nvGrpSpPr>
        <xdr:cNvPr id="15" name="组合 14">
          <a:extLst>
            <a:ext uri="{FF2B5EF4-FFF2-40B4-BE49-F238E27FC236}">
              <a16:creationId xmlns:a16="http://schemas.microsoft.com/office/drawing/2014/main" id="{0F8273E8-5F3F-486B-B59E-94F1388E00C4}"/>
            </a:ext>
          </a:extLst>
        </xdr:cNvPr>
        <xdr:cNvGrpSpPr/>
      </xdr:nvGrpSpPr>
      <xdr:grpSpPr>
        <a:xfrm>
          <a:off x="0" y="13625925"/>
          <a:ext cx="16338905" cy="5539028"/>
          <a:chOff x="0" y="28840151"/>
          <a:chExt cx="16371962" cy="5715521"/>
        </a:xfrm>
      </xdr:grpSpPr>
      <xdr:pic>
        <xdr:nvPicPr>
          <xdr:cNvPr id="16" name="图片 15">
            <a:extLst>
              <a:ext uri="{FF2B5EF4-FFF2-40B4-BE49-F238E27FC236}">
                <a16:creationId xmlns:a16="http://schemas.microsoft.com/office/drawing/2014/main" id="{80708620-9D6B-3E1B-0DB8-4EF095BBA0BD}"/>
              </a:ext>
            </a:extLst>
          </xdr:cNvPr>
          <xdr:cNvPicPr>
            <a:picLocks noChangeAspect="1"/>
          </xdr:cNvPicPr>
        </xdr:nvPicPr>
        <xdr:blipFill>
          <a:blip xmlns:r="http://schemas.openxmlformats.org/officeDocument/2006/relationships" r:embed="rId5"/>
          <a:stretch>
            <a:fillRect/>
          </a:stretch>
        </xdr:blipFill>
        <xdr:spPr>
          <a:xfrm>
            <a:off x="0" y="28840151"/>
            <a:ext cx="8477250" cy="5715521"/>
          </a:xfrm>
          <a:prstGeom prst="rect">
            <a:avLst/>
          </a:prstGeom>
        </xdr:spPr>
      </xdr:pic>
      <xdr:pic>
        <xdr:nvPicPr>
          <xdr:cNvPr id="17" name="图片 16">
            <a:extLst>
              <a:ext uri="{FF2B5EF4-FFF2-40B4-BE49-F238E27FC236}">
                <a16:creationId xmlns:a16="http://schemas.microsoft.com/office/drawing/2014/main" id="{3728A408-AD5F-6E1E-2537-D4B4874349D0}"/>
              </a:ext>
            </a:extLst>
          </xdr:cNvPr>
          <xdr:cNvPicPr>
            <a:picLocks noChangeAspect="1"/>
          </xdr:cNvPicPr>
        </xdr:nvPicPr>
        <xdr:blipFill>
          <a:blip xmlns:r="http://schemas.openxmlformats.org/officeDocument/2006/relationships" r:embed="rId6"/>
          <a:stretch>
            <a:fillRect/>
          </a:stretch>
        </xdr:blipFill>
        <xdr:spPr>
          <a:xfrm>
            <a:off x="6629400" y="30411234"/>
            <a:ext cx="9742562" cy="4116252"/>
          </a:xfrm>
          <a:prstGeom prst="rect">
            <a:avLst/>
          </a:prstGeom>
        </xdr:spPr>
      </xdr:pic>
    </xdr:grpSp>
    <xdr:clientData/>
  </xdr:twoCellAnchor>
  <xdr:twoCellAnchor>
    <xdr:from>
      <xdr:col>0</xdr:col>
      <xdr:colOff>0</xdr:colOff>
      <xdr:row>92</xdr:row>
      <xdr:rowOff>19050</xdr:rowOff>
    </xdr:from>
    <xdr:to>
      <xdr:col>23</xdr:col>
      <xdr:colOff>84433</xdr:colOff>
      <xdr:row>128</xdr:row>
      <xdr:rowOff>27548</xdr:rowOff>
    </xdr:to>
    <xdr:grpSp>
      <xdr:nvGrpSpPr>
        <xdr:cNvPr id="18" name="组合 17">
          <a:extLst>
            <a:ext uri="{FF2B5EF4-FFF2-40B4-BE49-F238E27FC236}">
              <a16:creationId xmlns:a16="http://schemas.microsoft.com/office/drawing/2014/main" id="{FF551896-0FA4-44C6-8EAF-08F9C63B656A}"/>
            </a:ext>
          </a:extLst>
        </xdr:cNvPr>
        <xdr:cNvGrpSpPr/>
      </xdr:nvGrpSpPr>
      <xdr:grpSpPr>
        <a:xfrm>
          <a:off x="0" y="8098491"/>
          <a:ext cx="17027727" cy="5656263"/>
          <a:chOff x="0" y="23174325"/>
          <a:chExt cx="17057983" cy="5837798"/>
        </a:xfrm>
      </xdr:grpSpPr>
      <xdr:pic>
        <xdr:nvPicPr>
          <xdr:cNvPr id="19" name="图片 18">
            <a:extLst>
              <a:ext uri="{FF2B5EF4-FFF2-40B4-BE49-F238E27FC236}">
                <a16:creationId xmlns:a16="http://schemas.microsoft.com/office/drawing/2014/main" id="{D5E3817D-F7A9-9AFC-74B9-FFDE3CE3CF26}"/>
              </a:ext>
            </a:extLst>
          </xdr:cNvPr>
          <xdr:cNvPicPr>
            <a:picLocks noChangeAspect="1"/>
          </xdr:cNvPicPr>
        </xdr:nvPicPr>
        <xdr:blipFill>
          <a:blip xmlns:r="http://schemas.openxmlformats.org/officeDocument/2006/relationships" r:embed="rId7"/>
          <a:stretch>
            <a:fillRect/>
          </a:stretch>
        </xdr:blipFill>
        <xdr:spPr>
          <a:xfrm>
            <a:off x="0" y="23174325"/>
            <a:ext cx="8658611" cy="5837798"/>
          </a:xfrm>
          <a:prstGeom prst="rect">
            <a:avLst/>
          </a:prstGeom>
        </xdr:spPr>
      </xdr:pic>
      <xdr:pic>
        <xdr:nvPicPr>
          <xdr:cNvPr id="20" name="图片 19">
            <a:extLst>
              <a:ext uri="{FF2B5EF4-FFF2-40B4-BE49-F238E27FC236}">
                <a16:creationId xmlns:a16="http://schemas.microsoft.com/office/drawing/2014/main" id="{70A64481-5BE0-F431-5D11-4A23760E21A8}"/>
              </a:ext>
            </a:extLst>
          </xdr:cNvPr>
          <xdr:cNvPicPr>
            <a:picLocks noChangeAspect="1"/>
          </xdr:cNvPicPr>
        </xdr:nvPicPr>
        <xdr:blipFill>
          <a:blip xmlns:r="http://schemas.openxmlformats.org/officeDocument/2006/relationships" r:embed="rId8"/>
          <a:stretch>
            <a:fillRect/>
          </a:stretch>
        </xdr:blipFill>
        <xdr:spPr>
          <a:xfrm>
            <a:off x="6724650" y="24403050"/>
            <a:ext cx="10333333" cy="457142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85286</xdr:colOff>
      <xdr:row>12</xdr:row>
      <xdr:rowOff>133076</xdr:rowOff>
    </xdr:to>
    <xdr:pic>
      <xdr:nvPicPr>
        <xdr:cNvPr id="2" name="图片 1">
          <a:extLst>
            <a:ext uri="{FF2B5EF4-FFF2-40B4-BE49-F238E27FC236}">
              <a16:creationId xmlns:a16="http://schemas.microsoft.com/office/drawing/2014/main" id="{6944A13E-2260-22CB-3C36-777D261A23A8}"/>
            </a:ext>
          </a:extLst>
        </xdr:cNvPr>
        <xdr:cNvPicPr>
          <a:picLocks noChangeAspect="1"/>
        </xdr:cNvPicPr>
      </xdr:nvPicPr>
      <xdr:blipFill>
        <a:blip xmlns:r="http://schemas.openxmlformats.org/officeDocument/2006/relationships" r:embed="rId1"/>
        <a:stretch>
          <a:fillRect/>
        </a:stretch>
      </xdr:blipFill>
      <xdr:spPr>
        <a:xfrm>
          <a:off x="0" y="0"/>
          <a:ext cx="3514286" cy="2190476"/>
        </a:xfrm>
        <a:prstGeom prst="rect">
          <a:avLst/>
        </a:prstGeom>
      </xdr:spPr>
    </xdr:pic>
    <xdr:clientData/>
  </xdr:twoCellAnchor>
  <xdr:twoCellAnchor editAs="oneCell">
    <xdr:from>
      <xdr:col>0</xdr:col>
      <xdr:colOff>0</xdr:colOff>
      <xdr:row>12</xdr:row>
      <xdr:rowOff>104775</xdr:rowOff>
    </xdr:from>
    <xdr:to>
      <xdr:col>5</xdr:col>
      <xdr:colOff>123381</xdr:colOff>
      <xdr:row>30</xdr:row>
      <xdr:rowOff>142484</xdr:rowOff>
    </xdr:to>
    <xdr:pic>
      <xdr:nvPicPr>
        <xdr:cNvPr id="3" name="图片 2">
          <a:extLst>
            <a:ext uri="{FF2B5EF4-FFF2-40B4-BE49-F238E27FC236}">
              <a16:creationId xmlns:a16="http://schemas.microsoft.com/office/drawing/2014/main" id="{57F73725-90D2-A3ED-5A96-F5029EE8DDBB}"/>
            </a:ext>
          </a:extLst>
        </xdr:cNvPr>
        <xdr:cNvPicPr>
          <a:picLocks noChangeAspect="1"/>
        </xdr:cNvPicPr>
      </xdr:nvPicPr>
      <xdr:blipFill>
        <a:blip xmlns:r="http://schemas.openxmlformats.org/officeDocument/2006/relationships" r:embed="rId2"/>
        <a:stretch>
          <a:fillRect/>
        </a:stretch>
      </xdr:blipFill>
      <xdr:spPr>
        <a:xfrm>
          <a:off x="0" y="2162175"/>
          <a:ext cx="3552381" cy="3123809"/>
        </a:xfrm>
        <a:prstGeom prst="rect">
          <a:avLst/>
        </a:prstGeom>
      </xdr:spPr>
    </xdr:pic>
    <xdr:clientData/>
  </xdr:twoCellAnchor>
  <xdr:twoCellAnchor editAs="oneCell">
    <xdr:from>
      <xdr:col>9</xdr:col>
      <xdr:colOff>19050</xdr:colOff>
      <xdr:row>0</xdr:row>
      <xdr:rowOff>0</xdr:rowOff>
    </xdr:from>
    <xdr:to>
      <xdr:col>14</xdr:col>
      <xdr:colOff>85288</xdr:colOff>
      <xdr:row>7</xdr:row>
      <xdr:rowOff>85564</xdr:rowOff>
    </xdr:to>
    <xdr:pic>
      <xdr:nvPicPr>
        <xdr:cNvPr id="4" name="图片 3">
          <a:extLst>
            <a:ext uri="{FF2B5EF4-FFF2-40B4-BE49-F238E27FC236}">
              <a16:creationId xmlns:a16="http://schemas.microsoft.com/office/drawing/2014/main" id="{A2EB0C90-31E9-4CD5-A8A4-8B068030A36B}"/>
            </a:ext>
          </a:extLst>
        </xdr:cNvPr>
        <xdr:cNvPicPr>
          <a:picLocks noChangeAspect="1"/>
        </xdr:cNvPicPr>
      </xdr:nvPicPr>
      <xdr:blipFill>
        <a:blip xmlns:r="http://schemas.openxmlformats.org/officeDocument/2006/relationships" r:embed="rId3"/>
        <a:stretch>
          <a:fillRect/>
        </a:stretch>
      </xdr:blipFill>
      <xdr:spPr>
        <a:xfrm>
          <a:off x="6191250" y="0"/>
          <a:ext cx="3495238" cy="1285714"/>
        </a:xfrm>
        <a:prstGeom prst="rect">
          <a:avLst/>
        </a:prstGeom>
      </xdr:spPr>
    </xdr:pic>
    <xdr:clientData/>
  </xdr:twoCellAnchor>
  <xdr:twoCellAnchor editAs="oneCell">
    <xdr:from>
      <xdr:col>9</xdr:col>
      <xdr:colOff>9525</xdr:colOff>
      <xdr:row>7</xdr:row>
      <xdr:rowOff>133350</xdr:rowOff>
    </xdr:from>
    <xdr:to>
      <xdr:col>13</xdr:col>
      <xdr:colOff>647277</xdr:colOff>
      <xdr:row>20</xdr:row>
      <xdr:rowOff>75929</xdr:rowOff>
    </xdr:to>
    <xdr:pic>
      <xdr:nvPicPr>
        <xdr:cNvPr id="5" name="图片 4">
          <a:extLst>
            <a:ext uri="{FF2B5EF4-FFF2-40B4-BE49-F238E27FC236}">
              <a16:creationId xmlns:a16="http://schemas.microsoft.com/office/drawing/2014/main" id="{D9961E23-4A50-F08A-07F4-A7C26D3D3216}"/>
            </a:ext>
          </a:extLst>
        </xdr:cNvPr>
        <xdr:cNvPicPr>
          <a:picLocks noChangeAspect="1"/>
        </xdr:cNvPicPr>
      </xdr:nvPicPr>
      <xdr:blipFill>
        <a:blip xmlns:r="http://schemas.openxmlformats.org/officeDocument/2006/relationships" r:embed="rId4"/>
        <a:stretch>
          <a:fillRect/>
        </a:stretch>
      </xdr:blipFill>
      <xdr:spPr>
        <a:xfrm>
          <a:off x="6181725" y="1333500"/>
          <a:ext cx="3380952" cy="21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628650</xdr:colOff>
      <xdr:row>0</xdr:row>
      <xdr:rowOff>0</xdr:rowOff>
    </xdr:from>
    <xdr:to>
      <xdr:col>21</xdr:col>
      <xdr:colOff>151517</xdr:colOff>
      <xdr:row>37</xdr:row>
      <xdr:rowOff>18255</xdr:rowOff>
    </xdr:to>
    <xdr:pic>
      <xdr:nvPicPr>
        <xdr:cNvPr id="2" name="图片 1">
          <a:extLst>
            <a:ext uri="{FF2B5EF4-FFF2-40B4-BE49-F238E27FC236}">
              <a16:creationId xmlns:a16="http://schemas.microsoft.com/office/drawing/2014/main" id="{9340B913-9F34-A430-7F14-F1384472ED74}"/>
            </a:ext>
          </a:extLst>
        </xdr:cNvPr>
        <xdr:cNvPicPr>
          <a:picLocks noChangeAspect="1"/>
        </xdr:cNvPicPr>
      </xdr:nvPicPr>
      <xdr:blipFill>
        <a:blip xmlns:r="http://schemas.openxmlformats.org/officeDocument/2006/relationships" r:embed="rId1"/>
        <a:stretch>
          <a:fillRect/>
        </a:stretch>
      </xdr:blipFill>
      <xdr:spPr>
        <a:xfrm>
          <a:off x="7486650" y="0"/>
          <a:ext cx="7066667" cy="6361905"/>
        </a:xfrm>
        <a:prstGeom prst="rect">
          <a:avLst/>
        </a:prstGeom>
      </xdr:spPr>
    </xdr:pic>
    <xdr:clientData/>
  </xdr:twoCellAnchor>
  <xdr:twoCellAnchor editAs="oneCell">
    <xdr:from>
      <xdr:col>0</xdr:col>
      <xdr:colOff>0</xdr:colOff>
      <xdr:row>0</xdr:row>
      <xdr:rowOff>0</xdr:rowOff>
    </xdr:from>
    <xdr:to>
      <xdr:col>10</xdr:col>
      <xdr:colOff>389619</xdr:colOff>
      <xdr:row>32</xdr:row>
      <xdr:rowOff>151695</xdr:rowOff>
    </xdr:to>
    <xdr:pic>
      <xdr:nvPicPr>
        <xdr:cNvPr id="3" name="图片 2">
          <a:extLst>
            <a:ext uri="{FF2B5EF4-FFF2-40B4-BE49-F238E27FC236}">
              <a16:creationId xmlns:a16="http://schemas.microsoft.com/office/drawing/2014/main" id="{B0CBD1CF-3E86-D058-186A-29D1A0B45EA3}"/>
            </a:ext>
          </a:extLst>
        </xdr:cNvPr>
        <xdr:cNvPicPr>
          <a:picLocks noChangeAspect="1"/>
        </xdr:cNvPicPr>
      </xdr:nvPicPr>
      <xdr:blipFill>
        <a:blip xmlns:r="http://schemas.openxmlformats.org/officeDocument/2006/relationships" r:embed="rId2"/>
        <a:stretch>
          <a:fillRect/>
        </a:stretch>
      </xdr:blipFill>
      <xdr:spPr>
        <a:xfrm>
          <a:off x="0" y="0"/>
          <a:ext cx="7247619" cy="5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25\2025&#35810;&#20215;\11&#26376;\&#27665;&#29983;&#38134;&#34892;&#20013;&#22269;&#22823;&#38498;&#35810;&#20215;\&#27979;&#31639;-&#20013;&#22269;&#22823;&#38498;11&#12289;12&#21495;&#27004;.xlsx" TargetMode="External"/><Relationship Id="rId1" Type="http://schemas.openxmlformats.org/officeDocument/2006/relationships/externalLinkPath" Target="/2025/2025&#35810;&#20215;/11&#26376;/&#27665;&#29983;&#38134;&#34892;&#20013;&#22269;&#22823;&#38498;&#35810;&#20215;/&#27979;&#31639;-&#20013;&#22269;&#22823;&#38498;11&#12289;12&#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sheet1 (2)"/>
      <sheetName val="Sheet1"/>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4">
          <cell r="B4" t="str">
            <v>昌平区顺沙路58号院1号</v>
          </cell>
          <cell r="D4">
            <v>1118.68</v>
          </cell>
          <cell r="E4">
            <v>789.95</v>
          </cell>
        </row>
        <row r="5">
          <cell r="B5" t="str">
            <v>昌平区顺沙路58号院2号</v>
          </cell>
          <cell r="D5">
            <v>742.75</v>
          </cell>
          <cell r="E5">
            <v>490.04</v>
          </cell>
        </row>
        <row r="6">
          <cell r="B6" t="str">
            <v>昌平区顺沙路58号院3号</v>
          </cell>
          <cell r="D6">
            <v>742.75</v>
          </cell>
          <cell r="E6">
            <v>489.01</v>
          </cell>
        </row>
        <row r="7">
          <cell r="B7" t="str">
            <v>昌平区顺沙路58号院4号</v>
          </cell>
          <cell r="D7">
            <v>671.72</v>
          </cell>
          <cell r="E7">
            <v>0</v>
          </cell>
        </row>
        <row r="8">
          <cell r="B8" t="str">
            <v>昌平区顺沙路58号院5号</v>
          </cell>
          <cell r="D8">
            <v>598.38</v>
          </cell>
          <cell r="E8">
            <v>383.44</v>
          </cell>
        </row>
        <row r="9">
          <cell r="B9" t="str">
            <v>昌平区顺沙路58号院6号</v>
          </cell>
          <cell r="D9">
            <v>742.75</v>
          </cell>
          <cell r="E9">
            <v>490.04</v>
          </cell>
        </row>
        <row r="10">
          <cell r="B10" t="str">
            <v>昌平区顺沙路58号院7号</v>
          </cell>
          <cell r="D10">
            <v>742.75</v>
          </cell>
          <cell r="E10">
            <v>490.04</v>
          </cell>
        </row>
        <row r="11">
          <cell r="B11" t="str">
            <v>昌平区顺沙路58号院8号</v>
          </cell>
          <cell r="D11">
            <v>1118.68</v>
          </cell>
          <cell r="E11">
            <v>789.95</v>
          </cell>
        </row>
        <row r="12">
          <cell r="B12" t="str">
            <v>昌平区顺沙路58号院9号</v>
          </cell>
          <cell r="D12">
            <v>1118.68</v>
          </cell>
          <cell r="E12">
            <v>789.95</v>
          </cell>
        </row>
        <row r="13">
          <cell r="B13" t="str">
            <v>昌平区顺沙路58号院10号</v>
          </cell>
          <cell r="D13">
            <v>742.75</v>
          </cell>
          <cell r="E13">
            <v>490.04</v>
          </cell>
        </row>
        <row r="14">
          <cell r="B14" t="str">
            <v>昌平区顺沙路58号院11号</v>
          </cell>
          <cell r="C14">
            <v>1232.79</v>
          </cell>
          <cell r="D14">
            <v>742.75</v>
          </cell>
          <cell r="E14">
            <v>490.04</v>
          </cell>
        </row>
        <row r="15">
          <cell r="B15" t="str">
            <v>昌平区顺沙路58号院12号</v>
          </cell>
          <cell r="C15">
            <v>1232.79</v>
          </cell>
          <cell r="D15">
            <v>742.75</v>
          </cell>
          <cell r="E15">
            <v>490.04</v>
          </cell>
        </row>
        <row r="16">
          <cell r="B16" t="str">
            <v>昌平区顺沙路58号院13号</v>
          </cell>
          <cell r="D16">
            <v>742.75</v>
          </cell>
          <cell r="E16">
            <v>490.04</v>
          </cell>
        </row>
        <row r="17">
          <cell r="B17" t="str">
            <v>昌平区顺沙路58号院14号</v>
          </cell>
          <cell r="D17">
            <v>742.75</v>
          </cell>
          <cell r="E17">
            <v>490.04</v>
          </cell>
        </row>
        <row r="18">
          <cell r="B18" t="str">
            <v>昌平区顺沙路58号院15号</v>
          </cell>
          <cell r="D18">
            <v>742.75</v>
          </cell>
          <cell r="E18">
            <v>490.04</v>
          </cell>
        </row>
        <row r="19">
          <cell r="B19" t="str">
            <v>昌平区顺沙路58号院16号</v>
          </cell>
          <cell r="D19">
            <v>1129.8800000000001</v>
          </cell>
          <cell r="E19">
            <v>736.24</v>
          </cell>
        </row>
        <row r="20">
          <cell r="B20" t="str">
            <v>昌平区顺沙路58号院17号</v>
          </cell>
          <cell r="D20">
            <v>742.75</v>
          </cell>
          <cell r="E20">
            <v>488.79</v>
          </cell>
        </row>
        <row r="21">
          <cell r="B21" t="str">
            <v>昌平区顺沙路58号院18号</v>
          </cell>
          <cell r="D21">
            <v>742.75</v>
          </cell>
          <cell r="E21">
            <v>488.79</v>
          </cell>
        </row>
        <row r="22">
          <cell r="B22" t="str">
            <v>昌平区顺沙路58号院19号</v>
          </cell>
          <cell r="D22">
            <v>749.43</v>
          </cell>
          <cell r="E22">
            <v>490.04</v>
          </cell>
        </row>
        <row r="23">
          <cell r="B23" t="str">
            <v>昌平区顺沙路58号院B101
至B121、B1001至B1029号</v>
          </cell>
          <cell r="D23">
            <v>0</v>
          </cell>
          <cell r="E23">
            <v>4554.43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受贵公司委托，我公司对进行了预评估。</v>
      </c>
    </row>
    <row r="7" spans="1:2">
      <c r="A7" s="1116" t="s">
        <v>566</v>
      </c>
      <c r="B7" s="1117" t="str">
        <f>'预评函-1'!A7</f>
        <v>估价对象为房地产，为所有。根据《国有土地使用证》[]，估价对象（分摊）出让国有建设用地使用权面积为891.05平方米，建筑面积为1232.79平方米。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估价对象为房地产,属开发建设的，该项目尚在开发建设中。根据《国有土地使用证》[]，估价对象（分摊）出让国有建设用地使用权面积为891.05平方米，规划建筑面积为1232.79平方米。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2025年11月25日</v>
      </c>
    </row>
    <row r="13" spans="1:2">
      <c r="A13" s="1116" t="s">
        <v>529</v>
      </c>
      <c r="B13" s="1117" t="str">
        <f>'预评函-1'!A18</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房地产</v>
      </c>
    </row>
    <row r="42" spans="1:2">
      <c r="A42" s="1116" t="s">
        <v>590</v>
      </c>
      <c r="B42" s="1117" t="str">
        <f>'预评函-3'!B2</f>
        <v>建筑面积</v>
      </c>
    </row>
    <row r="43" spans="1:2">
      <c r="A43" s="1116" t="s">
        <v>591</v>
      </c>
      <c r="B43" s="1117">
        <f>'预评函-3'!B4</f>
        <v>1232.79</v>
      </c>
    </row>
    <row r="44" spans="1:2">
      <c r="A44" s="1116" t="s">
        <v>575</v>
      </c>
      <c r="B44" s="1117" t="str">
        <f>'预评函-3'!C2</f>
        <v>(分摊)土地面积</v>
      </c>
    </row>
    <row r="45" spans="1:2">
      <c r="A45" s="1116" t="s">
        <v>547</v>
      </c>
      <c r="B45" s="1117">
        <f>'预评函-3'!C4</f>
        <v>891.05</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2136</v>
      </c>
      <c r="B2" s="2154">
        <f ca="1">TODAY()</f>
        <v>45987</v>
      </c>
      <c r="C2" s="2155" t="s">
        <v>2137</v>
      </c>
      <c r="D2" s="2155"/>
      <c r="E2" s="2155"/>
      <c r="F2" s="2151"/>
      <c r="G2" s="2151"/>
      <c r="H2" s="2151"/>
    </row>
    <row r="3" spans="1:8" ht="24" customHeight="1">
      <c r="A3" s="2156" t="s">
        <v>2138</v>
      </c>
      <c r="B3" s="1216" t="s">
        <v>2139</v>
      </c>
      <c r="C3" s="1216" t="s">
        <v>2140</v>
      </c>
      <c r="D3" s="2157" t="s">
        <v>2141</v>
      </c>
      <c r="E3" s="2158" t="s">
        <v>2142</v>
      </c>
      <c r="F3" s="1216" t="s">
        <v>2143</v>
      </c>
      <c r="G3" s="1216" t="s">
        <v>2140</v>
      </c>
      <c r="H3" s="2157" t="s">
        <v>2144</v>
      </c>
    </row>
    <row r="4" spans="1:8" ht="24" customHeight="1">
      <c r="A4" s="1216" t="s">
        <v>2145</v>
      </c>
      <c r="B4" s="1216" t="str">
        <f ca="1">IF(C4&lt;B2,"已过期",1119970066)</f>
        <v>已过期</v>
      </c>
      <c r="C4" s="2159">
        <v>45937</v>
      </c>
      <c r="D4" s="2160" t="str">
        <f ca="1">A4&amp;"（注册号："&amp;B4&amp;"）"</f>
        <v>梁津（注册号：已过期）</v>
      </c>
      <c r="E4" s="2161" t="s">
        <v>2145</v>
      </c>
      <c r="F4" s="1216">
        <f ca="1">IF(G4&lt;B2,"已过期",96010014)</f>
        <v>96010014</v>
      </c>
      <c r="G4" s="2162">
        <v>47118</v>
      </c>
      <c r="H4" s="2163" t="str">
        <f ca="1">E4&amp;"（注册号："&amp;F4&amp;"）"</f>
        <v>梁津（注册号：96010014）</v>
      </c>
    </row>
    <row r="5" spans="1:8" ht="24" customHeight="1">
      <c r="A5" s="1216" t="s">
        <v>2146</v>
      </c>
      <c r="B5" s="1216" t="str">
        <f ca="1">IF(C5&lt;B2,"已过期",1119970111)</f>
        <v>已过期</v>
      </c>
      <c r="C5" s="2159">
        <v>45937</v>
      </c>
      <c r="D5" s="2160" t="str">
        <f t="shared" ref="D5:D15" ca="1" si="0">A5&amp;"（注册号："&amp;B5&amp;"）"</f>
        <v>叶凌（注册号：已过期）</v>
      </c>
      <c r="E5" s="2161" t="s">
        <v>2146</v>
      </c>
      <c r="F5" s="1216">
        <f ca="1">IF(G5&lt;B2,"已过期",94010078)</f>
        <v>94010078</v>
      </c>
      <c r="G5" s="2162">
        <v>46387</v>
      </c>
      <c r="H5" s="2163" t="str">
        <f t="shared" ref="H5:H16" ca="1" si="1">E5&amp;"（注册号："&amp;F5&amp;"）"</f>
        <v>叶凌（注册号：94010078）</v>
      </c>
    </row>
    <row r="6" spans="1:8" ht="24" customHeight="1">
      <c r="A6" s="1216" t="s">
        <v>2147</v>
      </c>
      <c r="B6" s="1216" t="str">
        <f ca="1">IF(C6&lt;B2,"已过期",1120050019)</f>
        <v>已过期</v>
      </c>
      <c r="C6" s="2159">
        <v>45410</v>
      </c>
      <c r="D6" s="2160" t="str">
        <f t="shared" ca="1" si="0"/>
        <v>王鹏（注册号：已过期）</v>
      </c>
      <c r="E6" s="2161" t="s">
        <v>2147</v>
      </c>
      <c r="F6" s="1216">
        <f ca="1">IF(G6&lt;B2,"已过期",2002110030)</f>
        <v>2002110030</v>
      </c>
      <c r="G6" s="2162">
        <v>46387</v>
      </c>
      <c r="H6" s="2163" t="str">
        <f t="shared" ca="1" si="1"/>
        <v>王鹏（注册号：2002110030）</v>
      </c>
    </row>
    <row r="7" spans="1:8" ht="24" customHeight="1">
      <c r="A7" s="1216" t="s">
        <v>2148</v>
      </c>
      <c r="B7" s="1216" t="str">
        <f ca="1">IF(C7&lt;B2,"已过期",1120000080)</f>
        <v>已过期</v>
      </c>
      <c r="C7" s="2159">
        <v>45937</v>
      </c>
      <c r="D7" s="2160" t="str">
        <f t="shared" ca="1" si="0"/>
        <v>欧红伟（注册号：已过期）</v>
      </c>
      <c r="E7" s="2161" t="s">
        <v>2148</v>
      </c>
      <c r="F7" s="1216">
        <f ca="1">IF(G7&lt;B2,"已过期",2000110082)</f>
        <v>2000110082</v>
      </c>
      <c r="G7" s="2162">
        <v>46387</v>
      </c>
      <c r="H7" s="2163" t="str">
        <f t="shared" ca="1" si="1"/>
        <v>欧红伟（注册号：2000110082）</v>
      </c>
    </row>
    <row r="8" spans="1:8" ht="24" customHeight="1">
      <c r="A8" s="1216" t="s">
        <v>2149</v>
      </c>
      <c r="B8" s="1216" t="str">
        <f ca="1">IF(C8&lt;B2,"已过期",1419970001)</f>
        <v>已过期</v>
      </c>
      <c r="C8" s="2159">
        <v>45937</v>
      </c>
      <c r="D8" s="2160" t="str">
        <f t="shared" ca="1" si="0"/>
        <v>吴薇（注册号：已过期）</v>
      </c>
      <c r="E8" s="2161" t="s">
        <v>2149</v>
      </c>
      <c r="F8" s="1216">
        <f ca="1">IF(G8&lt;B2,"已过期",2002110125)</f>
        <v>2002110125</v>
      </c>
      <c r="G8" s="2162">
        <v>47118</v>
      </c>
      <c r="H8" s="2163" t="str">
        <f t="shared" ca="1" si="1"/>
        <v>吴薇（注册号：2002110125）</v>
      </c>
    </row>
    <row r="9" spans="1:8" ht="24" customHeight="1">
      <c r="A9" s="1216" t="s">
        <v>2150</v>
      </c>
      <c r="B9" s="1216" t="str">
        <f ca="1">IF(C9&lt;B2,"已过期",1120060040)</f>
        <v>已过期</v>
      </c>
      <c r="C9" s="2164">
        <v>45592</v>
      </c>
      <c r="D9" s="2160" t="str">
        <f t="shared" ca="1" si="0"/>
        <v>陈颖（注册号：已过期）</v>
      </c>
      <c r="E9" s="2161" t="s">
        <v>2150</v>
      </c>
      <c r="F9" s="1216">
        <f ca="1">IF(G9&lt;B2,"已过期",2004110096)</f>
        <v>2004110096</v>
      </c>
      <c r="G9" s="2162">
        <v>47118</v>
      </c>
      <c r="H9" s="2163" t="str">
        <f t="shared" ca="1" si="1"/>
        <v>陈颖（注册号：2004110096）</v>
      </c>
    </row>
    <row r="10" spans="1:8" ht="24" customHeight="1">
      <c r="A10" s="1216" t="s">
        <v>2151</v>
      </c>
      <c r="B10" s="1216" t="str">
        <f ca="1">IF(C10&lt;B2,"已过期",1120100036)</f>
        <v>已过期</v>
      </c>
      <c r="C10" s="2164">
        <v>45752</v>
      </c>
      <c r="D10" s="2160" t="str">
        <f t="shared" ca="1" si="0"/>
        <v>崔锴（注册号：已过期）</v>
      </c>
      <c r="E10" s="2161" t="s">
        <v>2151</v>
      </c>
      <c r="F10" s="1216">
        <f ca="1">IF(G10&lt;B2,"已过期",2010110070)</f>
        <v>2010110070</v>
      </c>
      <c r="G10" s="2162">
        <v>47907</v>
      </c>
      <c r="H10" s="2163" t="str">
        <f t="shared" ca="1" si="1"/>
        <v>崔锴（注册号：2010110070）</v>
      </c>
    </row>
    <row r="11" spans="1:8" ht="24" customHeight="1">
      <c r="A11" s="1216" t="s">
        <v>2152</v>
      </c>
      <c r="B11" s="1216" t="str">
        <f ca="1">IF(C11&lt;B2,"已过期",1120070131)</f>
        <v>已过期</v>
      </c>
      <c r="C11" s="2159">
        <v>45937</v>
      </c>
      <c r="D11" s="2160" t="str">
        <f t="shared" ca="1" si="0"/>
        <v>郑燚（注册号：已过期）</v>
      </c>
      <c r="E11" s="2161" t="s">
        <v>2152</v>
      </c>
      <c r="F11" s="1216">
        <f ca="1">IF(G11&lt;B2,"已过期",2014110011)</f>
        <v>2014110011</v>
      </c>
      <c r="G11" s="2162">
        <v>49302</v>
      </c>
      <c r="H11" s="2163" t="str">
        <f t="shared" ca="1" si="1"/>
        <v>郑燚（注册号：2014110011）</v>
      </c>
    </row>
    <row r="12" spans="1:8" ht="24" customHeight="1">
      <c r="A12" s="1216" t="s">
        <v>2153</v>
      </c>
      <c r="B12" s="1216" t="str">
        <f ca="1">IF(C12&lt;B2,"已过期",1120040230)</f>
        <v>已过期</v>
      </c>
      <c r="C12" s="2164">
        <v>45937</v>
      </c>
      <c r="D12" s="2160" t="str">
        <f t="shared" ca="1" si="0"/>
        <v>苏海（注册号：已过期）</v>
      </c>
      <c r="E12" s="2161" t="s">
        <v>2153</v>
      </c>
      <c r="F12" s="1216">
        <f ca="1">IF(G12&lt;B2,"已过期",98030020)</f>
        <v>98030020</v>
      </c>
      <c r="G12" s="2162">
        <v>47118</v>
      </c>
      <c r="H12" s="2163" t="str">
        <f t="shared" ca="1" si="1"/>
        <v>苏海（注册号：98030020）</v>
      </c>
    </row>
    <row r="13" spans="1:8" ht="24" customHeight="1">
      <c r="A13" s="1216" t="s">
        <v>2154</v>
      </c>
      <c r="B13" s="1216" t="str">
        <f ca="1">IF(C13&lt;B2,"已过期",1120020033)</f>
        <v>已过期</v>
      </c>
      <c r="C13" s="2159">
        <v>45375</v>
      </c>
      <c r="D13" s="2160" t="str">
        <f t="shared" ca="1" si="0"/>
        <v>刘敬东（注册号：已过期）</v>
      </c>
      <c r="E13" s="2161" t="s">
        <v>2154</v>
      </c>
      <c r="F13" s="1216">
        <f ca="1">IF(G13&lt;B2,"已过期",2000110137)</f>
        <v>2000110137</v>
      </c>
      <c r="G13" s="2162">
        <v>46387</v>
      </c>
      <c r="H13" s="2163" t="str">
        <f t="shared" ca="1" si="1"/>
        <v>刘敬东（注册号：2000110137）</v>
      </c>
    </row>
    <row r="14" spans="1:8" ht="24" customHeight="1">
      <c r="A14" s="1216" t="s">
        <v>2155</v>
      </c>
      <c r="B14" s="1216" t="str">
        <f ca="1">IF(C14&lt;B2,"已过期",1119980106)</f>
        <v>已过期</v>
      </c>
      <c r="C14" s="2164">
        <v>44969</v>
      </c>
      <c r="D14" s="2160" t="str">
        <f t="shared" ca="1" si="0"/>
        <v>刘俊财（注册号：已过期）</v>
      </c>
      <c r="E14" s="2161" t="s">
        <v>2155</v>
      </c>
      <c r="F14" s="1216">
        <f ca="1">IF(G14&lt;B2,"已过期",96010063)</f>
        <v>96010063</v>
      </c>
      <c r="G14" s="2162">
        <v>47483</v>
      </c>
      <c r="H14" s="2163" t="str">
        <f t="shared" ca="1" si="1"/>
        <v>刘俊财（注册号：96010063）</v>
      </c>
    </row>
    <row r="15" spans="1:8" ht="24" customHeight="1">
      <c r="A15" s="1216" t="s">
        <v>2425</v>
      </c>
      <c r="B15" s="1216">
        <v>1120210056</v>
      </c>
      <c r="C15" s="2164">
        <v>45410</v>
      </c>
      <c r="D15" s="2160" t="str">
        <f t="shared" si="0"/>
        <v>宁小鳗（注册号：1120210056）</v>
      </c>
      <c r="E15" s="2161" t="s">
        <v>2156</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80" t="s">
        <v>2157</v>
      </c>
      <c r="B17" s="3280"/>
      <c r="C17" s="3280"/>
      <c r="D17" s="3280"/>
      <c r="E17" s="3280"/>
      <c r="F17" s="3280"/>
      <c r="G17" s="3280"/>
      <c r="H17" s="3280"/>
    </row>
    <row r="18" spans="1:8" ht="24" customHeight="1">
      <c r="A18" s="3281" t="s">
        <v>2158</v>
      </c>
      <c r="B18" s="3281"/>
      <c r="C18" s="3281"/>
      <c r="D18" s="2157"/>
      <c r="E18" s="3282" t="s">
        <v>2159</v>
      </c>
      <c r="F18" s="3281"/>
      <c r="G18" s="3281"/>
    </row>
    <row r="19" spans="1:8" s="2167" customFormat="1" ht="24" customHeight="1">
      <c r="A19" s="2166" t="s">
        <v>2160</v>
      </c>
      <c r="B19" s="1216" t="s">
        <v>2161</v>
      </c>
      <c r="C19" s="1216" t="s">
        <v>2140</v>
      </c>
      <c r="D19" s="2157"/>
      <c r="E19" s="2161" t="s">
        <v>2160</v>
      </c>
      <c r="F19" s="1216" t="s">
        <v>2161</v>
      </c>
      <c r="G19" s="1216" t="s">
        <v>2140</v>
      </c>
    </row>
    <row r="20" spans="1:8" s="2167" customFormat="1" ht="24" customHeight="1">
      <c r="A20" s="2168" t="s">
        <v>2162</v>
      </c>
      <c r="B20" s="2168" t="s">
        <v>2163</v>
      </c>
      <c r="C20" s="2162">
        <v>45898</v>
      </c>
      <c r="D20" s="2169"/>
      <c r="E20" s="2170" t="s">
        <v>2164</v>
      </c>
      <c r="F20" s="2173" t="s">
        <v>2426</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8" width="15.125" style="1442" customWidth="1"/>
    <col min="29" max="16384" width="9" style="1402"/>
  </cols>
  <sheetData>
    <row r="1" spans="1:28" s="1437" customFormat="1" ht="40.5">
      <c r="A1" s="1433" t="s">
        <v>44</v>
      </c>
      <c r="B1" s="1434" t="s">
        <v>977</v>
      </c>
      <c r="C1" s="1435" t="s">
        <v>314</v>
      </c>
      <c r="D1" s="1436" t="s">
        <v>3337</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c r="X1" s="1435" t="s">
        <v>673</v>
      </c>
      <c r="Y1" s="1435" t="s">
        <v>21</v>
      </c>
      <c r="Z1" s="1435" t="s">
        <v>3391</v>
      </c>
      <c r="AA1" s="1435" t="s">
        <v>3390</v>
      </c>
      <c r="AB1" s="1435" t="s">
        <v>3</v>
      </c>
    </row>
    <row r="2" spans="1:28">
      <c r="A2" s="1438" t="s">
        <v>19</v>
      </c>
      <c r="B2" s="1438" t="s">
        <v>993</v>
      </c>
      <c r="C2" s="1439" t="s">
        <v>315</v>
      </c>
      <c r="D2" s="1440" t="s">
        <v>994</v>
      </c>
      <c r="E2" s="1440" t="s">
        <v>995</v>
      </c>
      <c r="F2" s="1440" t="s">
        <v>996</v>
      </c>
      <c r="G2" s="1440">
        <v>20</v>
      </c>
      <c r="H2" s="1440" t="s">
        <v>996</v>
      </c>
      <c r="I2" s="1440" t="s">
        <v>3323</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c r="X2" s="1442" t="s">
        <v>2427</v>
      </c>
      <c r="Y2" s="1442" t="s">
        <v>3397</v>
      </c>
      <c r="Z2" s="1442" t="s">
        <v>2440</v>
      </c>
      <c r="AA2" s="1442" t="s">
        <v>3398</v>
      </c>
      <c r="AB2" s="1442" t="s">
        <v>2467</v>
      </c>
    </row>
    <row r="3" spans="1:28">
      <c r="A3" s="1438" t="s">
        <v>1001</v>
      </c>
      <c r="B3" s="1441" t="s">
        <v>448</v>
      </c>
      <c r="C3" s="1439" t="s">
        <v>316</v>
      </c>
      <c r="D3" s="1440" t="s">
        <v>1002</v>
      </c>
      <c r="E3" s="1440" t="s">
        <v>13</v>
      </c>
      <c r="F3" s="1440" t="s">
        <v>1003</v>
      </c>
      <c r="G3" s="1440">
        <v>40</v>
      </c>
      <c r="H3" s="1440" t="s">
        <v>1003</v>
      </c>
      <c r="I3" s="1440" t="s">
        <v>3324</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c r="X3" s="1442" t="s">
        <v>2429</v>
      </c>
      <c r="Z3" s="1442" t="s">
        <v>2442</v>
      </c>
      <c r="AB3" s="1442" t="s">
        <v>2469</v>
      </c>
    </row>
    <row r="4" spans="1:28">
      <c r="A4" s="1438" t="s">
        <v>1008</v>
      </c>
      <c r="B4" s="1438" t="s">
        <v>1009</v>
      </c>
      <c r="C4" s="1439" t="s">
        <v>317</v>
      </c>
      <c r="D4" s="1440" t="s">
        <v>389</v>
      </c>
      <c r="E4" s="1440" t="s">
        <v>1010</v>
      </c>
      <c r="F4" s="1440" t="s">
        <v>1011</v>
      </c>
      <c r="G4" s="1440">
        <v>50</v>
      </c>
      <c r="H4" s="1440" t="s">
        <v>1011</v>
      </c>
      <c r="I4" s="1440" t="s">
        <v>3325</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c r="X4" s="1442" t="s">
        <v>2431</v>
      </c>
      <c r="Z4" s="1442" t="s">
        <v>2444</v>
      </c>
      <c r="AB4" s="1442" t="s">
        <v>2471</v>
      </c>
    </row>
    <row r="5" spans="1:28">
      <c r="A5" s="1438" t="s">
        <v>1014</v>
      </c>
      <c r="B5" s="1438" t="s">
        <v>1015</v>
      </c>
      <c r="C5" s="1439" t="s">
        <v>318</v>
      </c>
      <c r="F5" s="1440" t="s">
        <v>1016</v>
      </c>
      <c r="G5" s="1440">
        <v>70</v>
      </c>
      <c r="H5" s="1440" t="s">
        <v>1017</v>
      </c>
      <c r="I5" s="1440" t="s">
        <v>3326</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c r="X5" s="1442" t="s">
        <v>2433</v>
      </c>
      <c r="Z5" s="1442" t="s">
        <v>2446</v>
      </c>
      <c r="AB5" s="1442" t="s">
        <v>3399</v>
      </c>
    </row>
    <row r="6" spans="1:28">
      <c r="A6" s="1438" t="s">
        <v>1020</v>
      </c>
      <c r="B6" s="1441" t="s">
        <v>449</v>
      </c>
      <c r="C6" s="1443" t="s">
        <v>24</v>
      </c>
      <c r="F6" s="1440" t="s">
        <v>1017</v>
      </c>
      <c r="H6" s="1440" t="s">
        <v>1021</v>
      </c>
      <c r="I6" s="1440" t="s">
        <v>3327</v>
      </c>
      <c r="K6" s="1440" t="s">
        <v>1022</v>
      </c>
      <c r="L6" s="1440" t="s">
        <v>1022</v>
      </c>
      <c r="M6" s="1440" t="s">
        <v>1022</v>
      </c>
      <c r="N6" s="1440" t="s">
        <v>1022</v>
      </c>
      <c r="O6" s="1440" t="s">
        <v>1022</v>
      </c>
      <c r="P6" s="1440" t="s">
        <v>1022</v>
      </c>
      <c r="Q6" s="1440" t="s">
        <v>1022</v>
      </c>
      <c r="R6" s="1440" t="s">
        <v>446</v>
      </c>
      <c r="S6" s="1440" t="s">
        <v>1022</v>
      </c>
      <c r="T6" s="1440"/>
      <c r="U6" s="1440" t="s">
        <v>1022</v>
      </c>
      <c r="W6" s="1440" t="s">
        <v>1022</v>
      </c>
      <c r="X6" s="1442" t="s">
        <v>2435</v>
      </c>
      <c r="Z6" s="1442" t="s">
        <v>2448</v>
      </c>
      <c r="AB6" s="1442" t="s">
        <v>2474</v>
      </c>
    </row>
    <row r="7" spans="1:28">
      <c r="A7" s="1438" t="s">
        <v>1023</v>
      </c>
      <c r="B7" s="1441" t="s">
        <v>450</v>
      </c>
      <c r="C7" s="1439" t="s">
        <v>25</v>
      </c>
      <c r="F7" s="1440" t="s">
        <v>1024</v>
      </c>
      <c r="H7" s="1440" t="s">
        <v>1025</v>
      </c>
      <c r="I7" s="1440" t="s">
        <v>3328</v>
      </c>
      <c r="X7" s="1442" t="s">
        <v>2437</v>
      </c>
      <c r="Z7" s="1442" t="s">
        <v>2450</v>
      </c>
      <c r="AB7" s="1442" t="s">
        <v>2476</v>
      </c>
    </row>
    <row r="8" spans="1:28">
      <c r="A8" s="1438" t="s">
        <v>1026</v>
      </c>
      <c r="B8" s="1438" t="s">
        <v>1027</v>
      </c>
      <c r="C8" s="1439" t="s">
        <v>319</v>
      </c>
      <c r="F8" s="1440" t="s">
        <v>1028</v>
      </c>
      <c r="H8" s="1440" t="s">
        <v>2565</v>
      </c>
      <c r="I8" s="1440" t="s">
        <v>3329</v>
      </c>
      <c r="X8" s="1442" t="s">
        <v>3400</v>
      </c>
      <c r="Z8" s="1442" t="s">
        <v>2452</v>
      </c>
      <c r="AB8" s="1442" t="s">
        <v>2478</v>
      </c>
    </row>
    <row r="9" spans="1:28">
      <c r="A9" s="1438" t="s">
        <v>1029</v>
      </c>
      <c r="B9" s="1438" t="s">
        <v>1030</v>
      </c>
      <c r="C9" s="1439" t="s">
        <v>320</v>
      </c>
      <c r="F9" s="1440" t="s">
        <v>1031</v>
      </c>
      <c r="H9" s="1440"/>
      <c r="I9" s="1442" t="s">
        <v>3330</v>
      </c>
      <c r="X9" s="1442" t="s">
        <v>3401</v>
      </c>
      <c r="Z9" s="1442" t="s">
        <v>2454</v>
      </c>
      <c r="AB9" s="1442" t="s">
        <v>2480</v>
      </c>
    </row>
    <row r="10" spans="1:28">
      <c r="A10" s="1438" t="s">
        <v>1032</v>
      </c>
      <c r="B10" s="1438" t="s">
        <v>1033</v>
      </c>
      <c r="C10" s="1439" t="s">
        <v>321</v>
      </c>
      <c r="F10" s="1440" t="s">
        <v>2566</v>
      </c>
      <c r="I10" s="1442" t="s">
        <v>3331</v>
      </c>
      <c r="Z10" s="1442" t="s">
        <v>2456</v>
      </c>
      <c r="AB10" s="1442" t="s">
        <v>2482</v>
      </c>
    </row>
    <row r="11" spans="1:28">
      <c r="A11" s="1438" t="s">
        <v>1034</v>
      </c>
      <c r="B11" s="1438" t="s">
        <v>1035</v>
      </c>
      <c r="C11" s="1439" t="s">
        <v>322</v>
      </c>
      <c r="F11" s="1440" t="s">
        <v>13</v>
      </c>
      <c r="I11" s="1442" t="s">
        <v>3332</v>
      </c>
      <c r="Z11" s="1442" t="s">
        <v>2458</v>
      </c>
      <c r="AB11" s="1442" t="s">
        <v>2484</v>
      </c>
    </row>
    <row r="12" spans="1:28">
      <c r="A12" s="1438" t="s">
        <v>1036</v>
      </c>
      <c r="B12" s="1438" t="s">
        <v>1037</v>
      </c>
      <c r="C12" s="1439" t="s">
        <v>323</v>
      </c>
      <c r="I12" s="1442" t="s">
        <v>3333</v>
      </c>
      <c r="Z12" s="1442" t="s">
        <v>2460</v>
      </c>
      <c r="AB12" s="1442" t="s">
        <v>2486</v>
      </c>
    </row>
    <row r="13" spans="1:28">
      <c r="A13" s="1438" t="s">
        <v>1038</v>
      </c>
      <c r="B13" s="1438" t="s">
        <v>1039</v>
      </c>
      <c r="C13" s="1439" t="s">
        <v>324</v>
      </c>
      <c r="I13" s="1442" t="s">
        <v>3334</v>
      </c>
      <c r="Z13" s="1442" t="s">
        <v>2462</v>
      </c>
    </row>
    <row r="14" spans="1:28">
      <c r="A14" s="1438" t="s">
        <v>1040</v>
      </c>
      <c r="B14" s="1438" t="s">
        <v>1041</v>
      </c>
      <c r="C14" s="1440" t="s">
        <v>13</v>
      </c>
      <c r="I14" s="1442" t="s">
        <v>3335</v>
      </c>
      <c r="Z14" s="1442" t="s">
        <v>2464</v>
      </c>
    </row>
    <row r="15" spans="1:28">
      <c r="A15" s="1438" t="s">
        <v>1042</v>
      </c>
      <c r="B15" s="1438" t="s">
        <v>1043</v>
      </c>
      <c r="C15" s="1439"/>
      <c r="I15" s="1442" t="s">
        <v>3336</v>
      </c>
    </row>
    <row r="16" spans="1:28">
      <c r="A16" s="1438" t="s">
        <v>1044</v>
      </c>
      <c r="B16" s="1438" t="s">
        <v>312</v>
      </c>
      <c r="C16" s="1439"/>
    </row>
    <row r="17" spans="1:3">
      <c r="A17" s="1438" t="s">
        <v>1045</v>
      </c>
      <c r="B17" s="1438" t="s">
        <v>2281</v>
      </c>
      <c r="C17" s="1439"/>
    </row>
    <row r="18" spans="1:3">
      <c r="A18" s="1438" t="s">
        <v>1046</v>
      </c>
      <c r="B18" s="1438" t="s">
        <v>2421</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8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444" t="s">
        <v>385</v>
      </c>
      <c r="C54" s="1442" t="s">
        <v>583</v>
      </c>
    </row>
    <row r="55" spans="1:4">
      <c r="A55" s="3283"/>
      <c r="B55" s="1444" t="s">
        <v>386</v>
      </c>
      <c r="C55" s="1442" t="s">
        <v>584</v>
      </c>
    </row>
    <row r="56" spans="1:4">
      <c r="A56" s="3283"/>
      <c r="B56" s="1444" t="s">
        <v>387</v>
      </c>
      <c r="C56" s="1442" t="s">
        <v>588</v>
      </c>
    </row>
    <row r="57" spans="1:4">
      <c r="A57" s="328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2488</v>
      </c>
      <c r="B1" s="2754"/>
      <c r="C1" s="2754"/>
      <c r="D1" s="2754"/>
      <c r="E1" s="2754"/>
      <c r="F1" s="2755"/>
      <c r="I1" s="3132" t="s">
        <v>2581</v>
      </c>
      <c r="J1" s="2780"/>
      <c r="K1" s="2780"/>
      <c r="L1" s="2780"/>
      <c r="M1" s="2780"/>
      <c r="N1" s="2965"/>
      <c r="O1" s="2965"/>
      <c r="P1" s="2965"/>
      <c r="Q1" s="2965"/>
      <c r="R1" s="2965"/>
    </row>
    <row r="2" spans="1:18">
      <c r="A2" s="2757"/>
      <c r="B2" s="2758"/>
      <c r="C2" s="2758"/>
      <c r="D2" s="2758"/>
      <c r="E2" s="2758"/>
      <c r="F2" s="2759"/>
      <c r="I2" s="3284" t="s">
        <v>2568</v>
      </c>
      <c r="J2" s="3284"/>
      <c r="K2" s="3284"/>
      <c r="L2" s="3284"/>
      <c r="M2" s="3284"/>
      <c r="N2" s="3284"/>
      <c r="O2" s="3284"/>
      <c r="P2" s="3284"/>
      <c r="Q2" s="3284"/>
      <c r="R2" s="3284"/>
    </row>
    <row r="3" spans="1:18">
      <c r="A3" s="2760" t="s">
        <v>2489</v>
      </c>
      <c r="B3" s="2761">
        <f>项目基本情况!D3</f>
        <v>45986</v>
      </c>
      <c r="C3" s="2763"/>
      <c r="D3" s="2763"/>
      <c r="E3" s="2763"/>
      <c r="F3" s="2759"/>
      <c r="I3" s="2775"/>
      <c r="J3" s="2775" t="s">
        <v>2572</v>
      </c>
      <c r="K3" s="2775" t="s">
        <v>2573</v>
      </c>
      <c r="L3" s="2775" t="s">
        <v>2574</v>
      </c>
      <c r="M3" s="2775" t="s">
        <v>2575</v>
      </c>
      <c r="N3" s="3133" t="s">
        <v>2576</v>
      </c>
      <c r="O3" s="3133" t="s">
        <v>2577</v>
      </c>
      <c r="P3" s="3133" t="s">
        <v>2578</v>
      </c>
      <c r="Q3" s="3133" t="s">
        <v>2579</v>
      </c>
      <c r="R3" s="3133" t="s">
        <v>2580</v>
      </c>
    </row>
    <row r="4" spans="1:18">
      <c r="A4" s="2760" t="s">
        <v>2490</v>
      </c>
      <c r="B4" s="2763" t="s">
        <v>2491</v>
      </c>
      <c r="C4" s="2763" t="s">
        <v>2492</v>
      </c>
      <c r="D4" s="2763" t="s">
        <v>2493</v>
      </c>
      <c r="E4" s="2763" t="s">
        <v>2494</v>
      </c>
      <c r="F4" s="2759"/>
      <c r="I4" s="2775" t="s">
        <v>2569</v>
      </c>
      <c r="J4" s="2775">
        <v>80</v>
      </c>
      <c r="K4" s="2775">
        <v>70</v>
      </c>
      <c r="L4" s="2775">
        <v>20</v>
      </c>
      <c r="M4" s="2775">
        <v>30</v>
      </c>
      <c r="N4" s="2763">
        <v>45</v>
      </c>
      <c r="O4" s="2763">
        <v>60</v>
      </c>
      <c r="P4" s="2763">
        <v>50</v>
      </c>
      <c r="Q4" s="2763">
        <v>20</v>
      </c>
      <c r="R4" s="2763">
        <v>375</v>
      </c>
    </row>
    <row r="5" spans="1:18">
      <c r="A5" s="2764">
        <v>40</v>
      </c>
      <c r="B5" s="2761">
        <v>46375</v>
      </c>
      <c r="C5" s="2763">
        <f>ROUNDDOWN(MIN((B5-B3)/365,A5),2)</f>
        <v>1.06</v>
      </c>
      <c r="D5" s="2765">
        <f>IF(ISERROR(ROUND(POWER(1+E5,A5-C5)*(POWER(1+E5,C5)-1)/(POWER(1+E5,A5)-1),3)),0,ROUND(POWER(1+E5,A5-C5)*(POWER(1+E5,C5)-1)/(POWER(1+E5,A5)-1),4))</f>
        <v>5.1400000000000001E-2</v>
      </c>
      <c r="E5" s="2766">
        <v>0.04</v>
      </c>
      <c r="F5" s="2759"/>
      <c r="I5" s="2775" t="s">
        <v>2570</v>
      </c>
      <c r="J5" s="2775">
        <v>70</v>
      </c>
      <c r="K5" s="2775">
        <v>60</v>
      </c>
      <c r="L5" s="2775">
        <v>15</v>
      </c>
      <c r="M5" s="2775">
        <v>25</v>
      </c>
      <c r="N5" s="2763">
        <v>40</v>
      </c>
      <c r="O5" s="2763">
        <v>50</v>
      </c>
      <c r="P5" s="2763">
        <v>40</v>
      </c>
      <c r="Q5" s="2763">
        <v>15</v>
      </c>
      <c r="R5" s="2763">
        <v>315</v>
      </c>
    </row>
    <row r="6" spans="1:18">
      <c r="A6" s="2764">
        <v>50</v>
      </c>
      <c r="B6" s="2761">
        <v>50028</v>
      </c>
      <c r="C6" s="2763">
        <f>ROUNDDOWN(MIN((B6-B3)/365,A6),2)</f>
        <v>11.07</v>
      </c>
      <c r="D6" s="2765">
        <f>IF(ISERROR(ROUND(POWER(1+E6,A6-C6)*(POWER(1+E6,C6)-1)/(POWER(1+E6,A6)-1),3)),0,ROUND(POWER(1+E6,A6-C6)*(POWER(1+E6,C6)-1)/(POWER(1+E6,A6)-1),4))</f>
        <v>0.40989999999999999</v>
      </c>
      <c r="E6" s="2766">
        <v>0.04</v>
      </c>
      <c r="F6" s="2759"/>
      <c r="I6" s="2775" t="s">
        <v>2571</v>
      </c>
      <c r="J6" s="2775">
        <v>60</v>
      </c>
      <c r="K6" s="2775">
        <v>50</v>
      </c>
      <c r="L6" s="2775">
        <v>10</v>
      </c>
      <c r="M6" s="2775">
        <v>20</v>
      </c>
      <c r="N6" s="2763">
        <v>35</v>
      </c>
      <c r="O6" s="2763">
        <v>40</v>
      </c>
      <c r="P6" s="2763">
        <v>30</v>
      </c>
      <c r="Q6" s="2763">
        <v>10</v>
      </c>
      <c r="R6" s="2763">
        <v>255</v>
      </c>
    </row>
    <row r="7" spans="1:18">
      <c r="A7" s="2764">
        <v>70</v>
      </c>
      <c r="B7" s="2761">
        <v>57333</v>
      </c>
      <c r="C7" s="2763">
        <f>ROUNDDOWN(MIN((B7-B3)/365,A7),2)</f>
        <v>31.08</v>
      </c>
      <c r="D7" s="2765">
        <f>IF(ISERROR(ROUND(POWER(1+E7,A7-C7)*(POWER(1+E7,C7)-1)/(POWER(1+E7,A7)-1),3)),0,ROUND(POWER(1+E7,A7-C7)*(POWER(1+E7,C7)-1)/(POWER(1+E7,A7)-1),4))</f>
        <v>0.75280000000000002</v>
      </c>
      <c r="E7" s="2766">
        <v>0.04</v>
      </c>
      <c r="F7" s="2759"/>
    </row>
    <row r="8" spans="1:18">
      <c r="A8" s="2757"/>
      <c r="B8" s="2758"/>
      <c r="C8" s="2758"/>
      <c r="D8" s="2758"/>
      <c r="E8" s="2758"/>
      <c r="F8" s="2759"/>
    </row>
    <row r="9" spans="1:18">
      <c r="A9" s="2760" t="s">
        <v>2495</v>
      </c>
      <c r="B9" s="2763"/>
      <c r="C9" s="2763"/>
      <c r="D9" s="2763"/>
      <c r="E9" s="2763"/>
      <c r="F9" s="2767"/>
    </row>
    <row r="10" spans="1:18">
      <c r="A10" s="2760" t="s">
        <v>2496</v>
      </c>
      <c r="B10" s="2763"/>
      <c r="C10" s="2763"/>
      <c r="D10" s="2763" t="s">
        <v>2494</v>
      </c>
      <c r="E10" s="2763"/>
      <c r="F10" s="2767" t="s">
        <v>2493</v>
      </c>
    </row>
    <row r="11" spans="1:18">
      <c r="A11" s="2760" t="s">
        <v>2497</v>
      </c>
      <c r="B11" s="2768">
        <v>70</v>
      </c>
      <c r="C11" s="2763" t="s">
        <v>2498</v>
      </c>
      <c r="D11" s="2768">
        <v>4.4999999999999998E-2</v>
      </c>
      <c r="E11" s="2763" t="s">
        <v>2499</v>
      </c>
      <c r="F11" s="2769">
        <f>ROUND(1-(1/(POWER(1+D11,B11))),4)</f>
        <v>0.95409999999999995</v>
      </c>
    </row>
    <row r="12" spans="1:18">
      <c r="A12" s="2760" t="s">
        <v>2500</v>
      </c>
      <c r="B12" s="2768">
        <v>40</v>
      </c>
      <c r="C12" s="2763" t="s">
        <v>2501</v>
      </c>
      <c r="D12" s="2768">
        <v>4.4999999999999998E-2</v>
      </c>
      <c r="E12" s="2763" t="s">
        <v>2502</v>
      </c>
      <c r="F12" s="2769">
        <f>ROUND(1-(1/(POWER(1+D12,B12))),4)</f>
        <v>0.82809999999999995</v>
      </c>
    </row>
    <row r="13" spans="1:18">
      <c r="A13" s="2760" t="s">
        <v>2503</v>
      </c>
      <c r="B13" s="2763"/>
      <c r="C13" s="2763"/>
      <c r="D13" s="2758"/>
      <c r="E13" s="2758"/>
      <c r="F13" s="2759"/>
    </row>
    <row r="14" spans="1:18">
      <c r="A14" s="2760" t="s">
        <v>2504</v>
      </c>
      <c r="B14" s="2768">
        <v>5000</v>
      </c>
      <c r="C14" s="2762"/>
      <c r="D14" s="2758"/>
      <c r="E14" s="2758"/>
      <c r="F14" s="2759"/>
    </row>
    <row r="15" spans="1:18">
      <c r="A15" s="2760" t="s">
        <v>2505</v>
      </c>
      <c r="B15" s="2763">
        <f>ROUND(B14*F12/F11,2)</f>
        <v>4339.6899999999996</v>
      </c>
      <c r="C15" s="2763">
        <f>ROUND(F12/F11,4)</f>
        <v>0.8679</v>
      </c>
      <c r="D15" s="2758"/>
      <c r="E15" s="2758"/>
      <c r="F15" s="2759"/>
    </row>
    <row r="16" spans="1:18">
      <c r="A16" s="2760" t="s">
        <v>2506</v>
      </c>
      <c r="B16" s="2763"/>
      <c r="C16" s="2763"/>
      <c r="D16" s="2758"/>
      <c r="E16" s="2758"/>
      <c r="F16" s="2759"/>
    </row>
    <row r="17" spans="1:14">
      <c r="A17" s="2760" t="s">
        <v>2505</v>
      </c>
      <c r="B17" s="2768">
        <v>4810</v>
      </c>
      <c r="C17" s="2762"/>
      <c r="D17" s="2758"/>
      <c r="E17" s="2758"/>
      <c r="F17" s="2759"/>
    </row>
    <row r="18" spans="1:14" ht="14.25" thickBot="1">
      <c r="A18" s="2770" t="s">
        <v>2504</v>
      </c>
      <c r="B18" s="2771">
        <f>ROUND(B17*F11/F12,2)</f>
        <v>5541.87</v>
      </c>
      <c r="C18" s="2771">
        <f>ROUND(F11/F12,4)</f>
        <v>1.1521999999999999</v>
      </c>
      <c r="D18" s="2772"/>
      <c r="E18" s="2772"/>
      <c r="F18" s="2773"/>
    </row>
    <row r="19" spans="1:14" ht="14.25" thickBot="1"/>
    <row r="20" spans="1:14" s="2806" customFormat="1" ht="14.25" thickTop="1">
      <c r="A20" s="2803" t="s">
        <v>2507</v>
      </c>
      <c r="B20" s="2804"/>
      <c r="C20" s="2804"/>
      <c r="D20" s="2804"/>
      <c r="E20" s="2804"/>
      <c r="F20" s="2804"/>
      <c r="G20" s="2805"/>
      <c r="I20" s="2807" t="s">
        <v>2552</v>
      </c>
      <c r="J20" s="2807" t="s">
        <v>2557</v>
      </c>
      <c r="K20" s="2807"/>
      <c r="L20" s="2807"/>
      <c r="M20" s="2807"/>
    </row>
    <row r="21" spans="1:14">
      <c r="A21" s="2774"/>
      <c r="B21" s="2775" t="s">
        <v>2508</v>
      </c>
      <c r="C21" s="2775" t="s">
        <v>2509</v>
      </c>
      <c r="D21" s="2775" t="s">
        <v>2510</v>
      </c>
      <c r="E21" s="2775" t="s">
        <v>2511</v>
      </c>
      <c r="F21" s="2775" t="s">
        <v>2512</v>
      </c>
      <c r="G21" s="2776" t="s">
        <v>2513</v>
      </c>
      <c r="I21" s="2797">
        <v>5</v>
      </c>
      <c r="J21" s="2797">
        <v>54.2</v>
      </c>
    </row>
    <row r="22" spans="1:14">
      <c r="A22" s="2774" t="s">
        <v>2514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2555</v>
      </c>
      <c r="N23" s="3150" t="s">
        <v>2556</v>
      </c>
    </row>
    <row r="24" spans="1:14">
      <c r="A24" s="2774" t="s">
        <v>2516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2554</v>
      </c>
      <c r="N24" s="3150">
        <v>10</v>
      </c>
    </row>
    <row r="25" spans="1:14">
      <c r="A25" s="2774" t="s">
        <v>2517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2558</v>
      </c>
      <c r="N25" s="3150">
        <v>8</v>
      </c>
    </row>
    <row r="26" spans="1:14">
      <c r="A26" s="2779"/>
      <c r="B26" s="2780"/>
      <c r="C26" s="2780"/>
      <c r="D26" s="2780"/>
      <c r="E26" s="2780"/>
      <c r="F26" s="2780"/>
      <c r="G26" s="2781"/>
      <c r="I26" s="2797">
        <v>30</v>
      </c>
      <c r="J26" s="2797">
        <v>90.5</v>
      </c>
      <c r="K26" s="2797">
        <f t="shared" si="2"/>
        <v>4.2000000000000028</v>
      </c>
      <c r="L26" s="2797" t="s">
        <v>2559</v>
      </c>
      <c r="N26" s="3150">
        <v>5</v>
      </c>
    </row>
    <row r="27" spans="1:14">
      <c r="A27" s="2779" t="s">
        <v>2518</v>
      </c>
      <c r="B27" s="2780"/>
      <c r="C27" s="2780"/>
      <c r="D27" s="2780"/>
      <c r="E27" s="2780"/>
      <c r="F27" s="2780"/>
      <c r="G27" s="2781"/>
      <c r="I27" s="2797">
        <v>35</v>
      </c>
      <c r="J27" s="2797">
        <v>93.8</v>
      </c>
      <c r="K27" s="2797">
        <f t="shared" si="2"/>
        <v>3.2999999999999972</v>
      </c>
      <c r="L27" s="2797" t="s">
        <v>2560</v>
      </c>
      <c r="N27" s="3150">
        <v>3</v>
      </c>
    </row>
    <row r="28" spans="1:14">
      <c r="A28" s="2779" t="s">
        <v>2519</v>
      </c>
      <c r="B28" s="2780"/>
      <c r="C28" s="2780"/>
      <c r="D28" s="2780"/>
      <c r="E28" s="2780"/>
      <c r="F28" s="2780"/>
      <c r="G28" s="2781"/>
      <c r="I28" s="2797">
        <v>40</v>
      </c>
      <c r="J28" s="2797">
        <v>96.4</v>
      </c>
      <c r="K28" s="2797">
        <f t="shared" si="2"/>
        <v>2.6000000000000085</v>
      </c>
      <c r="L28" s="2797" t="s">
        <v>2561</v>
      </c>
      <c r="N28" s="3150">
        <v>2</v>
      </c>
    </row>
    <row r="29" spans="1:14">
      <c r="A29" s="2779" t="s">
        <v>2520</v>
      </c>
      <c r="B29" s="2780"/>
      <c r="C29" s="2780"/>
      <c r="D29" s="2780"/>
      <c r="E29" s="2780"/>
      <c r="F29" s="2780"/>
      <c r="G29" s="2781"/>
      <c r="I29" s="2797">
        <v>45</v>
      </c>
      <c r="J29" s="2797">
        <v>98.4</v>
      </c>
      <c r="K29" s="2797">
        <f t="shared" si="2"/>
        <v>2</v>
      </c>
    </row>
    <row r="30" spans="1:14">
      <c r="A30" s="2779" t="s">
        <v>2521</v>
      </c>
      <c r="B30" s="2780"/>
      <c r="C30" s="2780"/>
      <c r="D30" s="2780"/>
      <c r="E30" s="2780"/>
      <c r="F30" s="2780"/>
      <c r="G30" s="2781"/>
      <c r="I30" s="2797">
        <v>50</v>
      </c>
      <c r="J30" s="2797">
        <v>100</v>
      </c>
      <c r="K30" s="2797">
        <f t="shared" si="2"/>
        <v>1.5999999999999943</v>
      </c>
    </row>
    <row r="31" spans="1:14">
      <c r="A31" s="2779" t="s">
        <v>2522</v>
      </c>
      <c r="B31" s="2780"/>
      <c r="C31" s="2780"/>
      <c r="D31" s="2780"/>
      <c r="E31" s="2780"/>
      <c r="F31" s="2780"/>
      <c r="G31" s="2781"/>
      <c r="I31" s="2797" t="s">
        <v>2553</v>
      </c>
    </row>
    <row r="32" spans="1:14">
      <c r="A32" s="2779" t="s">
        <v>2523</v>
      </c>
      <c r="B32" s="2780"/>
      <c r="C32" s="2780"/>
      <c r="D32" s="2780"/>
      <c r="E32" s="2780"/>
      <c r="F32" s="2780"/>
      <c r="G32" s="2781"/>
    </row>
    <row r="33" spans="1:14">
      <c r="A33" s="2779" t="s">
        <v>2524</v>
      </c>
      <c r="B33" s="2780"/>
      <c r="C33" s="2780"/>
      <c r="D33" s="2780"/>
      <c r="E33" s="2780"/>
      <c r="F33" s="2780"/>
      <c r="G33" s="2781"/>
      <c r="I33" s="2797" t="s">
        <v>2552</v>
      </c>
      <c r="J33" s="2797" t="s">
        <v>2562</v>
      </c>
    </row>
    <row r="34" spans="1:14">
      <c r="A34" s="2779" t="s">
        <v>2525</v>
      </c>
      <c r="B34" s="2780"/>
      <c r="C34" s="2780"/>
      <c r="D34" s="2780"/>
      <c r="E34" s="2780"/>
      <c r="F34" s="2780"/>
      <c r="G34" s="2781"/>
      <c r="I34" s="2797">
        <v>5</v>
      </c>
      <c r="J34" s="2797">
        <v>55.1</v>
      </c>
    </row>
    <row r="35" spans="1:14">
      <c r="A35" s="2779" t="s">
        <v>2526</v>
      </c>
      <c r="B35" s="2780"/>
      <c r="C35" s="2780"/>
      <c r="D35" s="2780"/>
      <c r="E35" s="2780"/>
      <c r="F35" s="2780"/>
      <c r="G35" s="2781"/>
      <c r="I35" s="2797">
        <v>10</v>
      </c>
      <c r="J35" s="2797">
        <v>67</v>
      </c>
      <c r="K35" s="2797">
        <f>J35-J34</f>
        <v>11.899999999999999</v>
      </c>
    </row>
    <row r="36" spans="1:14">
      <c r="A36" s="2779" t="s">
        <v>2527</v>
      </c>
      <c r="B36" s="2780"/>
      <c r="C36" s="2780"/>
      <c r="D36" s="2780"/>
      <c r="E36" s="2780"/>
      <c r="F36" s="2780"/>
      <c r="G36" s="2781"/>
      <c r="I36" s="2797">
        <v>15</v>
      </c>
      <c r="J36" s="2797">
        <v>76.3</v>
      </c>
      <c r="K36" s="2797">
        <f t="shared" ref="K36:K41" si="3">J36-J35</f>
        <v>9.2999999999999972</v>
      </c>
      <c r="L36" s="2797" t="s">
        <v>2555</v>
      </c>
      <c r="N36" s="3150" t="s">
        <v>2556</v>
      </c>
    </row>
    <row r="37" spans="1:14">
      <c r="A37" s="2779" t="s">
        <v>2528</v>
      </c>
      <c r="B37" s="2780"/>
      <c r="C37" s="2780"/>
      <c r="D37" s="2780"/>
      <c r="E37" s="2780"/>
      <c r="F37" s="2780"/>
      <c r="G37" s="2781"/>
      <c r="I37" s="2797">
        <v>20</v>
      </c>
      <c r="J37" s="2797">
        <v>83.6</v>
      </c>
      <c r="K37" s="2797">
        <f t="shared" si="3"/>
        <v>7.2999999999999972</v>
      </c>
      <c r="L37" s="2797" t="s">
        <v>2554</v>
      </c>
      <c r="N37" s="3150">
        <v>10</v>
      </c>
    </row>
    <row r="38" spans="1:14">
      <c r="A38" s="2779" t="s">
        <v>2529</v>
      </c>
      <c r="B38" s="2780"/>
      <c r="C38" s="2780"/>
      <c r="D38" s="2780"/>
      <c r="E38" s="2780"/>
      <c r="F38" s="2780"/>
      <c r="G38" s="2781"/>
      <c r="I38" s="2797">
        <v>25</v>
      </c>
      <c r="J38" s="2797">
        <v>89.3</v>
      </c>
      <c r="K38" s="2797">
        <f t="shared" si="3"/>
        <v>5.7000000000000028</v>
      </c>
      <c r="L38" s="2797" t="s">
        <v>2558</v>
      </c>
      <c r="N38" s="3150">
        <v>8</v>
      </c>
    </row>
    <row r="39" spans="1:14">
      <c r="A39" s="2779"/>
      <c r="B39" s="2780"/>
      <c r="C39" s="2780"/>
      <c r="D39" s="2780"/>
      <c r="E39" s="2780"/>
      <c r="F39" s="2780"/>
      <c r="G39" s="2781"/>
      <c r="I39" s="2797">
        <v>30</v>
      </c>
      <c r="J39" s="2797">
        <v>93.8</v>
      </c>
      <c r="K39" s="2797">
        <f t="shared" si="3"/>
        <v>4.5</v>
      </c>
      <c r="L39" s="2797" t="s">
        <v>2559</v>
      </c>
      <c r="N39" s="3150">
        <v>6</v>
      </c>
    </row>
    <row r="40" spans="1:14">
      <c r="A40" s="2782" t="s">
        <v>2530</v>
      </c>
      <c r="B40" s="2783"/>
      <c r="C40" s="2783"/>
      <c r="D40" s="2783"/>
      <c r="E40" s="2783"/>
      <c r="F40" s="2783"/>
      <c r="G40" s="2784"/>
      <c r="I40" s="2797">
        <v>35</v>
      </c>
      <c r="J40" s="2797">
        <v>97.2</v>
      </c>
      <c r="K40" s="2797">
        <f t="shared" si="3"/>
        <v>3.4000000000000057</v>
      </c>
      <c r="L40" s="2797" t="s">
        <v>2560</v>
      </c>
      <c r="N40" s="3150">
        <v>3</v>
      </c>
    </row>
    <row r="41" spans="1:14">
      <c r="A41" s="2785" t="s">
        <v>2531</v>
      </c>
      <c r="B41" s="2786" t="s">
        <v>2532</v>
      </c>
      <c r="C41" s="2787" t="s">
        <v>2533</v>
      </c>
      <c r="D41" s="2787" t="s">
        <v>2534</v>
      </c>
      <c r="E41" s="2788"/>
      <c r="F41" s="2789"/>
      <c r="G41" s="2790"/>
      <c r="I41" s="2797">
        <v>40</v>
      </c>
      <c r="J41" s="2797">
        <v>100</v>
      </c>
      <c r="K41" s="2797">
        <f t="shared" si="3"/>
        <v>2.7999999999999972</v>
      </c>
    </row>
    <row r="42" spans="1:14">
      <c r="A42" s="2785" t="s">
        <v>2535</v>
      </c>
      <c r="B42" s="2786" t="s">
        <v>2536</v>
      </c>
      <c r="C42" s="2787" t="s">
        <v>2537</v>
      </c>
      <c r="D42" s="2791" t="s">
        <v>2538</v>
      </c>
      <c r="E42" s="2783" t="s">
        <v>2539</v>
      </c>
      <c r="F42" s="2783"/>
      <c r="G42" s="2784"/>
    </row>
    <row r="43" spans="1:14">
      <c r="A43" s="2785" t="s">
        <v>2540</v>
      </c>
      <c r="B43" s="2786" t="s">
        <v>2541</v>
      </c>
      <c r="C43" s="2787" t="s">
        <v>2542</v>
      </c>
      <c r="D43" s="2787" t="s">
        <v>2543</v>
      </c>
      <c r="E43" s="2788" t="s">
        <v>2544</v>
      </c>
      <c r="F43" s="2789"/>
      <c r="G43" s="2790"/>
      <c r="I43" s="2797" t="s">
        <v>2552</v>
      </c>
      <c r="J43" s="2797" t="s">
        <v>2563</v>
      </c>
    </row>
    <row r="44" spans="1:14">
      <c r="A44" s="2785" t="s">
        <v>2545</v>
      </c>
      <c r="B44" s="2786" t="s">
        <v>2546</v>
      </c>
      <c r="C44" s="2787" t="s">
        <v>2547</v>
      </c>
      <c r="D44" s="2791">
        <v>0.5</v>
      </c>
      <c r="E44" s="2788" t="s">
        <v>2548</v>
      </c>
      <c r="F44" s="2789"/>
      <c r="G44" s="2790"/>
      <c r="I44" s="2797">
        <v>30</v>
      </c>
      <c r="J44" s="2797">
        <v>81.7</v>
      </c>
    </row>
    <row r="45" spans="1:14" ht="14.25" thickBot="1">
      <c r="A45" s="2792" t="s">
        <v>2549</v>
      </c>
      <c r="B45" s="2793" t="s">
        <v>2536</v>
      </c>
      <c r="C45" s="2794" t="s">
        <v>2536</v>
      </c>
      <c r="D45" s="2794" t="s">
        <v>2550</v>
      </c>
      <c r="E45" s="2795" t="s">
        <v>2551</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3373</v>
      </c>
    </row>
    <row r="50" spans="1:4">
      <c r="A50" s="3142" t="s">
        <v>3374</v>
      </c>
      <c r="B50" s="3142" t="s">
        <v>3375</v>
      </c>
      <c r="C50" s="3142" t="s">
        <v>3376</v>
      </c>
      <c r="D50" s="3142" t="s">
        <v>3377</v>
      </c>
    </row>
    <row r="51" spans="1:4">
      <c r="A51" s="3142" t="s">
        <v>3378</v>
      </c>
      <c r="B51" s="2762">
        <f>B52+B53</f>
        <v>15000</v>
      </c>
      <c r="C51" s="3143">
        <f>D51/B51</f>
        <v>2666.6666666666665</v>
      </c>
      <c r="D51" s="2762">
        <f>D52+D53</f>
        <v>40000000</v>
      </c>
    </row>
    <row r="52" spans="1:4">
      <c r="A52" s="3144" t="s">
        <v>3379</v>
      </c>
      <c r="B52" s="3145">
        <v>10000</v>
      </c>
      <c r="C52" s="3145">
        <v>1500</v>
      </c>
      <c r="D52" s="3146">
        <f>C52*B52</f>
        <v>15000000</v>
      </c>
    </row>
    <row r="53" spans="1:4">
      <c r="A53" s="3144" t="s">
        <v>3380</v>
      </c>
      <c r="B53" s="3145">
        <v>5000</v>
      </c>
      <c r="C53" s="3145">
        <v>5000</v>
      </c>
      <c r="D53" s="3146">
        <f>C53*B53</f>
        <v>25000000</v>
      </c>
    </row>
    <row r="54" spans="1:4">
      <c r="A54" s="3142" t="s">
        <v>3381</v>
      </c>
      <c r="B54" s="2762">
        <f>B51</f>
        <v>15000</v>
      </c>
      <c r="C54" s="2768">
        <v>700</v>
      </c>
      <c r="D54" s="2762">
        <f t="shared" ref="D54:D55" si="5">C54*B54</f>
        <v>10500000</v>
      </c>
    </row>
    <row r="55" spans="1:4">
      <c r="A55" s="3142" t="s">
        <v>3382</v>
      </c>
      <c r="B55" s="2762">
        <f>B51</f>
        <v>15000</v>
      </c>
      <c r="C55" s="2768">
        <v>1500</v>
      </c>
      <c r="D55" s="2762">
        <f t="shared" si="5"/>
        <v>22500000</v>
      </c>
    </row>
    <row r="56" spans="1:4">
      <c r="A56" s="3142" t="s">
        <v>3383</v>
      </c>
      <c r="B56" s="2762">
        <f>B51</f>
        <v>15000</v>
      </c>
      <c r="C56" s="3147">
        <f>C51+C54+C55</f>
        <v>4866.6666666666661</v>
      </c>
      <c r="D56" s="2762">
        <f>D51+D54+D55</f>
        <v>73000000</v>
      </c>
    </row>
    <row r="58" spans="1:4">
      <c r="A58" s="3142" t="s">
        <v>3384</v>
      </c>
      <c r="B58" s="3148">
        <v>0.05</v>
      </c>
      <c r="C58" s="2762">
        <f>C56*(1+B58)</f>
        <v>5110</v>
      </c>
      <c r="D58" s="2762">
        <f>D56*B58</f>
        <v>3650000</v>
      </c>
    </row>
    <row r="60" spans="1:4">
      <c r="A60" s="3142" t="s">
        <v>3385</v>
      </c>
      <c r="B60" s="2768">
        <v>3500</v>
      </c>
      <c r="C60" s="2768">
        <f>C53</f>
        <v>5000</v>
      </c>
      <c r="D60" s="2762">
        <f>C60*B60</f>
        <v>17500000</v>
      </c>
    </row>
    <row r="62" spans="1:4">
      <c r="A62" s="3142" t="s">
        <v>3386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14" sqref="M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2165</v>
      </c>
      <c r="B1" s="3285" t="str">
        <f>IF(B10="北京市","北京市",C10)&amp;F10&amp;IF(结果表!G1="在建","出让国有建设用地使用权及在建建筑物",IF(结果表!G1="土地","出让国有建设用地使用权",))&amp;B9&amp;"预评估"</f>
        <v>预评估</v>
      </c>
      <c r="C1" s="3286"/>
      <c r="D1" s="3286"/>
      <c r="E1" s="3286"/>
      <c r="F1" s="3286"/>
      <c r="G1" s="3286"/>
      <c r="H1" s="3286"/>
      <c r="I1" s="3287"/>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
      </c>
      <c r="T1" s="1615"/>
      <c r="U1" s="1615"/>
      <c r="V1" s="1615"/>
      <c r="W1" s="1615"/>
      <c r="X1" s="1615"/>
      <c r="Y1" s="1615"/>
      <c r="Z1" s="1615"/>
      <c r="AA1" s="1615"/>
      <c r="AB1" s="1615"/>
    </row>
    <row r="2" spans="1:30">
      <c r="A2" s="2179" t="s">
        <v>2166</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房地产</v>
      </c>
      <c r="T2" s="1615"/>
      <c r="U2" s="1615"/>
      <c r="V2" s="1615"/>
      <c r="W2" s="1615"/>
      <c r="X2" s="1615"/>
      <c r="Y2" s="1615"/>
      <c r="Z2" s="1615"/>
      <c r="AA2" s="1615"/>
      <c r="AB2" s="1615"/>
    </row>
    <row r="3" spans="1:30">
      <c r="A3" s="292" t="s">
        <v>2167</v>
      </c>
      <c r="B3" s="2182"/>
      <c r="C3" s="2183" t="s">
        <v>2168</v>
      </c>
      <c r="D3" s="2182">
        <v>45986</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2169</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2170</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2171</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2172</v>
      </c>
      <c r="B7" s="2195"/>
      <c r="C7" s="2193"/>
      <c r="D7" s="2194"/>
      <c r="E7" s="2438"/>
      <c r="F7" s="2439"/>
      <c r="G7" s="2439"/>
      <c r="H7" s="2439"/>
      <c r="I7" s="2439"/>
      <c r="J7" s="2242"/>
      <c r="K7" s="2399"/>
      <c r="L7" s="2396"/>
      <c r="M7" s="2396"/>
      <c r="N7" s="2242"/>
      <c r="O7" s="1667"/>
      <c r="P7" s="2242"/>
      <c r="Q7" s="2242"/>
      <c r="R7" s="2242"/>
    </row>
    <row r="8" spans="1:30">
      <c r="A8" s="2196" t="s">
        <v>2173</v>
      </c>
      <c r="B8" s="2197"/>
      <c r="C8" s="2198"/>
      <c r="D8" s="3288" t="s">
        <v>2174</v>
      </c>
      <c r="E8" s="2199"/>
      <c r="F8" s="2200"/>
      <c r="G8" s="2439"/>
      <c r="H8" s="2439"/>
      <c r="I8" s="2439"/>
      <c r="J8" s="2242"/>
      <c r="K8" s="2397"/>
      <c r="L8" s="2396"/>
      <c r="M8" s="2396"/>
      <c r="N8" s="2242"/>
      <c r="O8" s="1667"/>
      <c r="P8" s="2242"/>
      <c r="Q8" s="2242"/>
      <c r="R8" s="2242"/>
    </row>
    <row r="9" spans="1:30" ht="13.5" thickBot="1">
      <c r="A9" s="2201" t="s">
        <v>2175</v>
      </c>
      <c r="B9" s="2202"/>
      <c r="C9" s="2203"/>
      <c r="D9" s="3289"/>
      <c r="E9" s="2202"/>
      <c r="F9" s="2204"/>
      <c r="G9" s="2440"/>
      <c r="H9" s="2440"/>
      <c r="I9" s="2440"/>
      <c r="J9" s="2242"/>
      <c r="K9" s="2399"/>
      <c r="L9" s="2396"/>
      <c r="M9" s="2396"/>
      <c r="N9" s="2242"/>
      <c r="O9" s="1667"/>
      <c r="P9" s="2242"/>
      <c r="Q9" s="2242"/>
      <c r="R9" s="2242"/>
    </row>
    <row r="10" spans="1:30" ht="13.5" thickTop="1">
      <c r="A10" s="2205" t="s">
        <v>2176</v>
      </c>
      <c r="B10" s="2206"/>
      <c r="C10" s="2207"/>
      <c r="D10" s="2190"/>
      <c r="E10" s="2208" t="s">
        <v>2177</v>
      </c>
      <c r="F10" s="2441"/>
      <c r="G10" s="2442"/>
      <c r="H10" s="2443"/>
      <c r="I10" s="2444"/>
      <c r="J10" s="2242"/>
      <c r="K10" s="2399"/>
      <c r="L10" s="2396"/>
      <c r="M10" s="2396"/>
      <c r="N10" s="2242"/>
      <c r="O10" s="1667"/>
      <c r="P10" s="2242"/>
      <c r="Q10" s="2242"/>
      <c r="R10" s="2242"/>
    </row>
    <row r="11" spans="1:30">
      <c r="A11" s="2209" t="s">
        <v>2178</v>
      </c>
      <c r="B11" s="2210"/>
      <c r="C11" s="2211"/>
      <c r="D11" s="2212"/>
      <c r="E11" s="2179"/>
      <c r="F11" s="2179"/>
      <c r="G11" s="2179"/>
      <c r="H11" s="2179"/>
      <c r="I11" s="2179"/>
      <c r="J11" s="2799"/>
      <c r="K11" s="2396"/>
      <c r="L11" s="2396"/>
      <c r="M11" s="2396"/>
      <c r="N11" s="2242"/>
      <c r="O11" s="1667"/>
      <c r="P11" s="2242"/>
      <c r="Q11" s="2242"/>
      <c r="R11" s="2242"/>
    </row>
    <row r="12" spans="1:30">
      <c r="A12" s="2213" t="s">
        <v>2179</v>
      </c>
      <c r="B12" s="313" t="s">
        <v>2180</v>
      </c>
      <c r="C12" s="2214" t="s">
        <v>2181</v>
      </c>
      <c r="D12" s="2214" t="s">
        <v>2182</v>
      </c>
      <c r="E12" s="2214" t="s">
        <v>2183</v>
      </c>
      <c r="F12" s="2214" t="s">
        <v>2184</v>
      </c>
      <c r="G12" s="2214" t="s">
        <v>2185</v>
      </c>
      <c r="H12" s="2214" t="s">
        <v>2186</v>
      </c>
      <c r="I12" s="2798" t="s">
        <v>2564</v>
      </c>
      <c r="J12" s="2800"/>
      <c r="K12" s="2396"/>
      <c r="L12" s="2396"/>
      <c r="M12" s="2242"/>
      <c r="N12" s="1667"/>
      <c r="O12" s="2242"/>
      <c r="P12" s="2242"/>
      <c r="Q12" s="2242"/>
      <c r="AD12" s="1615"/>
    </row>
    <row r="13" spans="1:30">
      <c r="A13" s="3119" t="s">
        <v>3318</v>
      </c>
      <c r="B13" s="2215" t="s">
        <v>2187</v>
      </c>
      <c r="C13" s="801"/>
      <c r="D13" s="801"/>
      <c r="E13" s="801">
        <v>58567</v>
      </c>
      <c r="F13" s="801">
        <v>58567</v>
      </c>
      <c r="G13" s="801">
        <v>58567</v>
      </c>
      <c r="H13" s="801"/>
      <c r="I13" s="801"/>
      <c r="J13" s="2800"/>
      <c r="K13" s="2396"/>
      <c r="L13" s="2396"/>
      <c r="M13" s="2242"/>
      <c r="N13" s="1667"/>
      <c r="O13" s="2242"/>
      <c r="P13" s="2242"/>
      <c r="Q13" s="2242"/>
      <c r="AD13" s="1615"/>
    </row>
    <row r="14" spans="1:30">
      <c r="A14" s="1016"/>
      <c r="B14" s="2215" t="s">
        <v>2188</v>
      </c>
      <c r="C14" s="2216"/>
      <c r="D14" s="2216"/>
      <c r="E14" s="2216">
        <v>50</v>
      </c>
      <c r="F14" s="2216">
        <v>50</v>
      </c>
      <c r="G14" s="2216">
        <v>50</v>
      </c>
      <c r="H14" s="2216"/>
      <c r="I14" s="2216"/>
      <c r="J14" s="2801"/>
      <c r="K14" s="2396"/>
      <c r="L14" s="2396"/>
      <c r="M14" s="2242"/>
      <c r="N14" s="1667"/>
      <c r="O14" s="2242"/>
      <c r="P14" s="2242"/>
      <c r="Q14" s="2242"/>
      <c r="AD14" s="1615"/>
    </row>
    <row r="15" spans="1:30">
      <c r="A15" s="310"/>
      <c r="B15" s="2217" t="s">
        <v>2189</v>
      </c>
      <c r="C15" s="2218" t="str">
        <f>IF(A13="出让",IF(C13="","",ROUNDDOWN(MIN((C13-$D$3)/365,C14),2)),C14)</f>
        <v/>
      </c>
      <c r="D15" s="2218" t="str">
        <f>IF(A13="出让",IF(D13="","",ROUNDDOWN(MIN((D13-$D$3)/365,D14),2)),D14)</f>
        <v/>
      </c>
      <c r="E15" s="2218">
        <f>IF(A13="出让",IF(E13="","",ROUNDDOWN(MIN((E13-$D$3)/365,E14),2)),E14)</f>
        <v>34.46</v>
      </c>
      <c r="F15" s="2218">
        <f>IF(A13="出让",IF(F13="","",ROUNDDOWN(MIN((F13-$D$3)/365,F14),2)),F14)</f>
        <v>34.46</v>
      </c>
      <c r="G15" s="2218">
        <f>IF(A13="出让",IF(G13="","",ROUNDDOWN(MIN((G13-$D$3)/365,G14),2)),G14)</f>
        <v>34.46</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2190</v>
      </c>
      <c r="B16" s="3295"/>
      <c r="C16" s="3296"/>
      <c r="D16" s="3297"/>
      <c r="E16" s="2219" t="s">
        <v>2191</v>
      </c>
      <c r="F16" s="3298"/>
      <c r="G16" s="3299"/>
      <c r="H16" s="3299"/>
      <c r="I16" s="3300"/>
      <c r="J16" s="2242"/>
      <c r="K16" s="2400"/>
      <c r="L16" s="1667"/>
      <c r="M16" s="1667"/>
      <c r="N16" s="2242"/>
      <c r="O16" s="1667"/>
      <c r="P16" s="2242"/>
      <c r="Q16" s="2242"/>
      <c r="R16" s="2242"/>
    </row>
    <row r="17" spans="1:28">
      <c r="A17" s="303" t="s">
        <v>2192</v>
      </c>
      <c r="B17" s="292" t="s">
        <v>2193</v>
      </c>
      <c r="C17" s="8">
        <f>'数据-汇总表'!E3</f>
        <v>1232.79</v>
      </c>
      <c r="D17" s="1253" t="s">
        <v>2194</v>
      </c>
      <c r="E17" s="3301" t="s">
        <v>2195</v>
      </c>
      <c r="F17" s="3302"/>
      <c r="G17" s="3302"/>
      <c r="H17" s="3302"/>
      <c r="I17" s="3303"/>
      <c r="J17" s="2242"/>
      <c r="K17" s="2401"/>
      <c r="L17" s="1667"/>
      <c r="M17" s="1667"/>
      <c r="N17" s="2242"/>
      <c r="O17" s="1667"/>
      <c r="P17" s="2242"/>
      <c r="Q17" s="2242"/>
      <c r="R17" s="2242"/>
      <c r="S17" s="2242"/>
      <c r="T17" s="2242"/>
      <c r="U17" s="2242"/>
      <c r="V17" s="2242"/>
    </row>
    <row r="18" spans="1:28" ht="24.75" thickBot="1">
      <c r="A18" s="2220" t="s">
        <v>2196</v>
      </c>
      <c r="B18" s="1025" t="s">
        <v>2197</v>
      </c>
      <c r="C18" s="2221">
        <f>'数据-汇总表'!D3</f>
        <v>891.05</v>
      </c>
      <c r="D18" s="1027" t="s">
        <v>2198</v>
      </c>
      <c r="E18" s="3304" t="s">
        <v>2199</v>
      </c>
      <c r="F18" s="3305"/>
      <c r="G18" s="3305"/>
      <c r="H18" s="3305"/>
      <c r="I18" s="3306"/>
      <c r="J18" s="2242"/>
      <c r="K18" s="2401"/>
      <c r="L18" s="1667"/>
      <c r="M18" s="1667"/>
      <c r="N18" s="2242"/>
      <c r="O18" s="1667"/>
      <c r="P18" s="2242"/>
      <c r="Q18" s="2242"/>
      <c r="R18" s="2242"/>
      <c r="S18" s="2242"/>
      <c r="T18" s="2242"/>
      <c r="U18" s="2242"/>
      <c r="V18" s="2242"/>
    </row>
    <row r="19" spans="1:28" ht="37.5" thickTop="1" thickBot="1">
      <c r="A19" s="317" t="s">
        <v>1055</v>
      </c>
      <c r="B19" s="297" t="s">
        <v>2200</v>
      </c>
      <c r="C19" s="1452"/>
      <c r="D19" s="1453" t="s">
        <v>2201</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2202</v>
      </c>
      <c r="B20" s="3291" t="s">
        <v>2203</v>
      </c>
      <c r="C20" s="3292"/>
      <c r="D20" s="3293" t="s">
        <v>2204</v>
      </c>
      <c r="E20" s="3294"/>
      <c r="F20" s="2427" t="s">
        <v>1056</v>
      </c>
      <c r="G20" s="2439"/>
      <c r="H20" s="2439"/>
      <c r="I20" s="2439"/>
      <c r="J20" s="2242"/>
      <c r="K20" s="3290"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2206</v>
      </c>
      <c r="C21" s="2293" t="s">
        <v>1057</v>
      </c>
      <c r="D21" s="1457" t="s">
        <v>2207</v>
      </c>
      <c r="E21" s="2416" t="s">
        <v>1057</v>
      </c>
      <c r="F21" s="2428"/>
      <c r="G21" s="2439"/>
      <c r="H21" s="2439"/>
      <c r="I21" s="2439"/>
      <c r="J21" s="2242"/>
      <c r="K21" s="329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2208</v>
      </c>
      <c r="C22" s="2293" t="s">
        <v>1058</v>
      </c>
      <c r="D22" s="2439"/>
      <c r="E22" s="2439"/>
      <c r="F22" s="2439"/>
      <c r="G22" s="2439"/>
      <c r="H22" s="2439"/>
      <c r="I22" s="2439"/>
      <c r="J22" s="2242"/>
      <c r="K22" s="329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2209</v>
      </c>
      <c r="B23" s="2290" t="s">
        <v>2210</v>
      </c>
      <c r="C23" s="2419"/>
      <c r="D23" s="2420" t="s">
        <v>2210</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308" t="s">
        <v>2211</v>
      </c>
      <c r="B27" s="310" t="s">
        <v>2212</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308"/>
      <c r="B28" s="292" t="s">
        <v>2213</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308"/>
      <c r="B29" s="292" t="s">
        <v>2214</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309"/>
      <c r="B30" s="292" t="s">
        <v>2215</v>
      </c>
      <c r="C30" s="3310"/>
      <c r="D30" s="3311"/>
      <c r="E30" s="2439"/>
      <c r="F30" s="2439"/>
      <c r="G30" s="2439"/>
      <c r="H30" s="2439"/>
      <c r="I30" s="2439"/>
      <c r="J30" s="2242"/>
      <c r="K30" s="2399"/>
      <c r="L30" s="2396"/>
      <c r="M30" s="2396"/>
      <c r="N30" s="2242"/>
      <c r="O30" s="1667"/>
      <c r="P30" s="2242"/>
      <c r="Q30" s="2242"/>
      <c r="R30" s="2242"/>
      <c r="S30" s="2242"/>
      <c r="T30" s="2242"/>
      <c r="U30" s="2242"/>
      <c r="V30" s="2242"/>
    </row>
    <row r="31" spans="1:28">
      <c r="A31" s="3312" t="s">
        <v>2216</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313"/>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313"/>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2217</v>
      </c>
      <c r="B34" s="1867"/>
      <c r="C34" s="1867"/>
      <c r="D34" s="1867"/>
      <c r="E34" s="1867"/>
      <c r="F34" s="1867"/>
      <c r="G34" s="1867"/>
      <c r="H34" s="1867"/>
      <c r="I34" s="2439"/>
      <c r="J34" s="2242"/>
      <c r="K34" s="8">
        <f>COUNTIF(B34:H34,"——")</f>
        <v>0</v>
      </c>
      <c r="L34" s="313" t="s">
        <v>2218</v>
      </c>
      <c r="M34" s="313" t="s">
        <v>2219</v>
      </c>
      <c r="N34" s="313" t="s">
        <v>2220</v>
      </c>
      <c r="O34" s="313" t="s">
        <v>2221</v>
      </c>
      <c r="P34" s="313" t="s">
        <v>2222</v>
      </c>
      <c r="Q34" s="313" t="s">
        <v>2223</v>
      </c>
      <c r="R34" s="313" t="s">
        <v>2224</v>
      </c>
      <c r="S34" s="3307" t="s">
        <v>2225</v>
      </c>
      <c r="T34" s="313" t="str">
        <f>NUMBERSTRING(7-K34,1)&amp;"通"</f>
        <v>七通</v>
      </c>
      <c r="U34" s="2242"/>
      <c r="V34" s="2242"/>
    </row>
    <row r="35" spans="1:30">
      <c r="A35" s="2233"/>
      <c r="B35" s="3307" t="s">
        <v>2226</v>
      </c>
      <c r="C35" s="3307"/>
      <c r="D35" s="3307"/>
      <c r="E35" s="3307"/>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307"/>
      <c r="T35" s="136" t="str">
        <f>IF(T34="一通",L35,IF(T34="二通",M35,IF(T34="三通",N35,IF(T34="四通",O35,IF(T34="五通",P35,IF(T34="六通",Q35,R35))))))</f>
        <v>、、、、、、</v>
      </c>
      <c r="U35" s="2242"/>
      <c r="V35" s="2242"/>
    </row>
    <row r="36" spans="1:30">
      <c r="A36" s="2180"/>
      <c r="B36" s="8" t="s">
        <v>2182</v>
      </c>
      <c r="C36" s="8" t="s">
        <v>2183</v>
      </c>
      <c r="D36" s="8" t="s">
        <v>2181</v>
      </c>
      <c r="E36" s="8" t="s">
        <v>2186</v>
      </c>
      <c r="F36" s="2798" t="s">
        <v>2567</v>
      </c>
      <c r="G36" s="2439"/>
      <c r="H36" s="2439"/>
      <c r="I36" s="2439"/>
      <c r="J36" s="2242"/>
      <c r="K36" s="2399"/>
      <c r="L36" s="2396"/>
      <c r="M36" s="2396"/>
      <c r="N36" s="2242"/>
      <c r="O36" s="1667"/>
      <c r="P36" s="2242"/>
      <c r="Q36" s="2242"/>
      <c r="R36" s="2242"/>
      <c r="S36" s="2242"/>
      <c r="T36" s="2242"/>
      <c r="U36" s="2242"/>
      <c r="V36" s="2242"/>
    </row>
    <row r="37" spans="1:30">
      <c r="A37" s="2412" t="s">
        <v>2227</v>
      </c>
      <c r="B37" s="2234"/>
      <c r="C37" s="2234" t="s">
        <v>305</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2228</v>
      </c>
      <c r="B38" s="2235"/>
      <c r="C38" s="2235" t="s">
        <v>289</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2229</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2230</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2231</v>
      </c>
      <c r="B42" s="8" t="s">
        <v>2232</v>
      </c>
      <c r="C42" s="8" t="s">
        <v>2233</v>
      </c>
      <c r="D42" s="8" t="s">
        <v>2234</v>
      </c>
      <c r="E42" s="8" t="s">
        <v>2235</v>
      </c>
      <c r="F42" s="8" t="s">
        <v>2236</v>
      </c>
      <c r="G42" s="8" t="s">
        <v>2237</v>
      </c>
      <c r="H42" s="8" t="s">
        <v>2238</v>
      </c>
      <c r="I42" s="8" t="s">
        <v>2239</v>
      </c>
      <c r="J42" s="2408" t="s">
        <v>2240</v>
      </c>
      <c r="K42" s="2409" t="s">
        <v>2241</v>
      </c>
      <c r="L42" s="2409" t="s">
        <v>2242</v>
      </c>
      <c r="M42" s="2409" t="s">
        <v>2243</v>
      </c>
      <c r="N42" s="2402" t="s">
        <v>2244</v>
      </c>
      <c r="O42" s="2402" t="s">
        <v>2245</v>
      </c>
      <c r="P42" s="2402" t="s">
        <v>2246</v>
      </c>
      <c r="Q42" s="2403" t="s">
        <v>2247</v>
      </c>
      <c r="R42" s="2403" t="s">
        <v>2248</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1460" customWidth="1"/>
    <col min="2" max="2" width="11" style="1460" customWidth="1"/>
    <col min="3" max="3" width="22.37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21560.34</v>
      </c>
      <c r="B3" s="11">
        <f>IF(C3="否",G5-AT5,G5)</f>
        <v>29829.400000000009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29829.400000000009</v>
      </c>
      <c r="H5" s="13">
        <f t="shared" ref="H5:AT5" si="0">SUM(H13:H656)</f>
        <v>29829.400000000009</v>
      </c>
      <c r="I5" s="13">
        <f t="shared" si="0"/>
        <v>15418.45</v>
      </c>
      <c r="J5" s="13">
        <f t="shared" si="0"/>
        <v>0</v>
      </c>
      <c r="K5" s="13">
        <f t="shared" si="0"/>
        <v>14410.950000000003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1232.79</v>
      </c>
      <c r="BA5" s="15">
        <f t="shared" si="1"/>
        <v>1232.79</v>
      </c>
      <c r="BB5" s="15">
        <f t="shared" si="1"/>
        <v>742.75</v>
      </c>
      <c r="BC5" s="15">
        <f t="shared" si="1"/>
        <v>490.04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21560.34</v>
      </c>
      <c r="F6" s="13" t="s">
        <v>0</v>
      </c>
      <c r="G6" s="13" t="s">
        <v>1</v>
      </c>
      <c r="H6" s="17">
        <f>SUMIF(I$12:AB$12,"总值",I6:AB6)</f>
        <v>21560.34</v>
      </c>
      <c r="I6" s="13">
        <f t="shared" ref="I6:AB6" si="2">ROUND($A$3*I5/$B$3,2)</f>
        <v>11144.27</v>
      </c>
      <c r="J6" s="13">
        <f t="shared" si="2"/>
        <v>0</v>
      </c>
      <c r="K6" s="13">
        <f t="shared" si="2"/>
        <v>10416.07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891.05</v>
      </c>
      <c r="AZ6" s="13" t="s">
        <v>2</v>
      </c>
      <c r="BA6" s="13">
        <f>ROUND($AY$6*BA5/$AZ$5,2)</f>
        <v>891.05</v>
      </c>
      <c r="BB6" s="13">
        <f>ROUND($AY$6*BB5/$AZ$5,2)</f>
        <v>536.85</v>
      </c>
      <c r="BC6" s="13">
        <f t="shared" ref="BC6:BH6" si="4">ROUND($AY$6*BC5/$AZ$5,2)</f>
        <v>354.2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3487</v>
      </c>
      <c r="J9" s="759"/>
      <c r="K9" s="1488" t="s">
        <v>3488</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f>I10</f>
        <v>0</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4.25" customHeight="1">
      <c r="A13" s="626"/>
      <c r="B13" s="626"/>
      <c r="C13" s="626" t="str">
        <f>[2]Sheet1!B4</f>
        <v>昌平区顺沙路58号院1号</v>
      </c>
      <c r="D13" s="1510" t="s">
        <v>3485</v>
      </c>
      <c r="E13" s="13">
        <f>IF($C$3="是",ROUND($A$3*G13/$B$3,2),ROUND($A$3*(G13-AT13)/$B$3,2))</f>
        <v>1379.54</v>
      </c>
      <c r="F13" s="29"/>
      <c r="G13" s="30">
        <f>H13+AC13+AT13</f>
        <v>1908.63</v>
      </c>
      <c r="H13" s="17">
        <f>SUMIF(I$12:AB$12,"总值",I13:AB13)</f>
        <v>1908.63</v>
      </c>
      <c r="I13" s="1511">
        <f>[2]Sheet1!D4</f>
        <v>1118.68</v>
      </c>
      <c r="J13" s="1511"/>
      <c r="K13" s="1511">
        <f>[2]Sheet1!E4</f>
        <v>789.95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昌平区顺沙路58号院1号</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4.25" customHeight="1">
      <c r="A14" s="626"/>
      <c r="B14" s="626"/>
      <c r="C14" s="626" t="str">
        <f>[2]Sheet1!B5</f>
        <v>昌平区顺沙路58号院2号</v>
      </c>
      <c r="D14" s="1510" t="s">
        <v>3485</v>
      </c>
      <c r="E14" s="13">
        <f>IF($C$3="是",ROUND($A$3*G14/$B$3,2),ROUND($A$3*(G14-AT14)/$B$3,2))</f>
        <v>891.05</v>
      </c>
      <c r="F14" s="29"/>
      <c r="G14" s="30">
        <f>H14+AC14+AT14</f>
        <v>1232.79</v>
      </c>
      <c r="H14" s="17">
        <f>SUMIF(I$12:AB$12,"总值",I14:AB14)</f>
        <v>1232.79</v>
      </c>
      <c r="I14" s="1511">
        <f>[2]Sheet1!D5</f>
        <v>742.75</v>
      </c>
      <c r="J14" s="1511"/>
      <c r="K14" s="1511">
        <f>[2]Sheet1!E5</f>
        <v>490.04</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昌平区顺沙路58号院2号</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4.25" customHeight="1">
      <c r="A15" s="626"/>
      <c r="B15" s="626"/>
      <c r="C15" s="626" t="str">
        <f>[2]Sheet1!B6</f>
        <v>昌平区顺沙路58号院3号</v>
      </c>
      <c r="D15" s="1510" t="s">
        <v>3485</v>
      </c>
      <c r="E15" s="13">
        <f>IF($C$3="是",ROUND($A$3*G15/$B$3,2),ROUND($A$3*(G15-AT15)/$B$3,2))</f>
        <v>890.3</v>
      </c>
      <c r="F15" s="29"/>
      <c r="G15" s="30">
        <f>H15+AC15+AT15</f>
        <v>1231.76</v>
      </c>
      <c r="H15" s="17">
        <f>SUMIF(I$12:AB$12,"总值",I15:AB15)</f>
        <v>1231.76</v>
      </c>
      <c r="I15" s="1511">
        <f>[2]Sheet1!D6</f>
        <v>742.75</v>
      </c>
      <c r="J15" s="1511"/>
      <c r="K15" s="1511">
        <f>[2]Sheet1!E6</f>
        <v>489.01</v>
      </c>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昌平区顺沙路58号院3号</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4.25" customHeight="1">
      <c r="A16" s="626"/>
      <c r="B16" s="626"/>
      <c r="C16" s="626" t="str">
        <f>[2]Sheet1!B7</f>
        <v>昌平区顺沙路58号院4号</v>
      </c>
      <c r="D16" s="1510" t="s">
        <v>3485</v>
      </c>
      <c r="E16" s="13">
        <f>IF($C$3="是",ROUND($A$3*G16/$B$3,2),ROUND($A$3*(G16-AT16)/$B$3,2))</f>
        <v>485.51</v>
      </c>
      <c r="F16" s="29"/>
      <c r="G16" s="30">
        <f>H16+AC16+AT16</f>
        <v>671.72</v>
      </c>
      <c r="H16" s="17">
        <f>SUMIF(I$12:AB$12,"总值",I16:AB16)</f>
        <v>671.72</v>
      </c>
      <c r="I16" s="1511">
        <f>[2]Sheet1!D7</f>
        <v>671.72</v>
      </c>
      <c r="J16" s="1511"/>
      <c r="K16" s="1511">
        <f>[2]Sheet1!E7</f>
        <v>0</v>
      </c>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昌平区顺沙路58号院4号</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4.25" customHeight="1">
      <c r="A17" s="626"/>
      <c r="B17" s="626"/>
      <c r="C17" s="626" t="str">
        <f>[2]Sheet1!B8</f>
        <v>昌平区顺沙路58号院5号</v>
      </c>
      <c r="D17" s="1510" t="s">
        <v>3485</v>
      </c>
      <c r="E17" s="13">
        <f>IF($C$3="是",ROUND($A$3*G17/$B$3,2),ROUND($A$3*(G17-AT17)/$B$3,2))</f>
        <v>709.65</v>
      </c>
      <c r="F17" s="29"/>
      <c r="G17" s="30">
        <f>H17+AC17+AT17</f>
        <v>981.81999999999994</v>
      </c>
      <c r="H17" s="17">
        <f>SUMIF(I$12:AB$12,"总值",I17:AB17)</f>
        <v>981.81999999999994</v>
      </c>
      <c r="I17" s="1511">
        <f>[2]Sheet1!D8</f>
        <v>598.38</v>
      </c>
      <c r="J17" s="1511"/>
      <c r="K17" s="1511">
        <f>[2]Sheet1!E8</f>
        <v>383.44</v>
      </c>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t="str">
        <f t="shared" si="6"/>
        <v>昌平区顺沙路58号院5号</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25" customHeight="1">
      <c r="A18" s="6"/>
      <c r="B18" s="31"/>
      <c r="C18" s="626" t="str">
        <f>[2]Sheet1!B9</f>
        <v>昌平区顺沙路58号院6号</v>
      </c>
      <c r="D18" s="1510" t="s">
        <v>3485</v>
      </c>
      <c r="E18" s="32">
        <f t="shared" ref="E18:E112" si="7">IF($C$3="是",ROUND($A$3*G18/$B$3,2),ROUND($A$3*(G18-AT18)/$B$3,2))</f>
        <v>891.05</v>
      </c>
      <c r="F18" s="33"/>
      <c r="G18" s="34">
        <f t="shared" ref="G18:G109" si="8">H18+AC18+AT18</f>
        <v>1232.79</v>
      </c>
      <c r="H18" s="35">
        <f t="shared" ref="H18:H109" si="9">SUMIF(I$12:AB$12,"总值",I18:AB18)</f>
        <v>1232.79</v>
      </c>
      <c r="I18" s="1511">
        <f>[2]Sheet1!D9</f>
        <v>742.75</v>
      </c>
      <c r="J18" s="36"/>
      <c r="K18" s="1511">
        <f>[2]Sheet1!E9</f>
        <v>490.04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t="str">
        <f t="shared" ref="AX18:AX112" si="13">C18</f>
        <v>昌平区顺沙路58号院6号</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25" customHeight="1">
      <c r="A19" s="6"/>
      <c r="B19" s="31"/>
      <c r="C19" s="626" t="str">
        <f>[2]Sheet1!B10</f>
        <v>昌平区顺沙路58号院7号</v>
      </c>
      <c r="D19" s="1510" t="s">
        <v>3485</v>
      </c>
      <c r="E19" s="32">
        <f t="shared" si="7"/>
        <v>891.05</v>
      </c>
      <c r="F19" s="33"/>
      <c r="G19" s="34">
        <f t="shared" si="8"/>
        <v>1232.79</v>
      </c>
      <c r="H19" s="35">
        <f t="shared" si="9"/>
        <v>1232.79</v>
      </c>
      <c r="I19" s="1511">
        <f>[2]Sheet1!D10</f>
        <v>742.75</v>
      </c>
      <c r="J19" s="36"/>
      <c r="K19" s="1511">
        <f>[2]Sheet1!E10</f>
        <v>490.04</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t="str">
        <f t="shared" si="13"/>
        <v>昌平区顺沙路58号院7号</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25" customHeight="1">
      <c r="A20" s="6"/>
      <c r="B20" s="31"/>
      <c r="C20" s="626" t="str">
        <f>[2]Sheet1!B11</f>
        <v>昌平区顺沙路58号院8号</v>
      </c>
      <c r="D20" s="1510" t="s">
        <v>3485</v>
      </c>
      <c r="E20" s="32">
        <f t="shared" si="7"/>
        <v>1379.54</v>
      </c>
      <c r="F20" s="33"/>
      <c r="G20" s="34">
        <f t="shared" si="8"/>
        <v>1908.63</v>
      </c>
      <c r="H20" s="35">
        <f t="shared" si="9"/>
        <v>1908.63</v>
      </c>
      <c r="I20" s="1511">
        <f>[2]Sheet1!D11</f>
        <v>1118.68</v>
      </c>
      <c r="J20" s="36"/>
      <c r="K20" s="1511">
        <f>[2]Sheet1!E11</f>
        <v>789.95</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t="str">
        <f t="shared" si="13"/>
        <v>昌平区顺沙路58号院8号</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25" customHeight="1">
      <c r="A21" s="6"/>
      <c r="B21" s="31"/>
      <c r="C21" s="626" t="str">
        <f>[2]Sheet1!B12</f>
        <v>昌平区顺沙路58号院9号</v>
      </c>
      <c r="D21" s="1510" t="s">
        <v>3485</v>
      </c>
      <c r="E21" s="32">
        <f t="shared" si="7"/>
        <v>1379.54</v>
      </c>
      <c r="F21" s="33"/>
      <c r="G21" s="34">
        <f t="shared" si="8"/>
        <v>1908.63</v>
      </c>
      <c r="H21" s="35">
        <f t="shared" si="9"/>
        <v>1908.63</v>
      </c>
      <c r="I21" s="1511">
        <f>[2]Sheet1!D12</f>
        <v>1118.68</v>
      </c>
      <c r="J21" s="36"/>
      <c r="K21" s="1511">
        <f>[2]Sheet1!E12</f>
        <v>789.95</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t="str">
        <f t="shared" si="13"/>
        <v>昌平区顺沙路58号院9号</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25" customHeight="1">
      <c r="A22" s="6"/>
      <c r="B22" s="31"/>
      <c r="C22" s="626" t="str">
        <f>[2]Sheet1!B13</f>
        <v>昌平区顺沙路58号院10号</v>
      </c>
      <c r="D22" s="1510" t="s">
        <v>3485</v>
      </c>
      <c r="E22" s="32">
        <f t="shared" si="7"/>
        <v>891.05</v>
      </c>
      <c r="F22" s="33"/>
      <c r="G22" s="34">
        <f t="shared" si="8"/>
        <v>1232.79</v>
      </c>
      <c r="H22" s="35">
        <f t="shared" si="9"/>
        <v>1232.79</v>
      </c>
      <c r="I22" s="1511">
        <f>[2]Sheet1!D13</f>
        <v>742.75</v>
      </c>
      <c r="J22" s="36"/>
      <c r="K22" s="1511">
        <f>[2]Sheet1!E13</f>
        <v>490.04</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t="str">
        <f t="shared" si="13"/>
        <v>昌平区顺沙路58号院10号</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ht="14.25" customHeight="1">
      <c r="A23" s="6"/>
      <c r="B23" s="31"/>
      <c r="C23" s="626" t="str">
        <f>[2]Sheet1!B14</f>
        <v>昌平区顺沙路58号院11号</v>
      </c>
      <c r="D23" s="1513" t="s">
        <v>3486</v>
      </c>
      <c r="E23" s="32">
        <f t="shared" si="7"/>
        <v>891.05</v>
      </c>
      <c r="F23" s="33"/>
      <c r="G23" s="34">
        <f t="shared" si="8"/>
        <v>1232.79</v>
      </c>
      <c r="H23" s="35">
        <f t="shared" si="9"/>
        <v>1232.79</v>
      </c>
      <c r="I23" s="1511">
        <f>[2]Sheet1!D14</f>
        <v>742.75</v>
      </c>
      <c r="J23" s="36"/>
      <c r="K23" s="1511">
        <f>[2]Sheet1!E14</f>
        <v>490.04</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t="str">
        <f t="shared" si="13"/>
        <v>昌平区顺沙路58号院11号</v>
      </c>
      <c r="AY23" s="38">
        <f t="shared" si="14"/>
        <v>891.05</v>
      </c>
      <c r="AZ23" s="32">
        <f t="shared" si="15"/>
        <v>1232.79</v>
      </c>
      <c r="BA23" s="32">
        <f t="shared" si="16"/>
        <v>1232.79</v>
      </c>
      <c r="BB23" s="32">
        <f t="shared" si="17"/>
        <v>742.75</v>
      </c>
      <c r="BC23" s="32">
        <f t="shared" si="18"/>
        <v>490.04</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ht="14.25" customHeight="1">
      <c r="A24" s="6"/>
      <c r="B24" s="31"/>
      <c r="C24" s="626" t="str">
        <f>[2]Sheet1!B15</f>
        <v>昌平区顺沙路58号院12号</v>
      </c>
      <c r="D24" s="1513" t="s">
        <v>3485</v>
      </c>
      <c r="E24" s="32">
        <f t="shared" si="7"/>
        <v>891.05</v>
      </c>
      <c r="F24" s="33"/>
      <c r="G24" s="34">
        <f t="shared" si="8"/>
        <v>1232.79</v>
      </c>
      <c r="H24" s="35">
        <f t="shared" si="9"/>
        <v>1232.79</v>
      </c>
      <c r="I24" s="1511">
        <f>[2]Sheet1!D15</f>
        <v>742.75</v>
      </c>
      <c r="J24" s="36"/>
      <c r="K24" s="1511">
        <f>[2]Sheet1!E15</f>
        <v>490.04</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t="str">
        <f t="shared" si="13"/>
        <v>昌平区顺沙路58号院12号</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ht="14.25" customHeight="1">
      <c r="A25" s="6"/>
      <c r="B25" s="31"/>
      <c r="C25" s="626" t="str">
        <f>[2]Sheet1!B16</f>
        <v>昌平区顺沙路58号院13号</v>
      </c>
      <c r="D25" s="1513" t="s">
        <v>3485</v>
      </c>
      <c r="E25" s="32">
        <f t="shared" si="7"/>
        <v>891.05</v>
      </c>
      <c r="F25" s="33"/>
      <c r="G25" s="34">
        <f t="shared" si="8"/>
        <v>1232.79</v>
      </c>
      <c r="H25" s="35">
        <f t="shared" si="9"/>
        <v>1232.79</v>
      </c>
      <c r="I25" s="1511">
        <f>[2]Sheet1!D16</f>
        <v>742.75</v>
      </c>
      <c r="J25" s="36"/>
      <c r="K25" s="1511">
        <f>[2]Sheet1!E16</f>
        <v>490.04</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t="str">
        <f t="shared" si="13"/>
        <v>昌平区顺沙路58号院13号</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ht="14.25" customHeight="1">
      <c r="A26" s="6"/>
      <c r="B26" s="31"/>
      <c r="C26" s="626" t="str">
        <f>[2]Sheet1!B17</f>
        <v>昌平区顺沙路58号院14号</v>
      </c>
      <c r="D26" s="1513" t="s">
        <v>3485</v>
      </c>
      <c r="E26" s="32">
        <f t="shared" si="7"/>
        <v>891.05</v>
      </c>
      <c r="F26" s="33"/>
      <c r="G26" s="34">
        <f t="shared" si="8"/>
        <v>1232.79</v>
      </c>
      <c r="H26" s="35">
        <f t="shared" si="9"/>
        <v>1232.79</v>
      </c>
      <c r="I26" s="1511">
        <f>[2]Sheet1!D17</f>
        <v>742.75</v>
      </c>
      <c r="J26" s="36"/>
      <c r="K26" s="1511">
        <f>[2]Sheet1!E17</f>
        <v>490.04</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t="str">
        <f t="shared" si="13"/>
        <v>昌平区顺沙路58号院14号</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ht="14.25" customHeight="1">
      <c r="A27" s="6"/>
      <c r="B27" s="31"/>
      <c r="C27" s="626" t="str">
        <f>[2]Sheet1!B18</f>
        <v>昌平区顺沙路58号院15号</v>
      </c>
      <c r="D27" s="1513" t="s">
        <v>3485</v>
      </c>
      <c r="E27" s="32">
        <f t="shared" si="7"/>
        <v>891.05</v>
      </c>
      <c r="F27" s="33"/>
      <c r="G27" s="34">
        <f t="shared" si="8"/>
        <v>1232.79</v>
      </c>
      <c r="H27" s="35">
        <f t="shared" si="9"/>
        <v>1232.79</v>
      </c>
      <c r="I27" s="1511">
        <f>[2]Sheet1!D18</f>
        <v>742.75</v>
      </c>
      <c r="J27" s="36"/>
      <c r="K27" s="1511">
        <f>[2]Sheet1!E18</f>
        <v>490.04</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t="str">
        <f t="shared" si="13"/>
        <v>昌平区顺沙路58号院15号</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ht="14.25" customHeight="1">
      <c r="A28" s="6"/>
      <c r="B28" s="31"/>
      <c r="C28" s="626" t="str">
        <f>[2]Sheet1!B19</f>
        <v>昌平区顺沙路58号院16号</v>
      </c>
      <c r="D28" s="1513" t="s">
        <v>3485</v>
      </c>
      <c r="E28" s="32">
        <f t="shared" si="7"/>
        <v>1348.81</v>
      </c>
      <c r="F28" s="33"/>
      <c r="G28" s="34">
        <f t="shared" si="8"/>
        <v>1866.1200000000001</v>
      </c>
      <c r="H28" s="35">
        <f t="shared" si="9"/>
        <v>1866.1200000000001</v>
      </c>
      <c r="I28" s="1511">
        <f>[2]Sheet1!D19</f>
        <v>1129.8800000000001</v>
      </c>
      <c r="J28" s="36"/>
      <c r="K28" s="1511">
        <f>[2]Sheet1!E19</f>
        <v>736.24</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t="str">
        <f t="shared" si="13"/>
        <v>昌平区顺沙路58号院16号</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ht="14.25" customHeight="1">
      <c r="A29" s="6"/>
      <c r="B29" s="31"/>
      <c r="C29" s="626" t="str">
        <f>[2]Sheet1!B20</f>
        <v>昌平区顺沙路58号院17号</v>
      </c>
      <c r="D29" s="1513" t="s">
        <v>3485</v>
      </c>
      <c r="E29" s="32">
        <f t="shared" si="7"/>
        <v>890.14</v>
      </c>
      <c r="F29" s="33"/>
      <c r="G29" s="34">
        <f t="shared" si="8"/>
        <v>1231.54</v>
      </c>
      <c r="H29" s="35">
        <f t="shared" si="9"/>
        <v>1231.54</v>
      </c>
      <c r="I29" s="1511">
        <f>[2]Sheet1!D20</f>
        <v>742.75</v>
      </c>
      <c r="J29" s="36"/>
      <c r="K29" s="1511">
        <f>[2]Sheet1!E20</f>
        <v>488.79</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t="str">
        <f t="shared" si="13"/>
        <v>昌平区顺沙路58号院17号</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ht="14.25" customHeight="1">
      <c r="A30" s="6"/>
      <c r="B30" s="31"/>
      <c r="C30" s="626" t="str">
        <f>[2]Sheet1!B21</f>
        <v>昌平区顺沙路58号院18号</v>
      </c>
      <c r="D30" s="1513" t="s">
        <v>3485</v>
      </c>
      <c r="E30" s="32">
        <f t="shared" si="7"/>
        <v>890.14</v>
      </c>
      <c r="F30" s="33"/>
      <c r="G30" s="34">
        <f t="shared" si="8"/>
        <v>1231.54</v>
      </c>
      <c r="H30" s="35">
        <f t="shared" si="9"/>
        <v>1231.54</v>
      </c>
      <c r="I30" s="1511">
        <f>[2]Sheet1!D21</f>
        <v>742.75</v>
      </c>
      <c r="J30" s="36"/>
      <c r="K30" s="1511">
        <f>[2]Sheet1!E21</f>
        <v>488.79</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t="str">
        <f t="shared" si="13"/>
        <v>昌平区顺沙路58号院18号</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ht="14.25" customHeight="1">
      <c r="A31" s="6"/>
      <c r="B31" s="31"/>
      <c r="C31" s="626" t="str">
        <f>[2]Sheet1!B22</f>
        <v>昌平区顺沙路58号院19号</v>
      </c>
      <c r="D31" s="1513" t="s">
        <v>3485</v>
      </c>
      <c r="E31" s="32">
        <f t="shared" si="7"/>
        <v>895.87</v>
      </c>
      <c r="F31" s="33"/>
      <c r="G31" s="34">
        <f t="shared" si="8"/>
        <v>1239.47</v>
      </c>
      <c r="H31" s="35">
        <f t="shared" si="9"/>
        <v>1239.47</v>
      </c>
      <c r="I31" s="1511">
        <f>[2]Sheet1!D22</f>
        <v>749.43</v>
      </c>
      <c r="J31" s="36"/>
      <c r="K31" s="1511">
        <f>[2]Sheet1!E22</f>
        <v>490.04</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t="str">
        <f t="shared" si="13"/>
        <v>昌平区顺沙路58号院19号</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ht="14.25" customHeight="1">
      <c r="A32" s="6"/>
      <c r="B32" s="31"/>
      <c r="C32" s="626" t="str">
        <f>[2]Sheet1!B23</f>
        <v>昌平区顺沙路58号院B101
至B121、B1001至B1029号</v>
      </c>
      <c r="D32" s="1513" t="s">
        <v>3485</v>
      </c>
      <c r="E32" s="32">
        <f t="shared" si="7"/>
        <v>3291.89</v>
      </c>
      <c r="F32" s="33"/>
      <c r="G32" s="34">
        <f t="shared" si="8"/>
        <v>4554.43</v>
      </c>
      <c r="H32" s="35">
        <f t="shared" si="9"/>
        <v>4554.43</v>
      </c>
      <c r="I32" s="1511">
        <f>[2]Sheet1!D23</f>
        <v>0</v>
      </c>
      <c r="J32" s="36"/>
      <c r="K32" s="1511">
        <f>[2]Sheet1!E23</f>
        <v>4554.43</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t="str">
        <f t="shared" si="13"/>
        <v>昌平区顺沙路58号院B101
至B121、B1001至B1029号</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ht="14.25" customHeight="1">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N8" sqref="N8"/>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323" t="s">
        <v>1131</v>
      </c>
      <c r="B2" s="3323"/>
      <c r="C2" s="3323"/>
      <c r="D2" s="746" t="s">
        <v>1107</v>
      </c>
      <c r="E2" s="1520" t="s">
        <v>1108</v>
      </c>
      <c r="F2" s="2436"/>
      <c r="G2" s="2429"/>
      <c r="H2" s="2430"/>
      <c r="I2" s="2143" t="s">
        <v>1132</v>
      </c>
      <c r="J2" s="2436"/>
      <c r="K2" s="2436"/>
      <c r="L2" s="2436"/>
      <c r="M2" s="2436"/>
      <c r="N2" s="2437"/>
      <c r="O2" s="2436"/>
      <c r="P2" s="2436"/>
    </row>
    <row r="3" spans="1:16" ht="15.75" thickBot="1">
      <c r="A3" s="3324" t="s">
        <v>1105</v>
      </c>
      <c r="B3" s="3324"/>
      <c r="C3" s="3324"/>
      <c r="D3" s="41">
        <f>'数据-基础表'!AY6</f>
        <v>891.05</v>
      </c>
      <c r="E3" s="41">
        <f>'数据-基础表'!AZ5</f>
        <v>1232.79</v>
      </c>
      <c r="F3" s="2436"/>
      <c r="G3" s="42"/>
      <c r="H3" s="43" t="s">
        <v>1106</v>
      </c>
      <c r="I3" s="800">
        <f>ROUND('数据-基础表'!B3/'数据-基础表'!A3,2)</f>
        <v>1.38</v>
      </c>
      <c r="J3" s="2436"/>
      <c r="K3" s="2436"/>
      <c r="L3" s="2436"/>
      <c r="M3" s="2436"/>
      <c r="N3" s="2437"/>
      <c r="O3" s="2436"/>
      <c r="P3" s="2436"/>
    </row>
    <row r="4" spans="1:16" ht="15">
      <c r="A4" s="3325"/>
      <c r="B4" s="3326"/>
      <c r="C4" s="3327"/>
      <c r="D4" s="1521" t="s">
        <v>1107</v>
      </c>
      <c r="E4" s="1522" t="s">
        <v>1108</v>
      </c>
      <c r="F4" s="2436"/>
      <c r="G4" s="2431" t="s">
        <v>1133</v>
      </c>
      <c r="H4" s="43" t="s">
        <v>1113</v>
      </c>
      <c r="I4" s="800">
        <f>ROUND(SUMIF('数据-基础表'!I9:AS9,"地上",'数据-基础表'!I5:AS5)/'数据-基础表'!A3,2)</f>
        <v>0.72</v>
      </c>
      <c r="J4" s="2436"/>
      <c r="K4" s="2436"/>
      <c r="L4" s="2436"/>
      <c r="M4" s="2436"/>
      <c r="N4" s="2437"/>
      <c r="O4" s="2436"/>
      <c r="P4" s="2436"/>
    </row>
    <row r="5" spans="1:16">
      <c r="A5" s="42" t="s">
        <v>1109</v>
      </c>
      <c r="B5" s="3328" t="s">
        <v>1110</v>
      </c>
      <c r="C5" s="3328"/>
      <c r="D5" s="43">
        <f>ROUND($D$3*E5/$E$3,2)</f>
        <v>0</v>
      </c>
      <c r="E5" s="44">
        <f>SUMIF('数据-基础表'!$11:$11,"住宅",'数据-基础表'!$5:$5)</f>
        <v>0</v>
      </c>
      <c r="F5" s="2436"/>
      <c r="G5" s="42"/>
      <c r="H5" s="43" t="s">
        <v>1106</v>
      </c>
      <c r="I5" s="800">
        <f>ROUND(E31/D31,2)</f>
        <v>1.38</v>
      </c>
      <c r="J5" s="2436"/>
      <c r="K5" s="2436"/>
      <c r="L5" s="2436"/>
      <c r="M5" s="2436"/>
      <c r="N5" s="2436"/>
      <c r="O5" s="2436"/>
      <c r="P5" s="2436"/>
    </row>
    <row r="6" spans="1:16" ht="15" thickBot="1">
      <c r="A6" s="1524"/>
      <c r="B6" s="3328" t="s">
        <v>1111</v>
      </c>
      <c r="C6" s="3328"/>
      <c r="D6" s="43">
        <f>ROUND($D$3*E6/$E$3,2)</f>
        <v>891.05</v>
      </c>
      <c r="E6" s="44">
        <f>E3-E5</f>
        <v>1232.79</v>
      </c>
      <c r="F6" s="2436"/>
      <c r="G6" s="1526" t="s">
        <v>1112</v>
      </c>
      <c r="H6" s="45" t="s">
        <v>1113</v>
      </c>
      <c r="I6" s="2432">
        <f>ROUND(F31/D31,2)</f>
        <v>0.83</v>
      </c>
      <c r="J6" s="2436"/>
      <c r="K6" s="2436"/>
      <c r="L6" s="2436"/>
      <c r="M6" s="2436"/>
      <c r="N6" s="2436"/>
      <c r="O6" s="2436"/>
      <c r="P6" s="2436"/>
    </row>
    <row r="7" spans="1:16" ht="15.75" thickBot="1">
      <c r="A7" s="3320"/>
      <c r="B7" s="3321"/>
      <c r="C7" s="3322"/>
      <c r="D7" s="1521" t="s">
        <v>1107</v>
      </c>
      <c r="E7" s="1525" t="s">
        <v>1114</v>
      </c>
      <c r="F7" s="2436"/>
      <c r="G7" s="2433" t="s">
        <v>1115</v>
      </c>
      <c r="H7" s="95"/>
      <c r="I7" s="2434">
        <v>1</v>
      </c>
      <c r="J7" s="2436"/>
      <c r="K7" s="2436"/>
      <c r="L7" s="2436"/>
      <c r="M7" s="2436"/>
      <c r="N7" s="2436"/>
      <c r="O7" s="2436"/>
      <c r="P7" s="2436"/>
    </row>
    <row r="8" spans="1:16">
      <c r="A8" s="42" t="s">
        <v>1116</v>
      </c>
      <c r="B8" s="45" t="s">
        <v>1117</v>
      </c>
      <c r="C8" s="43" t="s">
        <v>1118</v>
      </c>
      <c r="D8" s="43">
        <f t="shared" ref="D8:D15" si="0">ROUND($D$3*E8/$E$3,2)</f>
        <v>536.85</v>
      </c>
      <c r="E8" s="46">
        <f>SUMIF('数据-基础表'!BB10:BK10,"地上",'数据-基础表'!BB5:BK5)</f>
        <v>742.75</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1123</v>
      </c>
      <c r="D16" s="45">
        <f>SUM(D8:D15)</f>
        <v>536.85</v>
      </c>
      <c r="E16" s="48">
        <f>SUM(E8:E15)</f>
        <v>742.75</v>
      </c>
      <c r="F16" s="2436"/>
      <c r="G16" s="2436"/>
      <c r="H16" s="1528" t="s">
        <v>1135</v>
      </c>
      <c r="I16" s="1529"/>
      <c r="J16" s="1069"/>
      <c r="K16" s="3317" t="s">
        <v>1135</v>
      </c>
      <c r="L16" s="3318"/>
      <c r="M16" s="3318"/>
      <c r="N16" s="3318"/>
      <c r="O16" s="3318"/>
      <c r="P16" s="3319"/>
    </row>
    <row r="17" spans="1:19" ht="15">
      <c r="A17" s="1530" t="s">
        <v>1136</v>
      </c>
      <c r="B17" s="1531" t="s">
        <v>1137</v>
      </c>
      <c r="C17" s="1532" t="s">
        <v>1138</v>
      </c>
      <c r="D17" s="1533" t="s">
        <v>1126</v>
      </c>
      <c r="E17" s="1534" t="s">
        <v>1127</v>
      </c>
      <c r="F17" s="1535"/>
      <c r="G17" s="1536"/>
      <c r="H17" s="1537" t="s">
        <v>1139</v>
      </c>
      <c r="I17" s="1538" t="s">
        <v>1124</v>
      </c>
      <c r="J17" s="1069"/>
      <c r="K17" s="3314" t="s">
        <v>1140</v>
      </c>
      <c r="L17" s="3315"/>
      <c r="M17" s="3316"/>
      <c r="N17" s="3314" t="s">
        <v>1141</v>
      </c>
      <c r="O17" s="3315"/>
      <c r="P17" s="3316"/>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13" t="s">
        <v>3490</v>
      </c>
      <c r="D19" s="43">
        <f>ROUND($D$3*E19/$E$3,2)</f>
        <v>891.05</v>
      </c>
      <c r="E19" s="51">
        <f t="shared" ref="E19:E26" si="1">SUM(F19:G19)</f>
        <v>1232.79</v>
      </c>
      <c r="F19" s="2555">
        <f>'数据-基础表'!I23</f>
        <v>742.75</v>
      </c>
      <c r="G19" s="1240">
        <f>'数据-基础表'!K23</f>
        <v>490.04</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891.05</v>
      </c>
      <c r="S19" s="51">
        <f t="shared" si="5"/>
        <v>1232.79</v>
      </c>
    </row>
    <row r="20" spans="1:19">
      <c r="A20" s="1546"/>
      <c r="B20" s="45" t="s">
        <v>1153</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891.05</v>
      </c>
      <c r="E27" s="1071">
        <f>IF(SUM(E19:E26)='数据-基础表'!BA5,SUM(E19:E26),IF(F27="地上面积有误","面积有误","地下面积有误"))</f>
        <v>1232.79</v>
      </c>
      <c r="F27" s="1070">
        <f>IF(SUM(F19:F26)=E8,SUM(F19:F26),"地上面积有误")</f>
        <v>742.75</v>
      </c>
      <c r="G27" s="1072">
        <f>SUM(G19:G26)</f>
        <v>490.04</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891.05</v>
      </c>
      <c r="S27" s="43">
        <f>IF(SUM(S19:S26)=$E$3,SUM(S19:S26),SUM(S19:S26)&amp;"误差"&amp;ROUND(SUM(S19:S26)-E3,2))</f>
        <v>1232.79</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1158</v>
      </c>
      <c r="D31" s="641">
        <f>D27+D30</f>
        <v>891.05</v>
      </c>
      <c r="E31" s="641">
        <f>E27+E30</f>
        <v>1232.79</v>
      </c>
      <c r="F31" s="642">
        <f>F27+F30</f>
        <v>742.75</v>
      </c>
      <c r="G31" s="643">
        <f>G27+G30</f>
        <v>490.04</v>
      </c>
      <c r="H31" s="2436"/>
      <c r="I31" s="2436"/>
      <c r="J31" s="2436"/>
      <c r="K31" s="2436"/>
      <c r="L31" s="2436"/>
      <c r="M31" s="2436"/>
      <c r="N31" s="2436"/>
      <c r="O31" s="2436"/>
      <c r="P31" s="2436"/>
    </row>
    <row r="32" spans="1:19">
      <c r="A32" s="1523"/>
      <c r="B32" s="1523" t="s">
        <v>1159</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U15" sqref="U15"/>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1161</v>
      </c>
      <c r="B2" s="982">
        <f>项目基本情况!D3</f>
        <v>45986</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3506</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11号楼</v>
      </c>
      <c r="B6" s="1584" t="str">
        <f>IF(A6=0,"","经营性")</f>
        <v>经营性</v>
      </c>
      <c r="C6" s="1585" t="s">
        <v>21</v>
      </c>
      <c r="D6" s="803">
        <f>SUMIF(项目基本情况!C$12:I$12,C6,项目基本情况!C$14:I$14)</f>
        <v>50</v>
      </c>
      <c r="E6" s="802">
        <f>IF(B6="","",SUMIF(项目基本情况!C$12:I$12,C6,项目基本情况!C$13:I$13))</f>
        <v>58567</v>
      </c>
      <c r="F6" s="61">
        <f>SUMIF(项目基本情况!C$12:I$12,C6,项目基本情况!C$15:I$15)</f>
        <v>34.46</v>
      </c>
      <c r="G6" s="62">
        <f>IF(ISERROR(ROUND(POWER(1+H6,D6-F6)*(POWER(1+H6,F6)-1)/(POWER(1+H6,D6)-1),3)),0,ROUND(POWER(1+H6,D6-F6)*(POWER(1+H6,F6)-1)/(POWER(1+H6,D6)-1),3))</f>
        <v>0.90400000000000003</v>
      </c>
      <c r="H6" s="689">
        <v>5.5E-2</v>
      </c>
      <c r="I6" s="689">
        <v>0.06</v>
      </c>
      <c r="J6" s="63">
        <v>7.4999999999999997E-2</v>
      </c>
      <c r="K6" s="968">
        <f>SUMIF('数据-汇总表'!C$19:C$33,A6,'数据-汇总表'!E$19:E$33)</f>
        <v>1232.79</v>
      </c>
      <c r="L6" s="690">
        <v>10000</v>
      </c>
      <c r="M6" s="64">
        <f t="shared" ref="M6:M14" si="0">ROUND(K6*L6/10000,0)</f>
        <v>1233</v>
      </c>
      <c r="N6" s="688">
        <f>ROUND(1-(1-0%)*(2025-2019)/60,2)</f>
        <v>0.9</v>
      </c>
      <c r="O6" s="64" t="str">
        <f>IF($N$5="成新度","——",ROUND(M6*N6,0))</f>
        <v>——</v>
      </c>
      <c r="P6" s="65" t="str">
        <f>IF($N$5="成新度","——",M6-O6)</f>
        <v>——</v>
      </c>
      <c r="Q6" s="691">
        <v>0.2</v>
      </c>
      <c r="R6" s="66">
        <f ca="1">SUMIF('数据-汇总表'!C$19:C$33,A6,'数据-汇总表'!R$19:R$27)</f>
        <v>891.05</v>
      </c>
      <c r="S6" s="49">
        <f>IF('数据-汇总表'!$I$17="按面积比例",SUMIF('数据-汇总表'!C$19:C$33,A6,'数据-汇总表'!K$19:K$33),SUMIF('数据-汇总表'!C$19:C$33,A6,'数据-汇总表'!N$19:N$33))</f>
        <v>0</v>
      </c>
      <c r="T6" s="1090">
        <f>ROUND($L$14*S6/10000,0)</f>
        <v>0</v>
      </c>
      <c r="U6" s="3124">
        <v>2.4</v>
      </c>
      <c r="V6" s="67">
        <v>1.4999999999999999E-2</v>
      </c>
      <c r="W6" s="67">
        <v>0.2</v>
      </c>
      <c r="X6" s="977"/>
      <c r="Y6" s="68">
        <f>N6</f>
        <v>0.9</v>
      </c>
      <c r="Z6" s="69"/>
      <c r="AA6" s="63"/>
      <c r="AB6" s="63"/>
      <c r="AC6" s="977"/>
      <c r="AD6" s="70"/>
      <c r="AE6" s="978">
        <f ca="1">IF(AN6="",0,SUMIF(INDIRECT("'"&amp;AN6&amp;"'"&amp;"!E:E"),$AE$5,INDIRECT("'"&amp;AN6&amp;"'"&amp;"!F:F")))</f>
        <v>34.46</v>
      </c>
      <c r="AF6" s="74"/>
      <c r="AG6" s="128">
        <f>IF(AF6="",0,AE6-AF6)</f>
        <v>0</v>
      </c>
      <c r="AH6" s="71"/>
      <c r="AI6" s="73">
        <v>365</v>
      </c>
      <c r="AJ6" s="74"/>
      <c r="AK6" s="75">
        <v>5.0000000000000001E-3</v>
      </c>
      <c r="AL6" s="76">
        <v>2E-3</v>
      </c>
      <c r="AM6" s="77">
        <v>0.02</v>
      </c>
      <c r="AN6" s="1586" t="s">
        <v>3507</v>
      </c>
      <c r="AO6" s="50">
        <f ca="1">SUMIF(INDIRECT("'"&amp;AN6&amp;"'"&amp;"!A:A"),"总价",INDIRECT("'"&amp;AN6&amp;"'"&amp;"!B:B"))</f>
        <v>1038</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hidden="1">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hidden="1">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0.90400000000000003</v>
      </c>
      <c r="H16" s="84">
        <f>ROUND(SUMPRODUCT(H6:H13,K6:K13)/SUMPRODUCT((H6:H13&gt;0)*(K6:K13)),3)</f>
        <v>5.5E-2</v>
      </c>
      <c r="I16" s="85"/>
      <c r="J16" s="85"/>
      <c r="K16" s="86">
        <f>SUM(K6:K15)</f>
        <v>1232.79</v>
      </c>
      <c r="L16" s="87">
        <f>ROUND(M16*10000/SUM(K6:K14),0)</f>
        <v>10002</v>
      </c>
      <c r="M16" s="87">
        <f>SUM(M6:M14)</f>
        <v>1233</v>
      </c>
      <c r="N16" s="88">
        <f>ROUND(SUMPRODUCT(M6:M14,N6:N14)/M16,3)</f>
        <v>0.9</v>
      </c>
      <c r="O16" s="87">
        <f>SUM(O6:O14)</f>
        <v>0</v>
      </c>
      <c r="P16" s="87">
        <f>SUM(P6:P14)</f>
        <v>0</v>
      </c>
      <c r="Q16" s="89">
        <f>ROUND(SUMPRODUCT(Q6:Q13,K6:K13)/SUMPRODUCT((Q6:Q13&gt;0)*(K6:K13)),2)</f>
        <v>0.2</v>
      </c>
      <c r="R16" s="972">
        <f ca="1">SUM(R6:R13)</f>
        <v>891.05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7">
        <v>0</v>
      </c>
      <c r="C19" s="2558" t="s">
        <v>2290</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8">
        <v>3</v>
      </c>
      <c r="C20" s="2559" t="s">
        <v>2288</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8">
        <v>3</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9">
        <f>B19+B20</f>
        <v>3</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9">
        <f>B19+B21</f>
        <v>3</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1">
        <v>160</v>
      </c>
      <c r="C27" s="2560" t="s">
        <v>2292</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5">
        <f ca="1">成本法!C10</f>
        <v>25</v>
      </c>
      <c r="C29" s="2561" t="s">
        <v>2282</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6">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7">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8">
        <v>0.05</v>
      </c>
      <c r="C33" s="2562" t="s">
        <v>3369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6">
        <v>0</v>
      </c>
      <c r="C34" s="2562" t="s">
        <v>2283</v>
      </c>
      <c r="D34" s="2457" t="s">
        <v>2289</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3">
        <v>200</v>
      </c>
      <c r="C35" s="2562" t="s">
        <v>2284</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3187">
        <v>0.03</v>
      </c>
      <c r="C36" s="2562" t="s">
        <v>3387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3188">
        <v>0.05</v>
      </c>
      <c r="C37" s="2562" t="s">
        <v>3370</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6">
        <v>0.03</v>
      </c>
      <c r="C38" s="2562" t="s">
        <v>3371</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2298</v>
      </c>
      <c r="B40" s="1013">
        <f ca="1">IF(A40="利息：取LPR",存贷款利率!G1,存贷款利率!G1+C40)</f>
        <v>3.2500000000000001E-2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7">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8">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09">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0">
        <v>0.05</v>
      </c>
      <c r="C44" s="2562" t="s">
        <v>3372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8">
        <v>0.03</v>
      </c>
      <c r="C45" s="2561" t="s">
        <v>2285</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8">
        <v>0.02</v>
      </c>
      <c r="C46" s="2561" t="s">
        <v>2286</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1"/>
      <c r="C47" s="2564" t="s">
        <v>2293</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2">
        <v>0.03</v>
      </c>
      <c r="C48" s="2561" t="s">
        <v>2285</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8">
        <v>5.0000000000000001E-4</v>
      </c>
      <c r="C49" s="2561" t="s">
        <v>2287</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29</v>
      </c>
      <c r="C53" s="2437" t="s">
        <v>1246</v>
      </c>
      <c r="D53" s="2563" t="s">
        <v>2291</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329" t="s">
        <v>2274</v>
      </c>
      <c r="B1" s="3330"/>
      <c r="C1" s="3330"/>
      <c r="D1" s="3330"/>
      <c r="E1" s="3330"/>
      <c r="F1" s="3330"/>
      <c r="G1" s="333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2271</v>
      </c>
      <c r="D2" s="1592"/>
      <c r="E2" s="2257"/>
      <c r="F2" s="2260"/>
      <c r="G2" s="2259" t="s">
        <v>2272</v>
      </c>
      <c r="H2" s="749"/>
      <c r="I2" s="749"/>
      <c r="J2" s="749"/>
      <c r="K2" s="749"/>
      <c r="L2" s="749"/>
      <c r="M2" s="749"/>
      <c r="N2" s="749"/>
      <c r="O2" s="749"/>
      <c r="P2" s="749"/>
      <c r="Q2" s="749"/>
    </row>
    <row r="3" spans="1:29" ht="24">
      <c r="A3" s="2244" t="s">
        <v>2273</v>
      </c>
      <c r="B3" s="2261" t="s">
        <v>2249</v>
      </c>
      <c r="C3" s="2262"/>
      <c r="D3" s="2263"/>
      <c r="E3" s="2245" t="s">
        <v>2273</v>
      </c>
      <c r="F3" s="2264" t="s">
        <v>2250</v>
      </c>
      <c r="G3" s="2265"/>
      <c r="H3" s="749"/>
      <c r="I3" s="749"/>
      <c r="J3" s="749"/>
      <c r="K3" s="749"/>
      <c r="L3" s="749"/>
      <c r="M3" s="749"/>
      <c r="N3" s="749"/>
      <c r="O3" s="749"/>
      <c r="P3" s="749"/>
      <c r="Q3" s="749"/>
    </row>
    <row r="4" spans="1:29">
      <c r="A4" s="2245"/>
      <c r="B4" s="313" t="s">
        <v>2251</v>
      </c>
      <c r="C4" s="2266"/>
      <c r="D4" s="2263"/>
      <c r="E4" s="2267"/>
      <c r="F4" s="1278" t="s">
        <v>2252</v>
      </c>
      <c r="G4" s="2268"/>
      <c r="H4" s="749"/>
      <c r="I4" s="749"/>
      <c r="J4" s="749"/>
      <c r="K4" s="749"/>
      <c r="L4" s="749"/>
      <c r="M4" s="749"/>
      <c r="N4" s="749"/>
      <c r="O4" s="749"/>
      <c r="P4" s="749"/>
      <c r="Q4" s="749"/>
    </row>
    <row r="5" spans="1:29">
      <c r="A5" s="2245"/>
      <c r="B5" s="313" t="s">
        <v>2253</v>
      </c>
      <c r="C5" s="2266"/>
      <c r="D5" s="2263"/>
      <c r="E5" s="2267"/>
      <c r="F5" s="313" t="s">
        <v>2254</v>
      </c>
      <c r="G5" s="2268"/>
      <c r="H5" s="749"/>
      <c r="I5" s="749"/>
      <c r="J5" s="749"/>
      <c r="K5" s="749"/>
      <c r="L5" s="749"/>
      <c r="M5" s="749"/>
      <c r="N5" s="749"/>
      <c r="O5" s="749"/>
      <c r="P5" s="749"/>
      <c r="Q5" s="749"/>
    </row>
    <row r="6" spans="1:29">
      <c r="A6" s="2245"/>
      <c r="B6" s="313" t="s">
        <v>2255</v>
      </c>
      <c r="C6" s="2268"/>
      <c r="D6" s="2263"/>
      <c r="E6" s="2267"/>
      <c r="F6" s="313" t="s">
        <v>2256</v>
      </c>
      <c r="G6" s="2268"/>
      <c r="H6" s="749"/>
      <c r="I6" s="749"/>
      <c r="J6" s="749"/>
      <c r="K6" s="749"/>
      <c r="L6" s="749"/>
      <c r="M6" s="749"/>
      <c r="N6" s="749"/>
      <c r="O6" s="749"/>
      <c r="P6" s="749"/>
      <c r="Q6" s="749"/>
    </row>
    <row r="7" spans="1:29" ht="15" thickBot="1">
      <c r="A7" s="2245"/>
      <c r="B7" s="313" t="s">
        <v>2254</v>
      </c>
      <c r="C7" s="2268"/>
      <c r="D7" s="2242"/>
      <c r="E7" s="2269"/>
      <c r="F7" s="2270" t="s">
        <v>2257</v>
      </c>
      <c r="G7" s="2271"/>
      <c r="H7" s="749"/>
      <c r="I7" s="749"/>
      <c r="J7" s="749"/>
      <c r="K7" s="749"/>
      <c r="L7" s="749"/>
      <c r="M7" s="749"/>
      <c r="N7" s="749"/>
      <c r="O7" s="749"/>
      <c r="P7" s="749"/>
      <c r="Q7" s="749"/>
    </row>
    <row r="8" spans="1:29">
      <c r="A8" s="2245"/>
      <c r="B8" s="313" t="s">
        <v>2256</v>
      </c>
      <c r="C8" s="2268"/>
      <c r="D8" s="2242"/>
      <c r="E8" s="2242"/>
      <c r="F8" s="119"/>
      <c r="G8" s="119"/>
      <c r="H8" s="749"/>
      <c r="I8" s="749"/>
      <c r="J8" s="749"/>
      <c r="K8" s="749"/>
      <c r="L8" s="749"/>
      <c r="M8" s="749"/>
      <c r="N8" s="749"/>
      <c r="O8" s="749"/>
      <c r="P8" s="749"/>
      <c r="Q8" s="749"/>
    </row>
    <row r="9" spans="1:29">
      <c r="A9" s="2245"/>
      <c r="B9" s="313" t="s">
        <v>2258</v>
      </c>
      <c r="C9" s="2266"/>
      <c r="D9" s="2263"/>
      <c r="E9" s="2242"/>
      <c r="F9" s="119"/>
      <c r="G9" s="119"/>
      <c r="H9" s="749"/>
      <c r="I9" s="749"/>
      <c r="J9" s="749"/>
      <c r="K9" s="749"/>
      <c r="L9" s="749"/>
      <c r="M9" s="749"/>
      <c r="N9" s="749"/>
      <c r="O9" s="749"/>
      <c r="P9" s="749"/>
      <c r="Q9" s="749"/>
    </row>
    <row r="10" spans="1:29" ht="15" thickBot="1">
      <c r="A10" s="2246"/>
      <c r="B10" s="2272" t="s">
        <v>2259</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2275</v>
      </c>
      <c r="B13" s="2277"/>
      <c r="C13" s="2277"/>
      <c r="D13" s="2276"/>
      <c r="E13" s="2277"/>
      <c r="F13" s="2277"/>
      <c r="G13" s="2277"/>
    </row>
    <row r="14" spans="1:29" ht="15" thickBot="1">
      <c r="A14" s="2282"/>
      <c r="B14" s="2282"/>
      <c r="C14" s="2283" t="s">
        <v>2260</v>
      </c>
      <c r="D14" s="2263"/>
      <c r="E14" s="2284"/>
      <c r="F14" s="2284"/>
      <c r="G14" s="2259" t="s">
        <v>2261</v>
      </c>
    </row>
    <row r="15" spans="1:29" ht="24">
      <c r="A15" s="2247" t="s">
        <v>2262</v>
      </c>
      <c r="B15" s="2285" t="s">
        <v>2249</v>
      </c>
      <c r="C15" s="2286">
        <f>C3</f>
        <v>0</v>
      </c>
      <c r="D15" s="2263"/>
      <c r="E15" s="2248" t="s">
        <v>2263</v>
      </c>
      <c r="F15" s="2285" t="s">
        <v>2264</v>
      </c>
      <c r="G15" s="2287">
        <f>G3</f>
        <v>0</v>
      </c>
    </row>
    <row r="16" spans="1:29">
      <c r="A16" s="2249"/>
      <c r="B16" s="2288" t="s">
        <v>2251</v>
      </c>
      <c r="C16" s="2289">
        <f>C4</f>
        <v>0</v>
      </c>
      <c r="D16" s="2263"/>
      <c r="E16" s="2250"/>
      <c r="F16" s="2290" t="s">
        <v>2252</v>
      </c>
      <c r="G16" s="2291">
        <f>G4</f>
        <v>0</v>
      </c>
    </row>
    <row r="17" spans="1:17">
      <c r="A17" s="2249"/>
      <c r="B17" s="2288" t="s">
        <v>2253</v>
      </c>
      <c r="C17" s="2289">
        <f>C5</f>
        <v>0</v>
      </c>
      <c r="D17" s="2242"/>
      <c r="E17" s="2250"/>
      <c r="F17" s="2290" t="s">
        <v>2265</v>
      </c>
      <c r="G17" s="2292"/>
    </row>
    <row r="18" spans="1:17">
      <c r="A18" s="2249"/>
      <c r="B18" s="2290" t="s">
        <v>2255</v>
      </c>
      <c r="C18" s="2291">
        <f>C6</f>
        <v>0</v>
      </c>
      <c r="D18" s="2242"/>
      <c r="E18" s="2250"/>
      <c r="F18" s="2290" t="s">
        <v>2257</v>
      </c>
      <c r="G18" s="2291">
        <f>G7</f>
        <v>0</v>
      </c>
    </row>
    <row r="19" spans="1:17">
      <c r="A19" s="2249"/>
      <c r="B19" s="2290" t="s">
        <v>2266</v>
      </c>
      <c r="C19" s="2292"/>
      <c r="D19" s="2263"/>
      <c r="E19" s="2250"/>
      <c r="F19" s="313" t="s">
        <v>2254</v>
      </c>
      <c r="G19" s="2291">
        <f>G5</f>
        <v>0</v>
      </c>
    </row>
    <row r="20" spans="1:17">
      <c r="A20" s="2249"/>
      <c r="B20" s="2290" t="s">
        <v>2267</v>
      </c>
      <c r="C20" s="2289">
        <f>C9</f>
        <v>0</v>
      </c>
      <c r="D20" s="2242"/>
      <c r="E20" s="2250"/>
      <c r="F20" s="313" t="s">
        <v>2256</v>
      </c>
      <c r="G20" s="2291">
        <f>G6</f>
        <v>0</v>
      </c>
    </row>
    <row r="21" spans="1:17">
      <c r="A21" s="2249"/>
      <c r="B21" s="313" t="s">
        <v>2254</v>
      </c>
      <c r="C21" s="2291">
        <f>C7</f>
        <v>0</v>
      </c>
      <c r="D21" s="2263"/>
      <c r="E21" s="2250"/>
      <c r="F21" s="2290" t="s">
        <v>2268</v>
      </c>
      <c r="G21" s="2293"/>
    </row>
    <row r="22" spans="1:17" ht="13.5" customHeight="1">
      <c r="A22" s="2249"/>
      <c r="B22" s="313" t="s">
        <v>2256</v>
      </c>
      <c r="C22" s="2291">
        <f>C8</f>
        <v>0</v>
      </c>
      <c r="D22" s="2263"/>
      <c r="E22" s="2250"/>
      <c r="F22" s="2290" t="s">
        <v>2259</v>
      </c>
      <c r="G22" s="2292"/>
    </row>
    <row r="23" spans="1:17" s="749" customFormat="1" ht="15" thickBot="1">
      <c r="A23" s="2249"/>
      <c r="B23" s="2290" t="s">
        <v>2268</v>
      </c>
      <c r="C23" s="2293"/>
      <c r="D23" s="1611"/>
      <c r="E23" s="2251"/>
      <c r="F23" s="2294" t="s">
        <v>2269</v>
      </c>
      <c r="G23" s="2295"/>
      <c r="H23" s="2274"/>
      <c r="I23" s="2274"/>
      <c r="J23" s="2274"/>
      <c r="K23" s="2274"/>
      <c r="L23" s="2274"/>
      <c r="M23" s="2274"/>
      <c r="N23" s="2274"/>
      <c r="O23" s="2274"/>
      <c r="P23" s="2274"/>
      <c r="Q23" s="2274"/>
    </row>
    <row r="24" spans="1:17" s="749" customFormat="1" ht="15" thickBot="1">
      <c r="A24" s="2252"/>
      <c r="B24" s="2294" t="s">
        <v>2270</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1232.79</v>
      </c>
      <c r="C1" s="2459"/>
      <c r="D1" s="2459"/>
      <c r="E1" s="2459"/>
      <c r="F1" s="2459"/>
      <c r="G1" s="2460"/>
      <c r="H1" s="2460"/>
      <c r="I1" s="2460"/>
      <c r="J1" s="2460"/>
      <c r="K1" s="2460"/>
    </row>
    <row r="2" spans="1:11" ht="16.5">
      <c r="A2" s="2297" t="s">
        <v>653</v>
      </c>
      <c r="B2" s="2297">
        <f>SUM(C14:C23)</f>
        <v>891.05</v>
      </c>
      <c r="C2" s="2459"/>
      <c r="D2" s="2459"/>
      <c r="E2" s="2459"/>
      <c r="F2" s="2459"/>
      <c r="G2" s="2460"/>
      <c r="H2" s="2460"/>
      <c r="I2" s="2460"/>
      <c r="J2" s="2460"/>
      <c r="K2" s="2460"/>
    </row>
    <row r="3" spans="1:11" ht="16.5">
      <c r="A3" s="2297" t="s">
        <v>662</v>
      </c>
      <c r="B3" s="2299">
        <f>项目基本情况!D3</f>
        <v>45986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5980</v>
      </c>
      <c r="C5" s="2297">
        <f ca="1">IF(B5=D14,结果表!H102,ROUND(B5*10000/$B$1,0))</f>
        <v>0</v>
      </c>
      <c r="D5" s="2297">
        <f ca="1">ROUND(B5*10000/$B$2,0)</f>
        <v>67112</v>
      </c>
      <c r="E5" s="2459"/>
      <c r="F5" s="2460"/>
      <c r="G5" s="2460"/>
      <c r="H5" s="2460"/>
      <c r="I5" s="2460"/>
      <c r="J5" s="2460"/>
      <c r="K5" s="2460"/>
    </row>
    <row r="6" spans="1:11" ht="16.5">
      <c r="A6" s="2297" t="s">
        <v>656</v>
      </c>
      <c r="B6" s="2297">
        <f ca="1">SUM(G14:G23)</f>
        <v>5980</v>
      </c>
      <c r="C6" s="2297">
        <f ca="1">IF(B6=G14,结果表!H108,ROUND(B6*10000/$B$1,0))</f>
        <v>0</v>
      </c>
      <c r="D6" s="2297">
        <f ca="1">ROUND(B6*10000/$B$2,0)</f>
        <v>67112</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3342</v>
      </c>
      <c r="D10" s="2297" t="s">
        <v>3343</v>
      </c>
      <c r="E10" s="3134"/>
      <c r="F10" s="3138" t="s">
        <v>3344</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'数据-汇总表'!E3</f>
        <v>1232.79</v>
      </c>
      <c r="C14" s="2303">
        <f>'数据-汇总表'!D3</f>
        <v>891.05</v>
      </c>
      <c r="D14" s="2303">
        <f ca="1">典型户型修正!B20</f>
        <v>5980</v>
      </c>
      <c r="E14" s="2303">
        <f ca="1">ROUND(D14*10000/B14,0)</f>
        <v>48508</v>
      </c>
      <c r="F14" s="2303">
        <f ca="1">ROUND(D14*10000/C14,0)</f>
        <v>67112</v>
      </c>
      <c r="G14" s="2303">
        <f ca="1">D14</f>
        <v>5980</v>
      </c>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19" sqref="I19"/>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98" t="str">
        <f>项目基本情况!S2</f>
        <v>房地产</v>
      </c>
      <c r="B2" s="3399"/>
      <c r="C2" s="3399"/>
      <c r="D2" s="3399"/>
      <c r="E2" s="3399"/>
      <c r="F2" s="3399"/>
      <c r="G2" s="3399"/>
      <c r="H2" s="3399"/>
      <c r="I2" s="3400"/>
    </row>
    <row r="3" spans="1:12" ht="12.75">
      <c r="A3" s="3402" t="s">
        <v>1264</v>
      </c>
      <c r="B3" s="3403"/>
      <c r="C3" s="3403"/>
      <c r="D3" s="3403"/>
      <c r="E3" s="3403"/>
      <c r="F3" s="3403"/>
      <c r="G3" s="3403"/>
      <c r="H3" s="3403"/>
      <c r="I3" s="3403"/>
    </row>
    <row r="4" spans="1:12" ht="14.25">
      <c r="A4" s="1621" t="s">
        <v>1265</v>
      </c>
      <c r="B4" s="1622" t="s">
        <v>1266</v>
      </c>
      <c r="C4" s="1623" t="s">
        <v>3508</v>
      </c>
      <c r="D4" s="1623" t="s">
        <v>3507</v>
      </c>
      <c r="E4" s="3407" t="s">
        <v>1267</v>
      </c>
      <c r="F4" s="3408"/>
      <c r="G4" s="3408"/>
      <c r="H4" s="3408"/>
      <c r="I4" s="340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346" t="s">
        <v>1268</v>
      </c>
      <c r="B5" s="3401">
        <v>25</v>
      </c>
      <c r="C5" s="3404"/>
      <c r="D5" s="3392"/>
      <c r="E5" s="121" t="s">
        <v>1269</v>
      </c>
      <c r="F5" s="1624"/>
      <c r="G5" s="1624"/>
      <c r="H5" s="1624"/>
      <c r="I5" s="1278"/>
    </row>
    <row r="6" spans="1:12" ht="12.75">
      <c r="A6" s="3346"/>
      <c r="B6" s="3401"/>
      <c r="C6" s="3406"/>
      <c r="D6" s="3392"/>
      <c r="E6" s="121" t="s">
        <v>1270</v>
      </c>
      <c r="F6" s="1624"/>
      <c r="G6" s="1624"/>
      <c r="H6" s="1624"/>
      <c r="I6" s="1278"/>
    </row>
    <row r="7" spans="1:12" ht="12.75">
      <c r="A7" s="3346"/>
      <c r="B7" s="3401"/>
      <c r="C7" s="3405"/>
      <c r="D7" s="3392"/>
      <c r="E7" s="121" t="s">
        <v>1271</v>
      </c>
      <c r="F7" s="1624"/>
      <c r="G7" s="1624"/>
      <c r="H7" s="1624"/>
      <c r="I7" s="1278"/>
    </row>
    <row r="8" spans="1:12" ht="12.75">
      <c r="A8" s="3346" t="s">
        <v>1272</v>
      </c>
      <c r="B8" s="3401">
        <v>15</v>
      </c>
      <c r="C8" s="3404"/>
      <c r="D8" s="3392"/>
      <c r="E8" s="121" t="s">
        <v>1273</v>
      </c>
      <c r="F8" s="1624"/>
      <c r="G8" s="1624"/>
      <c r="H8" s="1624"/>
      <c r="I8" s="1278"/>
    </row>
    <row r="9" spans="1:12" ht="12.75">
      <c r="A9" s="3346"/>
      <c r="B9" s="3401"/>
      <c r="C9" s="3405"/>
      <c r="D9" s="3392"/>
      <c r="E9" s="121" t="s">
        <v>1274</v>
      </c>
      <c r="F9" s="1624"/>
      <c r="G9" s="1624"/>
      <c r="H9" s="1624"/>
      <c r="I9" s="1278"/>
    </row>
    <row r="10" spans="1:12" ht="12.75">
      <c r="A10" s="3346" t="s">
        <v>1275</v>
      </c>
      <c r="B10" s="3401">
        <v>15</v>
      </c>
      <c r="C10" s="3404"/>
      <c r="D10" s="3392"/>
      <c r="E10" s="121" t="s">
        <v>1276</v>
      </c>
      <c r="F10" s="1624"/>
      <c r="G10" s="1624"/>
      <c r="H10" s="1624"/>
      <c r="I10" s="1278"/>
    </row>
    <row r="11" spans="1:12" ht="12.75">
      <c r="A11" s="3346"/>
      <c r="B11" s="3401"/>
      <c r="C11" s="3405"/>
      <c r="D11" s="3392"/>
      <c r="E11" s="121" t="s">
        <v>1277</v>
      </c>
      <c r="F11" s="1624"/>
      <c r="G11" s="1624"/>
      <c r="H11" s="1624"/>
      <c r="I11" s="1278"/>
    </row>
    <row r="12" spans="1:12" ht="12.75">
      <c r="A12" s="3346" t="s">
        <v>1278</v>
      </c>
      <c r="B12" s="3401">
        <v>15</v>
      </c>
      <c r="C12" s="3404"/>
      <c r="D12" s="3392"/>
      <c r="E12" s="121" t="s">
        <v>1279</v>
      </c>
      <c r="F12" s="1624"/>
      <c r="G12" s="1624"/>
      <c r="H12" s="1624"/>
      <c r="I12" s="1278"/>
    </row>
    <row r="13" spans="1:12" ht="12.75">
      <c r="A13" s="3346"/>
      <c r="B13" s="3401"/>
      <c r="C13" s="3405"/>
      <c r="D13" s="3392"/>
      <c r="E13" s="121" t="s">
        <v>1280</v>
      </c>
      <c r="F13" s="1624"/>
      <c r="G13" s="1624"/>
      <c r="H13" s="1624"/>
      <c r="I13" s="1278"/>
    </row>
    <row r="14" spans="1:12" ht="12.75">
      <c r="A14" s="3346" t="s">
        <v>1281</v>
      </c>
      <c r="B14" s="3401">
        <v>30</v>
      </c>
      <c r="C14" s="3404">
        <v>7</v>
      </c>
      <c r="D14" s="3392">
        <v>3</v>
      </c>
      <c r="E14" s="121" t="s">
        <v>1282</v>
      </c>
      <c r="F14" s="1624"/>
      <c r="G14" s="1624"/>
      <c r="H14" s="1624"/>
      <c r="I14" s="1278"/>
    </row>
    <row r="15" spans="1:12" ht="12.75">
      <c r="A15" s="3346"/>
      <c r="B15" s="3401"/>
      <c r="C15" s="3406"/>
      <c r="D15" s="3392"/>
      <c r="E15" s="121" t="s">
        <v>1283</v>
      </c>
      <c r="F15" s="1624"/>
      <c r="G15" s="1624"/>
      <c r="H15" s="1624"/>
      <c r="I15" s="1278"/>
    </row>
    <row r="16" spans="1:12" ht="12.75">
      <c r="A16" s="3346"/>
      <c r="B16" s="3401"/>
      <c r="C16" s="3405"/>
      <c r="D16" s="3392"/>
      <c r="E16" s="121" t="s">
        <v>1284</v>
      </c>
      <c r="F16" s="1624"/>
      <c r="G16" s="1624"/>
      <c r="H16" s="1624"/>
      <c r="I16" s="1278"/>
    </row>
    <row r="17" spans="1:36" ht="15">
      <c r="A17" s="1625" t="s">
        <v>1285</v>
      </c>
      <c r="B17" s="54"/>
      <c r="C17" s="122">
        <f>SUM(C5:C16)</f>
        <v>7</v>
      </c>
      <c r="D17" s="122">
        <f>SUM(D5:D16)</f>
        <v>3</v>
      </c>
      <c r="E17" s="119"/>
      <c r="F17" s="119"/>
      <c r="G17" s="119"/>
      <c r="H17" s="119"/>
      <c r="I17" s="119"/>
      <c r="K17" s="292"/>
      <c r="L17" s="292" t="s">
        <v>1286</v>
      </c>
      <c r="M17" s="292" t="s">
        <v>1287</v>
      </c>
    </row>
    <row r="18" spans="1:36" ht="31.9" customHeight="1" thickBot="1">
      <c r="A18" s="1626" t="s">
        <v>1288</v>
      </c>
      <c r="B18" s="1539"/>
      <c r="C18" s="123">
        <f>ROUND(C17/SUM(C17:D17),2)</f>
        <v>0.7</v>
      </c>
      <c r="D18" s="123">
        <f>1-C18</f>
        <v>0.30000000000000004</v>
      </c>
      <c r="E18" s="3423" t="s">
        <v>2128</v>
      </c>
      <c r="F18" s="3424"/>
      <c r="G18" s="3424"/>
      <c r="H18" s="3424"/>
      <c r="I18" s="3424"/>
      <c r="K18" s="292" t="s">
        <v>1289</v>
      </c>
      <c r="L18" s="292">
        <f>IF(C1="",'数据-汇总表'!E3,SUMIF(项目类型,C1,'数据-汇总表'!E17:E26)+SUMIF(项目类型,C1,'数据-汇总表'!I17:I26))</f>
        <v>1232.79</v>
      </c>
      <c r="M18" s="292">
        <f>IF(C1="",'数据-汇总表'!E3,SUMIF(项目类型,C1,'数据-汇总表'!E17:E26))</f>
        <v>1232.79</v>
      </c>
    </row>
    <row r="19" spans="1:36" ht="15">
      <c r="A19" s="1627" t="s">
        <v>1290</v>
      </c>
      <c r="B19" s="1628" t="s">
        <v>1291</v>
      </c>
      <c r="C19" s="124">
        <f ca="1">SUMIF(INDIRECT("'"&amp;C4&amp;"'"&amp;"!A:A"),结果表!B19,INDIRECT("'"&amp;C4&amp;"'"&amp;"!B:B"))</f>
        <v>3827</v>
      </c>
      <c r="D19" s="125">
        <f ca="1">SUMIF(INDIRECT("'"&amp;D4&amp;"'"&amp;"!A:A"),结果表!B19,INDIRECT("'"&amp;D4&amp;"'"&amp;"!B:B"))</f>
        <v>1038</v>
      </c>
      <c r="E19" s="1627" t="s">
        <v>1292</v>
      </c>
      <c r="F19" s="1628" t="s">
        <v>1291</v>
      </c>
      <c r="G19" s="126">
        <f ca="1">ROUND(C19*$C$18+D19*$D$18,0)</f>
        <v>2990</v>
      </c>
      <c r="H19" s="1629" t="s">
        <v>1293</v>
      </c>
      <c r="I19" s="119"/>
      <c r="K19" s="292" t="s">
        <v>1294</v>
      </c>
      <c r="L19" s="292">
        <f>IF(C1="",'数据-汇总表'!D3,SUMIF(项目类型,C1,'数据-汇总表'!D17:D26)+SUMIF(项目类型,C1,'数据-汇总表'!H17:H27))</f>
        <v>891.05</v>
      </c>
      <c r="M19" s="292">
        <f>IF(C1="",'数据-汇总表'!D3,SUMIF(项目类型,C1,'数据-汇总表'!D17:D26))</f>
        <v>891.05</v>
      </c>
    </row>
    <row r="20" spans="1:36" ht="15">
      <c r="A20" s="1630"/>
      <c r="B20" s="43" t="s">
        <v>1295</v>
      </c>
      <c r="C20" s="127">
        <f ca="1">SUMIF(INDIRECT("'"&amp;C4&amp;"'"&amp;"!A:A"),结果表!B20,INDIRECT("'"&amp;C4&amp;"'"&amp;"!B:B"))</f>
        <v>31043</v>
      </c>
      <c r="D20" s="128">
        <f ca="1">SUMIF(INDIRECT("'"&amp;D4&amp;"'"&amp;"!A:A"),结果表!B20,INDIRECT("'"&amp;D4&amp;"'"&amp;"!B:B"))</f>
        <v>8420</v>
      </c>
      <c r="E20" s="1630"/>
      <c r="F20" s="43" t="s">
        <v>1295</v>
      </c>
      <c r="G20" s="129">
        <f ca="1">ROUND(C20*$C$18+D20*$D$18,0)</f>
        <v>24256</v>
      </c>
      <c r="H20" s="758" t="s">
        <v>1296</v>
      </c>
      <c r="I20" s="119"/>
    </row>
    <row r="21" spans="1:36" ht="15" customHeight="1" thickBot="1">
      <c r="A21" s="447"/>
      <c r="B21" s="93" t="s">
        <v>1297</v>
      </c>
      <c r="C21" s="676">
        <f ca="1">ROUND(C19*10000/L19,0)</f>
        <v>42949</v>
      </c>
      <c r="D21" s="677">
        <f ca="1">ROUND(D19*10000/L19,0)</f>
        <v>11649</v>
      </c>
      <c r="E21" s="447"/>
      <c r="F21" s="93" t="s">
        <v>1297</v>
      </c>
      <c r="G21" s="130">
        <f ca="1">ROUND(G19*10000/L19,0)</f>
        <v>33556</v>
      </c>
      <c r="H21" s="1631" t="s">
        <v>1296</v>
      </c>
      <c r="I21" s="119"/>
    </row>
    <row r="22" spans="1:36" ht="15" thickBot="1">
      <c r="A22" s="1561" t="s">
        <v>1298</v>
      </c>
      <c r="B22" s="1632"/>
      <c r="C22" s="1633"/>
      <c r="D22" s="678">
        <f ca="1">IF(C19&lt;D19,D19/C19-1,C19/D19-1)</f>
        <v>2.6868978805394992</v>
      </c>
      <c r="E22" s="119"/>
      <c r="F22" s="119"/>
      <c r="G22" s="119"/>
      <c r="H22" s="119"/>
      <c r="I22" s="119"/>
    </row>
    <row r="23" spans="1:36" ht="13.5" thickBot="1">
      <c r="A23" s="644"/>
      <c r="B23" s="644"/>
      <c r="C23" s="644"/>
      <c r="D23" s="644"/>
      <c r="E23" s="119"/>
      <c r="F23" s="119"/>
      <c r="G23" s="119"/>
      <c r="H23" s="119"/>
      <c r="I23" s="119"/>
    </row>
    <row r="24" spans="1:36" ht="14.25">
      <c r="A24" s="3416" t="s">
        <v>1299</v>
      </c>
      <c r="B24" s="1628" t="s">
        <v>1291</v>
      </c>
      <c r="C24" s="126">
        <f>IF(B30=0,0,D30)</f>
        <v>0</v>
      </c>
      <c r="D24" s="1634"/>
      <c r="E24" s="119"/>
      <c r="F24" s="119"/>
      <c r="G24" s="119"/>
      <c r="H24" s="119"/>
      <c r="I24" s="119"/>
    </row>
    <row r="25" spans="1:36" ht="14.25">
      <c r="A25" s="3417"/>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c r="D30" s="132"/>
      <c r="E30" s="2124" t="s">
        <v>2129</v>
      </c>
      <c r="F30" s="119"/>
      <c r="G30" s="119"/>
      <c r="H30" s="119"/>
      <c r="I30" s="119"/>
    </row>
    <row r="31" spans="1:36" s="2130" customFormat="1" ht="26.45" customHeight="1" thickTop="1" thickBot="1">
      <c r="A31" s="2125"/>
      <c r="B31" s="2126"/>
      <c r="C31" s="2126"/>
      <c r="D31" s="2126"/>
      <c r="E31" s="2126"/>
      <c r="F31" s="2126"/>
      <c r="G31" s="2126"/>
      <c r="H31" s="2126"/>
      <c r="I31" s="2127" t="s">
        <v>2130</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4">
        <f ca="1">IF(D32="总价",G19-C24,G20-C25)</f>
        <v>24256</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393" t="s">
        <v>1312</v>
      </c>
      <c r="B36" s="1649" t="s">
        <v>1313</v>
      </c>
      <c r="C36" s="135"/>
      <c r="D36" s="1650"/>
      <c r="E36" s="1564"/>
      <c r="F36" s="1651"/>
      <c r="G36" s="119"/>
      <c r="H36" s="119"/>
      <c r="I36" s="119"/>
    </row>
    <row r="37" spans="1:15" ht="15.75" thickBot="1">
      <c r="A37" s="3394"/>
      <c r="B37" s="1552" t="s">
        <v>1314</v>
      </c>
      <c r="C37" s="137"/>
      <c r="D37" s="1069"/>
      <c r="E37" s="1069"/>
      <c r="F37" s="1651"/>
      <c r="G37" s="119"/>
      <c r="H37" s="119"/>
      <c r="I37" s="119"/>
    </row>
    <row r="38" spans="1:15" ht="15.75" thickBot="1">
      <c r="A38" s="3395"/>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13" t="s">
        <v>1326</v>
      </c>
      <c r="B45" s="3414"/>
      <c r="C45" s="3415"/>
      <c r="D45" s="145" t="e">
        <f ca="1">ROUND(H101*F45,0)</f>
        <v>#REF!</v>
      </c>
      <c r="E45" s="146" t="s">
        <v>1327</v>
      </c>
      <c r="F45" s="147">
        <v>1</v>
      </c>
      <c r="G45" s="148" t="s">
        <v>1328</v>
      </c>
      <c r="H45" s="119"/>
      <c r="I45" s="119"/>
      <c r="J45" s="3333" t="s">
        <v>1329</v>
      </c>
      <c r="K45" s="3333"/>
      <c r="L45" s="3333"/>
      <c r="M45" s="3333"/>
      <c r="N45" s="3333"/>
      <c r="O45" s="3333"/>
    </row>
    <row r="46" spans="1:15" ht="14.25" customHeight="1">
      <c r="A46" s="3410" t="s">
        <v>1330</v>
      </c>
      <c r="B46" s="3411"/>
      <c r="C46" s="3411"/>
      <c r="D46" s="3411"/>
      <c r="E46" s="3411"/>
      <c r="F46" s="3411"/>
      <c r="G46" s="3412"/>
      <c r="H46" s="1665"/>
      <c r="I46" s="149"/>
      <c r="J46" s="2307">
        <v>1</v>
      </c>
      <c r="K46" s="3334" t="s">
        <v>1331</v>
      </c>
      <c r="L46" s="3334"/>
      <c r="M46" s="3335"/>
      <c r="N46" s="3335"/>
      <c r="O46" s="3335"/>
    </row>
    <row r="47" spans="1:15" ht="12" customHeight="1">
      <c r="A47" s="150" t="s">
        <v>1332</v>
      </c>
      <c r="B47" s="151"/>
      <c r="C47" s="152"/>
      <c r="D47" s="1022" t="s">
        <v>1333</v>
      </c>
      <c r="E47" s="292" t="s">
        <v>1334</v>
      </c>
      <c r="F47" s="153" t="s">
        <v>1335</v>
      </c>
      <c r="G47" s="2330" t="s">
        <v>1336</v>
      </c>
      <c r="H47" s="2331"/>
      <c r="I47" s="149"/>
      <c r="J47" s="2307">
        <v>2</v>
      </c>
      <c r="K47" s="3334" t="s">
        <v>1337</v>
      </c>
      <c r="L47" s="3334"/>
      <c r="M47" s="3336">
        <f>'数据-取费表'!B2</f>
        <v>45986</v>
      </c>
      <c r="N47" s="3336"/>
      <c r="O47" s="3336"/>
    </row>
    <row r="48" spans="1:15" ht="25.5">
      <c r="A48" s="3396" t="s">
        <v>1338</v>
      </c>
      <c r="B48" s="3397"/>
      <c r="C48" s="3397"/>
      <c r="D48" s="12" t="b">
        <f>IF(H48="情况1",0,IF(H48="情况2",D52,IF(H48="情况3",D53,IF(H48="情况4",D54))))</f>
        <v>0</v>
      </c>
      <c r="E48" s="1253" t="str">
        <f>IF(H48="情况4","(销售额-原购置价)×税（费）率","销售额×税（费）率")</f>
        <v>销售额×税（费）率</v>
      </c>
      <c r="F48" s="2332">
        <f>IF(H48="情况1","免征",'数据-取费表'!B41)</f>
        <v>5.5000000000000007E-2</v>
      </c>
      <c r="G48" s="2333" t="s">
        <v>1339</v>
      </c>
      <c r="H48" s="2334"/>
      <c r="I48" s="1665"/>
      <c r="J48" s="2307">
        <v>3</v>
      </c>
      <c r="K48" s="3334" t="s">
        <v>1340</v>
      </c>
      <c r="L48" s="3334"/>
      <c r="M48" s="3337" t="e">
        <f ca="1">H101</f>
        <v>#REF!</v>
      </c>
      <c r="N48" s="3337"/>
      <c r="O48" s="3337"/>
    </row>
    <row r="49" spans="1:35" ht="25.5" customHeight="1">
      <c r="A49" s="2149" t="s">
        <v>1341</v>
      </c>
      <c r="B49" s="3382" t="s">
        <v>1342</v>
      </c>
      <c r="C49" s="3382"/>
      <c r="D49" s="1475">
        <v>0</v>
      </c>
      <c r="E49" s="314" t="s">
        <v>1343</v>
      </c>
      <c r="F49" s="2230" t="s">
        <v>28</v>
      </c>
      <c r="G49" s="3365"/>
      <c r="H49" s="2131" t="s">
        <v>2131</v>
      </c>
      <c r="I49" s="2132"/>
      <c r="J49" s="2307">
        <v>4</v>
      </c>
      <c r="K49" s="3334" t="str">
        <f>IF(项目基本情况!E8="房地产抵押价值","房地产抵押价值","抵押担保权已注销时的房地产抵押价值")</f>
        <v>抵押担保权已注销时的房地产抵押价值</v>
      </c>
      <c r="L49" s="3334"/>
      <c r="M49" s="3337" t="str">
        <f>IF(项目基本情况!E8="房地产抵押价值",H107,H109)</f>
        <v>——</v>
      </c>
      <c r="N49" s="3337"/>
      <c r="O49" s="3337"/>
    </row>
    <row r="50" spans="1:35" ht="25.5" customHeight="1">
      <c r="A50" s="2335"/>
      <c r="B50" s="3382" t="s">
        <v>1344</v>
      </c>
      <c r="C50" s="3382"/>
      <c r="D50" s="2186"/>
      <c r="E50" s="321"/>
      <c r="F50" s="2230"/>
      <c r="G50" s="3366"/>
      <c r="H50" s="2133" t="s">
        <v>2132</v>
      </c>
      <c r="I50" s="2132"/>
      <c r="J50" s="3333" t="s">
        <v>1345</v>
      </c>
      <c r="K50" s="3333"/>
      <c r="L50" s="3333"/>
      <c r="M50" s="3333"/>
      <c r="N50" s="3333"/>
      <c r="O50" s="3333"/>
    </row>
    <row r="51" spans="1:35" ht="20.45" customHeight="1">
      <c r="A51" s="2336"/>
      <c r="B51" s="3382" t="s">
        <v>1346</v>
      </c>
      <c r="C51" s="3382"/>
      <c r="D51" s="1022"/>
      <c r="E51" s="317"/>
      <c r="F51" s="2230"/>
      <c r="G51" s="3367"/>
      <c r="H51" s="2133" t="s">
        <v>2133</v>
      </c>
      <c r="I51" s="2132"/>
      <c r="J51" s="2308" t="s">
        <v>1347</v>
      </c>
      <c r="K51" s="3334" t="s">
        <v>1348</v>
      </c>
      <c r="L51" s="3334"/>
      <c r="M51" s="2308" t="s">
        <v>1349</v>
      </c>
      <c r="N51" s="2308" t="s">
        <v>1350</v>
      </c>
      <c r="O51" s="2308" t="s">
        <v>1351</v>
      </c>
    </row>
    <row r="52" spans="1:35" ht="24" customHeight="1">
      <c r="A52" s="2150" t="s">
        <v>1352</v>
      </c>
      <c r="B52" s="3382" t="s">
        <v>1353</v>
      </c>
      <c r="C52" s="3382"/>
      <c r="D52" s="1022" t="e">
        <f ca="1">ROUND(D45*'数据-取费表'!B41/(1+'数据-取费表'!C42),0)</f>
        <v>#REF!</v>
      </c>
      <c r="E52" s="1253" t="s">
        <v>1354</v>
      </c>
      <c r="F52" s="2337">
        <f>'数据-取费表'!B41</f>
        <v>5.5000000000000007E-2</v>
      </c>
      <c r="G52" s="2338"/>
      <c r="H52" s="2328"/>
      <c r="I52" s="1666"/>
      <c r="J52" s="2307">
        <v>1</v>
      </c>
      <c r="K52" s="3359" t="s">
        <v>1355</v>
      </c>
      <c r="L52" s="3359"/>
      <c r="M52" s="2309" t="b">
        <f>D48</f>
        <v>0</v>
      </c>
      <c r="N52" s="2307" t="str">
        <f>E48</f>
        <v>销售额×税（费）率</v>
      </c>
      <c r="O52" s="2310">
        <f>F48</f>
        <v>5.5000000000000007E-2</v>
      </c>
    </row>
    <row r="53" spans="1:35" ht="12" customHeight="1">
      <c r="A53" s="2150" t="s">
        <v>1356</v>
      </c>
      <c r="B53" s="3383" t="s">
        <v>2279</v>
      </c>
      <c r="C53" s="3384"/>
      <c r="D53" s="1022" t="e">
        <f ca="1">ROUND(D45*'数据-取费表'!B41/(1+'数据-取费表'!C42),0)</f>
        <v>#REF!</v>
      </c>
      <c r="E53" s="1253" t="s">
        <v>1354</v>
      </c>
      <c r="F53" s="2337">
        <f>'数据-取费表'!B41</f>
        <v>5.5000000000000007E-2</v>
      </c>
      <c r="G53" s="2338"/>
      <c r="H53" s="2328"/>
      <c r="I53" s="1666"/>
      <c r="J53" s="2307">
        <v>2</v>
      </c>
      <c r="K53" s="3359" t="s">
        <v>1357</v>
      </c>
      <c r="L53" s="3359"/>
      <c r="M53" s="2309" t="e">
        <f t="shared" ref="M53:O54" ca="1" si="0">D55</f>
        <v>#REF!</v>
      </c>
      <c r="N53" s="2307" t="str">
        <f t="shared" si="0"/>
        <v>销售额×税（费）率</v>
      </c>
      <c r="O53" s="2310" t="str">
        <f t="shared" si="0"/>
        <v>免征</v>
      </c>
    </row>
    <row r="54" spans="1:35" ht="12" customHeight="1">
      <c r="A54" s="2150" t="s">
        <v>1358</v>
      </c>
      <c r="B54" s="3383" t="s">
        <v>2280</v>
      </c>
      <c r="C54" s="3384"/>
      <c r="D54" s="1022" t="e">
        <f ca="1">C68</f>
        <v>#REF!</v>
      </c>
      <c r="E54" s="317" t="s">
        <v>1359</v>
      </c>
      <c r="F54" s="2337">
        <f>'数据-取费表'!B41</f>
        <v>5.5000000000000007E-2</v>
      </c>
      <c r="G54" s="2338"/>
      <c r="H54" s="2339"/>
      <c r="I54" s="1666"/>
      <c r="J54" s="2307">
        <v>3</v>
      </c>
      <c r="K54" s="3359" t="s">
        <v>1360</v>
      </c>
      <c r="L54" s="3359"/>
      <c r="M54" s="2309" t="e">
        <f t="shared" ca="1" si="0"/>
        <v>#REF!</v>
      </c>
      <c r="N54" s="2307" t="str">
        <f t="shared" si="0"/>
        <v>增值额×税（费）率</v>
      </c>
      <c r="O54" s="2311" t="str">
        <f t="shared" si="0"/>
        <v>免征</v>
      </c>
    </row>
    <row r="55" spans="1:35" ht="24" customHeight="1">
      <c r="A55" s="3419" t="s">
        <v>1361</v>
      </c>
      <c r="B55" s="3397"/>
      <c r="C55" s="3397"/>
      <c r="D55" s="12" t="e">
        <f ca="1">IF(H55="个人住宅",0,ROUND(D45*I55,0))</f>
        <v>#REF!</v>
      </c>
      <c r="E55" s="1253" t="s">
        <v>1362</v>
      </c>
      <c r="F55" s="2337" t="str">
        <f>IF(H55="正常",I55,"免征")</f>
        <v>免征</v>
      </c>
      <c r="G55" s="2338"/>
      <c r="H55" s="2334"/>
      <c r="I55" s="155">
        <f>'数据-取费表'!B49</f>
        <v>5.0000000000000001E-4</v>
      </c>
      <c r="J55" s="2307">
        <f>IF(H59="非个人房产","",4)</f>
        <v>4</v>
      </c>
      <c r="K55" s="3359" t="str">
        <f>IF(H59="非个人房产","——","个人所得税")</f>
        <v>个人所得税</v>
      </c>
      <c r="L55" s="3359"/>
      <c r="M55" s="2312" t="e">
        <f ca="1">D59</f>
        <v>#REF!</v>
      </c>
      <c r="N55" s="1880" t="str">
        <f>E59</f>
        <v>差额计税</v>
      </c>
      <c r="O55" s="2313">
        <f>F59</f>
        <v>0.01</v>
      </c>
    </row>
    <row r="56" spans="1:35" ht="24.75">
      <c r="A56" s="3419" t="s">
        <v>1363</v>
      </c>
      <c r="B56" s="3397"/>
      <c r="C56" s="3397"/>
      <c r="D56" s="12" t="e">
        <f ca="1">IF(H56="个人住宅",D57,D58)</f>
        <v>#REF!</v>
      </c>
      <c r="E56" s="1253" t="s">
        <v>1364</v>
      </c>
      <c r="F56" s="2337" t="str">
        <f>IF(H56="正常",F58,"免征")</f>
        <v>免征</v>
      </c>
      <c r="G56" s="2340" t="s">
        <v>1365</v>
      </c>
      <c r="H56" s="2341"/>
      <c r="I56" s="1667"/>
      <c r="J56" s="2307" t="str">
        <f>IF(项目基本情况!K6="上海银行",IF(J55="",4,J55+1),"")</f>
        <v/>
      </c>
      <c r="K56" s="3340" t="str">
        <f>IF(项目基本情况!K6="上海银行","其他处置费用","")</f>
        <v/>
      </c>
      <c r="L56" s="3341"/>
      <c r="M56" s="2309" t="str">
        <f>IF(项目基本情况!K6="上海银行",M69,"")</f>
        <v/>
      </c>
      <c r="N56" s="3340" t="str">
        <f>IF(项目基本情况!K6="上海银行","包含处置中涉及的律师、诉讼、拍卖、评估等费用","")</f>
        <v/>
      </c>
      <c r="O56" s="3343"/>
    </row>
    <row r="57" spans="1:35" ht="12.75">
      <c r="A57" s="2150" t="s">
        <v>1341</v>
      </c>
      <c r="B57" s="3383" t="s">
        <v>1366</v>
      </c>
      <c r="C57" s="3384"/>
      <c r="D57" s="1475">
        <v>0</v>
      </c>
      <c r="E57" s="314" t="s">
        <v>1343</v>
      </c>
      <c r="F57" s="292"/>
      <c r="G57" s="2338"/>
      <c r="H57" s="2342"/>
      <c r="I57" s="1667"/>
      <c r="J57" s="3359">
        <f>IF(AND(J55="",J56=""),4,IF(项目基本情况!K6="上海银行",结果表!J56+1,结果表!J55+1))</f>
        <v>5</v>
      </c>
      <c r="K57" s="3359" t="s">
        <v>1367</v>
      </c>
      <c r="L57" s="2314" t="s">
        <v>1368</v>
      </c>
      <c r="M57" s="2315"/>
      <c r="N57" s="2316">
        <f ca="1">SUMIF(M52:M56,"&lt;9e307")</f>
        <v>0</v>
      </c>
      <c r="O57" s="2317"/>
      <c r="P57" s="2462" t="e">
        <f ca="1">N57/M49</f>
        <v>#VALUE!</v>
      </c>
    </row>
    <row r="58" spans="1:35" ht="24.75">
      <c r="A58" s="2150" t="s">
        <v>1352</v>
      </c>
      <c r="B58" s="3383" t="s">
        <v>1369</v>
      </c>
      <c r="C58" s="3382"/>
      <c r="D58" s="12" t="e">
        <f ca="1">IF(H58="转让取得",C81,C97)</f>
        <v>#REF!</v>
      </c>
      <c r="E58" s="1253" t="s">
        <v>1364</v>
      </c>
      <c r="F58" s="292" t="s">
        <v>28</v>
      </c>
      <c r="G58" s="2338"/>
      <c r="H58" s="2341"/>
      <c r="I58" s="1667"/>
      <c r="J58" s="3359"/>
      <c r="K58" s="3359"/>
      <c r="L58" s="2314" t="s">
        <v>1370</v>
      </c>
      <c r="M58" s="2318"/>
      <c r="N58" s="2319" t="str">
        <f ca="1">NUMBERSTRING(INT(N57*10000),2)&amp;"元整"</f>
        <v>零元整</v>
      </c>
      <c r="O58" s="2320"/>
    </row>
    <row r="59" spans="1:35" ht="24.75" thickBot="1">
      <c r="A59" s="3363" t="s">
        <v>1371</v>
      </c>
      <c r="B59" s="3364"/>
      <c r="C59" s="3364"/>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2134</v>
      </c>
      <c r="J59" s="3361">
        <f>J57+1</f>
        <v>6</v>
      </c>
      <c r="K59" s="3359" t="s">
        <v>1372</v>
      </c>
      <c r="L59" s="2307" t="s">
        <v>1368</v>
      </c>
      <c r="M59" s="2321"/>
      <c r="N59" s="2322" t="e">
        <f ca="1">M49-N57</f>
        <v>#VALUE!</v>
      </c>
      <c r="O59" s="2323"/>
    </row>
    <row r="60" spans="1:35" ht="12" customHeight="1">
      <c r="A60" s="1668"/>
      <c r="B60" s="644"/>
      <c r="C60" s="644"/>
      <c r="D60" s="644"/>
      <c r="E60" s="1463"/>
      <c r="F60" s="1667"/>
      <c r="G60" s="1667"/>
      <c r="H60" s="149"/>
      <c r="I60" s="119"/>
      <c r="J60" s="3362"/>
      <c r="K60" s="3359"/>
      <c r="L60" s="2314" t="s">
        <v>1370</v>
      </c>
      <c r="M60" s="2318"/>
      <c r="N60" s="2319" t="e">
        <f ca="1">NUMBERSTRING(INT(N59*10000),2)&amp;"元整"</f>
        <v>#VALUE!</v>
      </c>
      <c r="O60" s="2320"/>
    </row>
    <row r="61" spans="1:35" ht="13.5" thickBot="1">
      <c r="A61" s="3418" t="s">
        <v>1373</v>
      </c>
      <c r="B61" s="3418"/>
      <c r="C61" s="3418"/>
      <c r="D61" s="3418"/>
      <c r="E61" s="3418"/>
      <c r="F61" s="1667"/>
      <c r="G61" s="1667"/>
      <c r="H61" s="149"/>
      <c r="I61" s="119"/>
      <c r="J61" s="2307">
        <f>J59+1</f>
        <v>7</v>
      </c>
      <c r="K61" s="3359" t="s">
        <v>1374</v>
      </c>
      <c r="L61" s="3359"/>
      <c r="M61" s="2324"/>
      <c r="N61" s="2325" t="e">
        <f ca="1">ROUND(N59*10000/'数据-汇总表'!E3,0)</f>
        <v>#VALUE!</v>
      </c>
      <c r="O61" s="2326"/>
    </row>
    <row r="62" spans="1:35" ht="12.75">
      <c r="A62" s="3378" t="s">
        <v>1375</v>
      </c>
      <c r="B62" s="3379"/>
      <c r="C62" s="1862"/>
      <c r="D62" s="1862" t="s">
        <v>1376</v>
      </c>
      <c r="E62" s="156" t="s">
        <v>1377</v>
      </c>
      <c r="F62" s="1667"/>
      <c r="G62" s="1667"/>
      <c r="H62" s="149"/>
      <c r="I62" s="119"/>
    </row>
    <row r="63" spans="1:35" ht="12.75">
      <c r="A63" s="163" t="s">
        <v>330</v>
      </c>
      <c r="B63" s="157" t="s">
        <v>1378</v>
      </c>
      <c r="C63" s="2347" t="e">
        <f ca="1">ROUND((C64+C65)/(1+'数据-取费表'!C42),0)</f>
        <v>#REF!</v>
      </c>
      <c r="D63" s="157"/>
      <c r="E63" s="158"/>
      <c r="F63" s="1667"/>
      <c r="G63" s="1667"/>
      <c r="H63" s="149"/>
      <c r="I63" s="119"/>
      <c r="J63" s="3342" t="s">
        <v>1379</v>
      </c>
      <c r="K63" s="1242" t="s">
        <v>1380</v>
      </c>
      <c r="L63" s="1242" t="e">
        <f>IF(M49&gt;10000,M49*0.5%,IF(AND(M49&gt;1000,M49&lt;=10000),M49*1%,IF(AND(M49&gt;100,M49&lt;=1000),M49*3%,IF(AND(M49&gt;10,M49&lt;=100),M49*5%,M49*8%))))</f>
        <v>#VALUE!</v>
      </c>
      <c r="M63" s="292" t="e">
        <f>ROUND(L63,1)</f>
        <v>#VALUE!</v>
      </c>
      <c r="N63" s="2327"/>
      <c r="Z63" s="1620"/>
      <c r="AI63" s="1558"/>
    </row>
    <row r="64" spans="1:35" ht="14.25" customHeight="1">
      <c r="A64" s="159" t="s">
        <v>325</v>
      </c>
      <c r="B64" s="160" t="s">
        <v>1381</v>
      </c>
      <c r="C64" s="2348" t="e">
        <f ca="1">D45</f>
        <v>#REF!</v>
      </c>
      <c r="D64" s="160" t="s">
        <v>26</v>
      </c>
      <c r="E64" s="162"/>
      <c r="F64" s="1667"/>
      <c r="G64" s="1667"/>
      <c r="H64" s="149"/>
      <c r="I64" s="119"/>
      <c r="J64" s="3342"/>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328" t="s">
        <v>1383</v>
      </c>
      <c r="Z64" s="1620"/>
      <c r="AI64" s="1558"/>
    </row>
    <row r="65" spans="1:35" ht="14.25" customHeight="1">
      <c r="A65" s="159" t="s">
        <v>326</v>
      </c>
      <c r="B65" s="160" t="s">
        <v>1384</v>
      </c>
      <c r="C65" s="2349"/>
      <c r="D65" s="160"/>
      <c r="E65" s="162"/>
      <c r="F65" s="1667"/>
      <c r="G65" s="1667"/>
      <c r="H65" s="149"/>
      <c r="I65" s="119"/>
      <c r="J65" s="3342"/>
      <c r="K65" s="1242" t="s">
        <v>1385</v>
      </c>
      <c r="L65" s="1242" t="e">
        <f>IF(M49&gt;1000,M49*0.1%,IF(AND(M49&gt;500,M49&lt;=1000),M49*0.5%,IF(AND(M49&gt;50,M49&lt;=500),M49*1%,IF(AND(M49&gt;1,M49&lt;=50),M49*1.5%))))</f>
        <v>#VALUE!</v>
      </c>
      <c r="M65" s="292" t="e">
        <f t="shared" si="1"/>
        <v>#VALUE!</v>
      </c>
      <c r="N65" s="2328" t="s">
        <v>1383</v>
      </c>
      <c r="Z65" s="1620"/>
      <c r="AI65" s="1558"/>
    </row>
    <row r="66" spans="1:35" ht="14.25" customHeight="1">
      <c r="A66" s="163" t="s">
        <v>327</v>
      </c>
      <c r="B66" s="164" t="s">
        <v>1386</v>
      </c>
      <c r="C66" s="2350"/>
      <c r="D66" s="164" t="s">
        <v>26</v>
      </c>
      <c r="E66" s="1248" t="s">
        <v>671</v>
      </c>
      <c r="F66" s="1667"/>
      <c r="G66" s="1667"/>
      <c r="H66" s="149"/>
      <c r="I66" s="119"/>
      <c r="J66" s="3342"/>
      <c r="K66" s="1242" t="s">
        <v>1387</v>
      </c>
      <c r="L66" s="1242" t="e">
        <f>M49*0.5%</f>
        <v>#VALUE!</v>
      </c>
      <c r="M66" s="292" t="e">
        <f>IF(L66&gt;0.5,0.5,ROUND(L66,0))</f>
        <v>#VALUE!</v>
      </c>
      <c r="N66" s="2328" t="s">
        <v>1388</v>
      </c>
      <c r="Z66" s="1620"/>
      <c r="AI66" s="1558"/>
    </row>
    <row r="67" spans="1:35" ht="14.25" customHeight="1">
      <c r="A67" s="163" t="s">
        <v>328</v>
      </c>
      <c r="B67" s="164" t="s">
        <v>1389</v>
      </c>
      <c r="C67" s="2351" t="e">
        <f ca="1">C63-C66</f>
        <v>#REF!</v>
      </c>
      <c r="D67" s="160" t="s">
        <v>26</v>
      </c>
      <c r="E67" s="162"/>
      <c r="F67" s="1667"/>
      <c r="G67" s="1667"/>
      <c r="H67" s="149"/>
      <c r="I67" s="119"/>
      <c r="J67" s="3342"/>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7"/>
      <c r="Z67" s="1620"/>
      <c r="AI67" s="1558"/>
    </row>
    <row r="68" spans="1:35" ht="14.25" customHeight="1" thickBot="1">
      <c r="A68" s="166" t="s">
        <v>329</v>
      </c>
      <c r="B68" s="167" t="s">
        <v>1391</v>
      </c>
      <c r="C68" s="2352" t="e">
        <f ca="1">IF(C67&lt;=0,0,ROUND(C67*D68,0))</f>
        <v>#REF!</v>
      </c>
      <c r="D68" s="2353">
        <f>'数据-取费表'!B41</f>
        <v>5.5000000000000007E-2</v>
      </c>
      <c r="E68" s="168"/>
      <c r="F68" s="1667"/>
      <c r="G68" s="1667"/>
      <c r="H68" s="149"/>
      <c r="I68" s="119"/>
      <c r="J68" s="3342"/>
      <c r="K68" s="1242" t="s">
        <v>1392</v>
      </c>
      <c r="L68" s="1242" t="e">
        <f>IF(M49&gt;10000,M49*0.5%,IF(AND(M49&gt;5000,M49&lt;=10000),M49*1%,IF(AND(M49&gt;1000,M49&lt;=5000),M49*2%,IF(AND(M49&gt;200,M49&lt;=1000),M49*3%,M49*5%))))</f>
        <v>#VALUE!</v>
      </c>
      <c r="M68" s="292" t="e">
        <f>ROUND(L68,1)</f>
        <v>#VALUE!</v>
      </c>
      <c r="N68" s="2327"/>
      <c r="Z68" s="1620"/>
      <c r="AI68" s="1558"/>
    </row>
    <row r="69" spans="1:35" ht="16.5" customHeight="1">
      <c r="A69" s="1669"/>
      <c r="B69" s="1670"/>
      <c r="C69" s="1671"/>
      <c r="D69" s="1672"/>
      <c r="E69" s="1673"/>
      <c r="F69" s="1463"/>
      <c r="G69" s="1463"/>
      <c r="H69" s="1464"/>
      <c r="I69" s="644"/>
      <c r="J69" s="3342"/>
      <c r="K69" s="1242" t="s">
        <v>1393</v>
      </c>
      <c r="L69" s="1242"/>
      <c r="M69" s="292" t="e">
        <f>ROUND(SUM(M63:M68),0)</f>
        <v>#VALUE!</v>
      </c>
      <c r="N69" s="2329" t="e">
        <f>M69/M49</f>
        <v>#VALUE!</v>
      </c>
      <c r="Z69" s="1620"/>
      <c r="AI69" s="1558"/>
    </row>
    <row r="70" spans="1:35" s="640" customFormat="1" ht="15" thickBot="1">
      <c r="A70" s="3386" t="s">
        <v>1394</v>
      </c>
      <c r="B70" s="3387"/>
      <c r="C70" s="3387"/>
      <c r="D70" s="3387"/>
      <c r="E70" s="3387"/>
      <c r="F70" s="3387"/>
      <c r="G70" s="3387"/>
      <c r="H70" s="3387"/>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78" t="s">
        <v>1375</v>
      </c>
      <c r="B71" s="3379"/>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51"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51"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4"/>
      <c r="D75" s="160" t="s">
        <v>26</v>
      </c>
      <c r="E75" s="174" t="s">
        <v>1399</v>
      </c>
      <c r="F75" s="2355"/>
      <c r="G75" s="174"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7">
        <v>0.05</v>
      </c>
      <c r="E76" s="3383" t="s">
        <v>1402</v>
      </c>
      <c r="F76" s="3382"/>
      <c r="G76" s="3382"/>
      <c r="H76" s="338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8">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9" t="e">
        <f ca="1">ROUND(D45*D78/(1+'数据-取费表'!C42),0)</f>
        <v>#REF!</v>
      </c>
      <c r="D78" s="2360">
        <f>'数据-取费表'!B43</f>
        <v>5.000000000000001E-3</v>
      </c>
      <c r="E78" s="3375" t="s">
        <v>1406</v>
      </c>
      <c r="F78" s="3376"/>
      <c r="G78" s="3376"/>
      <c r="H78" s="337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51"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61"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62" t="e">
        <f ca="1">ROUND(IF(C79&lt;=0,0,IF(C80&gt;=200%,C79*60%-C73*35%,IF(C80&gt;=100%,C79*50%-C73*15%,IF(C80&gt;=50%,C79*40%-C73*5%,IF(C80&lt;50%,C79*30%,0))))),0)</f>
        <v>#REF!</v>
      </c>
      <c r="D81" s="2363"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86" t="s">
        <v>1410</v>
      </c>
      <c r="B83" s="3387"/>
      <c r="C83" s="3387"/>
      <c r="D83" s="3387"/>
      <c r="E83" s="3387"/>
      <c r="F83" s="3387"/>
      <c r="G83" s="3387"/>
      <c r="H83" s="338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78" t="s">
        <v>1375</v>
      </c>
      <c r="B84" s="3379"/>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51"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51" t="e">
        <f ca="1">IF(H88="仅含出让金",C87+C90+C91+C92+C93+C94,C87+C91+C92+C93+C94)</f>
        <v>#REF!</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5"/>
      <c r="D88" s="2360"/>
      <c r="E88" s="183" t="s">
        <v>1413</v>
      </c>
      <c r="F88" s="2145"/>
      <c r="G88" s="184" t="s">
        <v>1414</v>
      </c>
      <c r="H88" s="1681"/>
      <c r="I88" s="1678"/>
      <c r="J88" s="2305" t="s">
        <v>2276</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9">
        <f>ROUND(C88*D89,0)</f>
        <v>0</v>
      </c>
      <c r="D89" s="2360">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5"/>
      <c r="D90" s="2360"/>
      <c r="E90" s="183" t="str">
        <f>IF(H88="-","土地取得成本中已包含该笔费用"," ")</f>
        <v xml:space="preserve"> </v>
      </c>
      <c r="F90" s="2145"/>
      <c r="G90" s="3344" t="s">
        <v>2126</v>
      </c>
      <c r="H90" s="3345"/>
      <c r="I90" s="1678"/>
      <c r="J90" s="2305" t="s">
        <v>2277</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9">
        <f>IF(H91="——",成本法!C33,I91)</f>
        <v>0</v>
      </c>
      <c r="D91" s="2360"/>
      <c r="E91" s="3375" t="s">
        <v>1419</v>
      </c>
      <c r="F91" s="3376"/>
      <c r="G91" s="3376"/>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9">
        <f>ROUND((C87+C90+C91)*D92,0)</f>
        <v>0</v>
      </c>
      <c r="D92" s="2366"/>
      <c r="E92" s="3375" t="s">
        <v>1422</v>
      </c>
      <c r="F92" s="3376"/>
      <c r="G92" s="3376"/>
      <c r="H92" s="3377"/>
      <c r="I92" s="1678"/>
      <c r="J92" s="2306" t="s">
        <v>2278</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9" t="e">
        <f ca="1">ROUND(D45*D93/(1+'数据-取费表'!C42),0)</f>
        <v>#REF!</v>
      </c>
      <c r="D93" s="2360">
        <f>'数据-取费表'!B43</f>
        <v>5.000000000000001E-3</v>
      </c>
      <c r="E93" s="3375" t="s">
        <v>1406</v>
      </c>
      <c r="F93" s="3376"/>
      <c r="G93" s="3376"/>
      <c r="H93" s="337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5">
        <f>ROUND((C87+C90+C91)*D94,0)</f>
        <v>0</v>
      </c>
      <c r="D94" s="2360">
        <v>0.2</v>
      </c>
      <c r="E94" s="3420" t="s">
        <v>1426</v>
      </c>
      <c r="F94" s="3421"/>
      <c r="G94" s="3421"/>
      <c r="H94" s="342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51"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61"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62" t="e">
        <f ca="1">ROUND(IF(C95&lt;=0,0,IF(C96&gt;=200%,C95*60%-C86*35%,IF(C96&gt;=100%,C95*50%-C86*15%,IF(C96&gt;=50%,C95*40%-C86*5%,IF(C96&lt;50%,C95*30%,0))))),0)</f>
        <v>#REF!</v>
      </c>
      <c r="D97" s="2363"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325" t="s">
        <v>1428</v>
      </c>
      <c r="B100" s="3326"/>
      <c r="C100" s="3326"/>
      <c r="D100" s="3360"/>
      <c r="E100" s="3326" t="s">
        <v>1429</v>
      </c>
      <c r="F100" s="3326"/>
      <c r="G100" s="3326"/>
      <c r="H100" s="3360"/>
      <c r="I100" s="119"/>
    </row>
    <row r="101" spans="1:35" ht="18.75" customHeight="1">
      <c r="A101" s="3368" t="s">
        <v>1430</v>
      </c>
      <c r="B101" s="3369"/>
      <c r="C101" s="2368" t="str">
        <f>C4</f>
        <v>成本法</v>
      </c>
      <c r="D101" s="2369" t="str">
        <f>D4</f>
        <v>收益法</v>
      </c>
      <c r="E101" s="3338" t="s">
        <v>1431</v>
      </c>
      <c r="F101" s="3339"/>
      <c r="G101" s="1684" t="s">
        <v>1432</v>
      </c>
      <c r="H101" s="2378" t="e">
        <f ca="1">H118</f>
        <v>#REF!</v>
      </c>
      <c r="I101" s="119"/>
    </row>
    <row r="102" spans="1:35" ht="18.75" customHeight="1">
      <c r="A102" s="3370" t="s">
        <v>1433</v>
      </c>
      <c r="B102" s="2367" t="s">
        <v>1432</v>
      </c>
      <c r="C102" s="2368">
        <f ca="1">IF(D32="楼面单价",ROUND(C19,0),C19)</f>
        <v>3827</v>
      </c>
      <c r="D102" s="2369">
        <f ca="1">IF(D32="楼面单价",ROUND(D19,0),D19)</f>
        <v>1038</v>
      </c>
      <c r="E102" s="3338"/>
      <c r="F102" s="3339"/>
      <c r="G102" s="1684" t="s">
        <v>1434</v>
      </c>
      <c r="H102" s="2338" t="e">
        <f ca="1">I118</f>
        <v>#REF!</v>
      </c>
      <c r="I102" s="119"/>
    </row>
    <row r="103" spans="1:35" ht="42.75" customHeight="1">
      <c r="A103" s="3370"/>
      <c r="B103" s="2367" t="s">
        <v>1434</v>
      </c>
      <c r="C103" s="2370">
        <f ca="1">C20</f>
        <v>31043</v>
      </c>
      <c r="D103" s="2371">
        <f ca="1">D20</f>
        <v>8420</v>
      </c>
      <c r="E103" s="3331" t="s">
        <v>1435</v>
      </c>
      <c r="F103" s="3332"/>
      <c r="G103" s="1685" t="s">
        <v>1436</v>
      </c>
      <c r="H103" s="2378">
        <f>IF(D36="正常操作",H104+H105+H106,H105+H106)</f>
        <v>0</v>
      </c>
      <c r="I103" s="119"/>
    </row>
    <row r="104" spans="1:35" ht="18.75" customHeight="1">
      <c r="A104" s="3370" t="s">
        <v>1437</v>
      </c>
      <c r="B104" s="2372" t="s">
        <v>1432</v>
      </c>
      <c r="C104" s="2373" t="e">
        <f ca="1">H118</f>
        <v>#REF!</v>
      </c>
      <c r="D104" s="2374"/>
      <c r="E104" s="1552" t="s">
        <v>1438</v>
      </c>
      <c r="F104" s="1545"/>
      <c r="G104" s="1685" t="s">
        <v>1436</v>
      </c>
      <c r="H104" s="2379">
        <f>IF(D36="同一抵押权人同一抵押物续贷",C36&amp;"（续贷，未扣减，详见特别提示）",C36)</f>
        <v>0</v>
      </c>
      <c r="I104" s="119"/>
    </row>
    <row r="105" spans="1:35" ht="18.75" customHeight="1" thickBot="1">
      <c r="A105" s="3380"/>
      <c r="B105" s="2375" t="s">
        <v>1434</v>
      </c>
      <c r="C105" s="2376" t="e">
        <f ca="1">I118</f>
        <v>#REF!</v>
      </c>
      <c r="D105" s="2377"/>
      <c r="E105" s="1552" t="s">
        <v>1439</v>
      </c>
      <c r="F105" s="1545"/>
      <c r="G105" s="1685" t="s">
        <v>1436</v>
      </c>
      <c r="H105" s="2380">
        <f>C37</f>
        <v>0</v>
      </c>
      <c r="I105" s="119"/>
    </row>
    <row r="106" spans="1:35" ht="18.75" customHeight="1">
      <c r="A106" s="644" t="s">
        <v>1440</v>
      </c>
      <c r="B106" s="644"/>
      <c r="C106" s="644"/>
      <c r="D106" s="644"/>
      <c r="E106" s="1686" t="s">
        <v>1441</v>
      </c>
      <c r="F106" s="1545"/>
      <c r="G106" s="1685" t="s">
        <v>1436</v>
      </c>
      <c r="H106" s="2380">
        <f>C38</f>
        <v>0</v>
      </c>
      <c r="I106" s="119"/>
    </row>
    <row r="107" spans="1:35" ht="18.75" customHeight="1">
      <c r="A107" s="119"/>
      <c r="B107" s="119"/>
      <c r="C107" s="119"/>
      <c r="D107" s="119"/>
      <c r="E107" s="3371" t="str">
        <f>IF(项目基本情况!E8="已注销","——","3.房地产抵押价值")</f>
        <v>3.房地产抵押价值</v>
      </c>
      <c r="F107" s="3339"/>
      <c r="G107" s="1684" t="s">
        <v>1432</v>
      </c>
      <c r="H107" s="2378" t="e">
        <f ca="1">IF(E107="——","——",H101-H103)</f>
        <v>#REF!</v>
      </c>
      <c r="I107" s="119"/>
    </row>
    <row r="108" spans="1:35" ht="18.75" customHeight="1">
      <c r="A108" s="119"/>
      <c r="B108" s="119"/>
      <c r="C108" s="119"/>
      <c r="D108" s="119"/>
      <c r="E108" s="3371"/>
      <c r="F108" s="3339"/>
      <c r="G108" s="1684" t="s">
        <v>1434</v>
      </c>
      <c r="H108" s="2338">
        <f ca="1">IF(H107=H101,H102,ROUND(H107*10000/'数据-汇总表'!E3,0))</f>
        <v>0</v>
      </c>
      <c r="I108" s="119"/>
    </row>
    <row r="109" spans="1:35" ht="18.75" customHeight="1">
      <c r="A109" s="119"/>
      <c r="B109" s="119"/>
      <c r="C109" s="119"/>
      <c r="D109" s="119"/>
      <c r="E109" s="3371" t="str">
        <f>IF(项目基本情况!E8="已注销及未注销","4.抵押担保权已注销时的房地产抵押价值",IF(项目基本情况!E8="已注销","3.抵押担保权已注销时的房地产抵押价值","——"))</f>
        <v>——</v>
      </c>
      <c r="F109" s="3339"/>
      <c r="G109" s="1684" t="s">
        <v>1432</v>
      </c>
      <c r="H109" s="2381" t="str">
        <f>IF(E109="——","——",H101-H105-H106)</f>
        <v>——</v>
      </c>
      <c r="I109" s="119"/>
    </row>
    <row r="110" spans="1:35" ht="18.75" customHeight="1">
      <c r="A110" s="119"/>
      <c r="B110" s="119"/>
      <c r="C110" s="119"/>
      <c r="D110" s="119"/>
      <c r="E110" s="3371"/>
      <c r="F110" s="3339"/>
      <c r="G110" s="1684" t="s">
        <v>1434</v>
      </c>
      <c r="H110" s="2338" t="str">
        <f>IF(H109="——","——",ROUND(H109*10000/'数据-汇总表'!E3,0))</f>
        <v>——</v>
      </c>
      <c r="I110" s="119"/>
    </row>
    <row r="111" spans="1:35" ht="18.75" customHeight="1">
      <c r="A111" s="119"/>
      <c r="B111" s="119"/>
      <c r="C111" s="119"/>
      <c r="D111" s="119"/>
      <c r="E111" s="3372" t="str">
        <f>IF(项目基本情况!E9="抵押净值",IF(OR(项目基本情况!E8="已注销",项目基本情况!E8="房地产抵押价值"),"4.抵押净值","5.抵押净值"),"——")</f>
        <v>——</v>
      </c>
      <c r="F111" s="3358"/>
      <c r="G111" s="1684" t="s">
        <v>1432</v>
      </c>
      <c r="H111" s="2378" t="str">
        <f>IF(E111="——","——",N59)</f>
        <v>——</v>
      </c>
      <c r="I111" s="119"/>
    </row>
    <row r="112" spans="1:35" ht="18.75" customHeight="1" thickBot="1">
      <c r="A112" s="119"/>
      <c r="B112" s="119"/>
      <c r="C112" s="119"/>
      <c r="D112" s="119"/>
      <c r="E112" s="3373"/>
      <c r="F112" s="3374"/>
      <c r="G112" s="1687" t="s">
        <v>1434</v>
      </c>
      <c r="H112" s="2382" t="str">
        <f>IF(E111="——","——",N61)</f>
        <v>——</v>
      </c>
      <c r="I112" s="119"/>
    </row>
    <row r="113" spans="1:27" ht="18.75" customHeight="1">
      <c r="A113" s="119"/>
      <c r="B113" s="119"/>
      <c r="C113" s="119"/>
      <c r="D113" s="119"/>
      <c r="E113" s="3381" t="s">
        <v>1440</v>
      </c>
      <c r="F113" s="3381"/>
      <c r="G113" s="3381"/>
      <c r="H113" s="3381"/>
      <c r="I113" s="119"/>
    </row>
    <row r="114" spans="1:27" ht="3.75" customHeight="1">
      <c r="A114" s="644"/>
      <c r="B114" s="644"/>
      <c r="C114" s="644"/>
      <c r="D114" s="644"/>
      <c r="E114" s="1668"/>
      <c r="F114" s="1668"/>
      <c r="G114" s="1668"/>
      <c r="H114" s="1668"/>
      <c r="I114" s="644"/>
    </row>
    <row r="115" spans="1:27" ht="18.75" customHeight="1">
      <c r="A115" s="3389" t="s">
        <v>1442</v>
      </c>
      <c r="B115" s="3390"/>
      <c r="C115" s="3390"/>
      <c r="D115" s="3390"/>
      <c r="E115" s="3390"/>
      <c r="F115" s="3390"/>
      <c r="G115" s="3390"/>
      <c r="H115" s="3390"/>
      <c r="I115" s="3391"/>
    </row>
    <row r="116" spans="1:27" ht="27" customHeight="1">
      <c r="A116" s="3346" t="s">
        <v>1443</v>
      </c>
      <c r="B116" s="3350" t="s">
        <v>1444</v>
      </c>
      <c r="C116" s="3350" t="s">
        <v>1445</v>
      </c>
      <c r="D116" s="3356" t="s">
        <v>1446</v>
      </c>
      <c r="E116" s="3357"/>
      <c r="F116" s="3388" t="s">
        <v>1447</v>
      </c>
      <c r="G116" s="3388"/>
      <c r="H116" s="3346" t="s">
        <v>1448</v>
      </c>
      <c r="I116" s="3346"/>
    </row>
    <row r="117" spans="1:27" ht="18.75" customHeight="1">
      <c r="A117" s="3346"/>
      <c r="B117" s="3351"/>
      <c r="C117" s="3351"/>
      <c r="D117" s="2147" t="s">
        <v>1449</v>
      </c>
      <c r="E117" s="2147" t="s">
        <v>1450</v>
      </c>
      <c r="F117" s="2147" t="s">
        <v>1449</v>
      </c>
      <c r="G117" s="2147" t="s">
        <v>1451</v>
      </c>
      <c r="H117" s="2147" t="s">
        <v>1449</v>
      </c>
      <c r="I117" s="2147" t="s">
        <v>1451</v>
      </c>
    </row>
    <row r="118" spans="1:27" ht="24.75" customHeight="1">
      <c r="A118" s="2383" t="str">
        <f>项目基本情况!S2</f>
        <v>房地产</v>
      </c>
      <c r="B118" s="2147">
        <f>M18</f>
        <v>1232.79</v>
      </c>
      <c r="C118" s="2147">
        <f>M19</f>
        <v>891.05</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46" t="s">
        <v>1452</v>
      </c>
      <c r="B119" s="3346"/>
      <c r="C119" s="3346"/>
      <c r="D119" s="3352" t="e">
        <f ca="1">NUMBERSTRING(INT(D118*10000),2)&amp;"元整"</f>
        <v>#REF!</v>
      </c>
      <c r="E119" s="3353"/>
      <c r="F119" s="3352" t="e">
        <f ca="1">NUMBERSTRING(INT(F118*10000),2)&amp;"元整"</f>
        <v>#REF!</v>
      </c>
      <c r="G119" s="3353"/>
      <c r="H119" s="3352" t="e">
        <f ca="1">NUMBERSTRING(INT(H118*10000),2)&amp;"元整"</f>
        <v>#REF!</v>
      </c>
      <c r="I119" s="3353"/>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52" t="s">
        <v>1452</v>
      </c>
      <c r="B121" s="3354"/>
      <c r="C121" s="3353"/>
      <c r="D121" s="3352" t="str">
        <f>IF(D120=0,"零元整",NUMBERSTRING(INT(D120*10000),2)&amp;"元整")</f>
        <v>零元整</v>
      </c>
      <c r="E121" s="3354"/>
      <c r="F121" s="3354"/>
      <c r="G121" s="3354"/>
      <c r="H121" s="3354"/>
      <c r="I121" s="3353"/>
      <c r="AA121" s="682"/>
    </row>
    <row r="122" spans="1:27" ht="18.75" customHeight="1">
      <c r="A122" s="3358" t="str">
        <f>IF(项目基本情况!B9="房地产市场价值","",MID(E107,3,LEN(E107)-2))</f>
        <v>房地产抵押价值</v>
      </c>
      <c r="B122" s="3358"/>
      <c r="C122" s="3358"/>
      <c r="D122" s="3347" t="e">
        <f ca="1">H107</f>
        <v>#REF!</v>
      </c>
      <c r="E122" s="3348"/>
      <c r="F122" s="3348"/>
      <c r="G122" s="3348"/>
      <c r="H122" s="3348"/>
      <c r="I122" s="3349"/>
      <c r="AA122" s="682"/>
    </row>
    <row r="123" spans="1:27" ht="18.75" customHeight="1">
      <c r="A123" s="3346" t="s">
        <v>1452</v>
      </c>
      <c r="B123" s="3346"/>
      <c r="C123" s="3346"/>
      <c r="D123" s="3352" t="e">
        <f ca="1">NUMBERSTRING(INT(D122*10000),2)&amp;"元整"</f>
        <v>#REF!</v>
      </c>
      <c r="E123" s="3354"/>
      <c r="F123" s="3354"/>
      <c r="G123" s="3354"/>
      <c r="H123" s="3354"/>
      <c r="I123" s="3353"/>
      <c r="AA123" s="682"/>
    </row>
    <row r="124" spans="1:27" ht="18.75" customHeight="1">
      <c r="A124" s="3358" t="str">
        <f>IF(项目基本情况!B9="房地产市场价值","",MID(E109,3,LEN(E109)-2))</f>
        <v/>
      </c>
      <c r="B124" s="3358"/>
      <c r="C124" s="3358"/>
      <c r="D124" s="3347" t="str">
        <f>H109</f>
        <v>——</v>
      </c>
      <c r="E124" s="3348"/>
      <c r="F124" s="3348"/>
      <c r="G124" s="3348"/>
      <c r="H124" s="3348"/>
      <c r="I124" s="3349"/>
      <c r="AA124" s="682"/>
    </row>
    <row r="125" spans="1:27" ht="18.75" customHeight="1">
      <c r="A125" s="3346" t="s">
        <v>1452</v>
      </c>
      <c r="B125" s="3346"/>
      <c r="C125" s="3346"/>
      <c r="D125" s="3352" t="e">
        <f>NUMBERSTRING(INT(D124*10000),2)&amp;"元整"</f>
        <v>#VALUE!</v>
      </c>
      <c r="E125" s="3354"/>
      <c r="F125" s="3354"/>
      <c r="G125" s="3354"/>
      <c r="H125" s="3354"/>
      <c r="I125" s="3353"/>
      <c r="AA125" s="682"/>
    </row>
    <row r="126" spans="1:27" ht="18.75" customHeight="1">
      <c r="A126" s="3358" t="str">
        <f>IF(项目基本情况!B9="房地产市场价值","",MID(E111,3,LEN(E111)-2))</f>
        <v/>
      </c>
      <c r="B126" s="3358"/>
      <c r="C126" s="3358"/>
      <c r="D126" s="3347" t="str">
        <f>H111</f>
        <v>——</v>
      </c>
      <c r="E126" s="3348"/>
      <c r="F126" s="3348"/>
      <c r="G126" s="3348"/>
      <c r="H126" s="3348"/>
      <c r="I126" s="3349"/>
      <c r="AA126" s="682"/>
    </row>
    <row r="127" spans="1:27" ht="18.75" customHeight="1">
      <c r="A127" s="3346" t="s">
        <v>1452</v>
      </c>
      <c r="B127" s="3346"/>
      <c r="C127" s="3346"/>
      <c r="D127" s="3352" t="e">
        <f>NUMBERSTRING(INT(D126*10000),2)&amp;"元整"</f>
        <v>#VALUE!</v>
      </c>
      <c r="E127" s="3354"/>
      <c r="F127" s="3354"/>
      <c r="G127" s="3354"/>
      <c r="H127" s="3354"/>
      <c r="I127" s="3353"/>
      <c r="AA127" s="682"/>
    </row>
    <row r="128" spans="1:27" ht="21.75" customHeight="1">
      <c r="A128" s="3355" t="s">
        <v>1453</v>
      </c>
      <c r="B128" s="3355"/>
      <c r="C128" s="3355"/>
      <c r="D128" s="3355"/>
      <c r="E128" s="3355"/>
      <c r="F128" s="3355"/>
      <c r="G128" s="3355"/>
      <c r="H128" s="3355"/>
      <c r="I128" s="3355"/>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32" t="str">
        <f>项目基本情况!B1</f>
        <v>预评估</v>
      </c>
      <c r="C37" s="3232"/>
      <c r="D37" s="3232"/>
      <c r="E37" s="3232"/>
      <c r="F37" s="3232"/>
      <c r="G37" s="3232"/>
      <c r="H37" s="3232"/>
      <c r="I37" s="323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25" sqref="K25"/>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3827</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31043</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1380</v>
      </c>
      <c r="D5" s="201" t="s">
        <v>1469</v>
      </c>
      <c r="E5" s="202" t="s">
        <v>1470</v>
      </c>
      <c r="F5" s="202" t="s">
        <v>1471</v>
      </c>
      <c r="G5" s="203"/>
    </row>
    <row r="6" spans="1:9" s="204" customFormat="1" ht="13.5" customHeight="1">
      <c r="A6" s="730" t="s">
        <v>1472</v>
      </c>
      <c r="B6" s="205" t="s">
        <v>1473</v>
      </c>
      <c r="C6" s="206">
        <f>'土地比较法-住宅、综合'!B2</f>
        <v>1315</v>
      </c>
      <c r="D6" s="207"/>
      <c r="E6" s="208"/>
      <c r="F6" s="208"/>
      <c r="G6" s="209"/>
    </row>
    <row r="7" spans="1:9" s="204" customFormat="1" ht="13.5" customHeight="1">
      <c r="A7" s="730" t="s">
        <v>1474</v>
      </c>
      <c r="B7" s="205" t="s">
        <v>1475</v>
      </c>
      <c r="C7" s="210">
        <f>ROUND(C6*F7,0)</f>
        <v>40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25</v>
      </c>
      <c r="D8" s="212"/>
      <c r="E8" s="210"/>
      <c r="F8" s="211"/>
      <c r="G8" s="1711" t="s">
        <v>4026</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160</v>
      </c>
      <c r="F9" s="211"/>
      <c r="G9" s="1712" t="s">
        <v>4027</v>
      </c>
      <c r="H9" s="1068"/>
      <c r="I9" s="1713" t="s">
        <v>1479</v>
      </c>
    </row>
    <row r="10" spans="1:9" s="204" customFormat="1" ht="13.5" customHeight="1">
      <c r="A10" s="731" t="s">
        <v>356</v>
      </c>
      <c r="B10" s="214" t="s">
        <v>1480</v>
      </c>
      <c r="C10" s="215">
        <f ca="1">ROUND(D10*E10/10000,0)</f>
        <v>25</v>
      </c>
      <c r="D10" s="793">
        <f ca="1">IF(B1="",'数据-汇总表'!E6,IF(INDIRECT("'数据-取费表'!c"&amp;$G$1)="住宅",INDIRECT("'数据-取费表'!s"&amp;$G$1),INDIRECT("'数据-取费表'!k"&amp;$G$1)+INDIRECT("'数据-取费表'!s"&amp;$G$1)))</f>
        <v>1232.79</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1232.79</v>
      </c>
      <c r="E19" s="201">
        <f>'数据-取费表'!B31</f>
        <v>200</v>
      </c>
      <c r="F19" s="221"/>
      <c r="G19" s="1711" t="s">
        <v>4028</v>
      </c>
    </row>
    <row r="20" spans="1:7" s="204" customFormat="1" ht="13.5" customHeight="1">
      <c r="A20" s="245" t="s">
        <v>1493</v>
      </c>
      <c r="B20" s="200" t="s">
        <v>1494</v>
      </c>
      <c r="C20" s="222">
        <f ca="1">ROUND((C5+C19)*F20,0)</f>
        <v>69</v>
      </c>
      <c r="D20" s="222"/>
      <c r="E20" s="222"/>
      <c r="F20" s="223">
        <f>'数据-取费表'!B37</f>
        <v>0.05</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9">
        <f ca="1">ROUND(SUM(C23:C25),0)</f>
        <v>142</v>
      </c>
      <c r="D22" s="225">
        <f ca="1">C26</f>
        <v>1.5E-3</v>
      </c>
      <c r="E22" s="226" t="s">
        <v>1498</v>
      </c>
      <c r="F22" s="227">
        <f ca="1">'数据-取费表'!B40</f>
        <v>3.2500000000000001E-2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139</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3</v>
      </c>
      <c r="D25" s="228"/>
      <c r="E25" s="231"/>
      <c r="F25" s="229"/>
      <c r="G25" s="232" t="s">
        <v>1510</v>
      </c>
    </row>
    <row r="26" spans="1:7" s="204" customFormat="1">
      <c r="A26" s="732" t="s">
        <v>350</v>
      </c>
      <c r="B26" s="205" t="s">
        <v>1511</v>
      </c>
      <c r="C26" s="228">
        <f ca="1">ROUND(IF('数据-取费表'!B22&lt;=1,F21*F22*'数据-取费表'!B23/2,F21*(POWER((1+F22),'数据-取费表'!B23/2)-1)),4)</f>
        <v>1.5E-3</v>
      </c>
      <c r="D26" s="228"/>
      <c r="E26" s="231"/>
      <c r="F26" s="229"/>
      <c r="G26" s="233"/>
    </row>
    <row r="27" spans="1:7" s="204" customFormat="1" ht="24.75">
      <c r="A27" s="245" t="s">
        <v>1512</v>
      </c>
      <c r="B27" s="234" t="s">
        <v>1513</v>
      </c>
      <c r="C27" s="235">
        <f ca="1">C28</f>
        <v>290</v>
      </c>
      <c r="D27" s="225">
        <f ca="1">C29</f>
        <v>6.0000000000000001E-3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ROUND((C5+C19+C20)*F27*'数据-取费表'!B21/'数据-取费表'!B20,0)</f>
        <v>290</v>
      </c>
      <c r="D28" s="225"/>
      <c r="E28" s="226"/>
      <c r="F28" s="236"/>
      <c r="G28" s="237"/>
    </row>
    <row r="29" spans="1:7" s="204" customFormat="1" ht="13.5" customHeight="1">
      <c r="A29" s="732" t="s">
        <v>347</v>
      </c>
      <c r="B29" s="238" t="s">
        <v>1517</v>
      </c>
      <c r="C29" s="228">
        <f ca="1">ROUND(C21*F27*'数据-取费表'!B21/'数据-取费表'!B20,4)</f>
        <v>6.0000000000000001E-3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2067</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1357</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1233</v>
      </c>
      <c r="D34" s="207"/>
      <c r="E34" s="210"/>
      <c r="F34" s="247">
        <f ca="1">IF('数据-取费表'!B24=0,1,IF(B1="",'数据-取费表'!N16,INDIRECT("'数据-取费表'!n"&amp;$G$1)))</f>
        <v>1</v>
      </c>
      <c r="G34" s="209" t="s">
        <v>1526</v>
      </c>
    </row>
    <row r="35" spans="1:7" ht="13.5" customHeight="1">
      <c r="A35" s="732" t="s">
        <v>351</v>
      </c>
      <c r="B35" s="205" t="s">
        <v>1527</v>
      </c>
      <c r="C35" s="210">
        <f ca="1">ROUND(C34*F35,0)</f>
        <v>62</v>
      </c>
      <c r="D35" s="210"/>
      <c r="E35" s="210"/>
      <c r="F35" s="249">
        <f>'数据-取费表'!B33</f>
        <v>0.05</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25</v>
      </c>
      <c r="D37" s="207">
        <f ca="1">D19</f>
        <v>1232.79</v>
      </c>
      <c r="E37" s="239">
        <f>'数据-取费表'!B35</f>
        <v>200</v>
      </c>
      <c r="F37" s="249"/>
      <c r="G37" s="251" t="s">
        <v>1532</v>
      </c>
    </row>
    <row r="38" spans="1:7" ht="13.5" customHeight="1">
      <c r="A38" s="732" t="s">
        <v>354</v>
      </c>
      <c r="B38" s="205" t="s">
        <v>1533</v>
      </c>
      <c r="C38" s="210">
        <f ca="1">ROUND(C34*F38,0)</f>
        <v>37</v>
      </c>
      <c r="D38" s="210"/>
      <c r="E38" s="210"/>
      <c r="F38" s="249">
        <f>'数据-取费表'!B36</f>
        <v>0.03</v>
      </c>
      <c r="G38" s="209" t="s">
        <v>1528</v>
      </c>
    </row>
    <row r="39" spans="1:7" s="204" customFormat="1" ht="13.5" customHeight="1">
      <c r="A39" s="245" t="s">
        <v>1534</v>
      </c>
      <c r="B39" s="200" t="s">
        <v>1535</v>
      </c>
      <c r="C39" s="222">
        <f ca="1">ROUND(C33*F20,0)</f>
        <v>68</v>
      </c>
      <c r="D39" s="222"/>
      <c r="E39" s="222"/>
      <c r="F39" s="223">
        <f>F20</f>
        <v>0.05</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70</v>
      </c>
      <c r="D41" s="225">
        <f ca="1">C44</f>
        <v>1.5E-3</v>
      </c>
      <c r="E41" s="226" t="s">
        <v>1539</v>
      </c>
      <c r="F41" s="227">
        <f ca="1">F22</f>
        <v>3.2500000000000001E-2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67</v>
      </c>
      <c r="D42" s="228"/>
      <c r="E42" s="228"/>
      <c r="F42" s="229"/>
      <c r="G42" s="3425" t="s">
        <v>1544</v>
      </c>
    </row>
    <row r="43" spans="1:7" ht="13.5" customHeight="1">
      <c r="A43" s="732" t="s">
        <v>347</v>
      </c>
      <c r="B43" s="205" t="s">
        <v>1545</v>
      </c>
      <c r="C43" s="228">
        <f ca="1">ROUND(IF('数据-取费表'!B22&lt;=1,C39*F22*'数据-取费表'!B21/2,C39*(POWER((1+F22),'数据-取费表'!B21/2)-1)),0)</f>
        <v>3</v>
      </c>
      <c r="D43" s="228"/>
      <c r="E43" s="228"/>
      <c r="F43" s="229"/>
      <c r="G43" s="3426"/>
    </row>
    <row r="44" spans="1:7" ht="13.5" customHeight="1">
      <c r="A44" s="732" t="s">
        <v>348</v>
      </c>
      <c r="B44" s="205" t="s">
        <v>1546</v>
      </c>
      <c r="C44" s="228">
        <f ca="1">ROUND(IF('数据-取费表'!B22&lt;=1,C40*F22*'数据-取费表'!B21/2,C40*(POWER((1+F22),'数据-取费表'!B21/2)-1)),4)</f>
        <v>1.5E-3</v>
      </c>
      <c r="D44" s="228"/>
      <c r="E44" s="228"/>
      <c r="F44" s="229"/>
      <c r="G44" s="3427"/>
    </row>
    <row r="45" spans="1:7" s="204" customFormat="1" ht="13.5" customHeight="1">
      <c r="A45" s="245" t="s">
        <v>1547</v>
      </c>
      <c r="B45" s="234" t="s">
        <v>1513</v>
      </c>
      <c r="C45" s="235">
        <f ca="1">C46</f>
        <v>285</v>
      </c>
      <c r="D45" s="225">
        <f ca="1">C47</f>
        <v>6.0000000000000001E-3</v>
      </c>
      <c r="E45" s="226" t="s">
        <v>1539</v>
      </c>
      <c r="F45" s="236">
        <f ca="1">F27</f>
        <v>0.2</v>
      </c>
      <c r="G45" s="237" t="s">
        <v>1548</v>
      </c>
    </row>
    <row r="46" spans="1:7" s="204" customFormat="1" ht="13.5" customHeight="1">
      <c r="A46" s="732" t="s">
        <v>346</v>
      </c>
      <c r="B46" s="238" t="s">
        <v>1549</v>
      </c>
      <c r="C46" s="239">
        <f ca="1">ROUND((C33+C39)*F27,0)</f>
        <v>285</v>
      </c>
      <c r="D46" s="253"/>
      <c r="E46" s="226"/>
      <c r="F46" s="236"/>
      <c r="G46" s="237"/>
    </row>
    <row r="47" spans="1:7" s="204" customFormat="1" ht="13.5" customHeight="1">
      <c r="A47" s="732" t="s">
        <v>347</v>
      </c>
      <c r="B47" s="238" t="s">
        <v>1550</v>
      </c>
      <c r="C47" s="228">
        <f ca="1">ROUND(C40*F27,4)</f>
        <v>6.0000000000000001E-3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1956</v>
      </c>
      <c r="D49" s="222"/>
      <c r="E49" s="222"/>
      <c r="F49" s="254"/>
      <c r="G49" s="224" t="s">
        <v>1554</v>
      </c>
    </row>
    <row r="50" spans="1:7" s="248" customFormat="1" ht="24">
      <c r="A50" s="245" t="s">
        <v>1555</v>
      </c>
      <c r="B50" s="200" t="s">
        <v>1556</v>
      </c>
      <c r="C50" s="222"/>
      <c r="D50" s="222"/>
      <c r="E50" s="222"/>
      <c r="F50" s="254">
        <f>IF('数据-取费表'!B24=0,'数据-取费表'!N16,1)</f>
        <v>0.9</v>
      </c>
      <c r="G50" s="237" t="s">
        <v>1557</v>
      </c>
    </row>
    <row r="51" spans="1:7" ht="16.5" customHeight="1">
      <c r="A51" s="245" t="s">
        <v>1558</v>
      </c>
      <c r="B51" s="200" t="s">
        <v>1559</v>
      </c>
      <c r="C51" s="222">
        <f ca="1">ROUND(C49*F50,0)</f>
        <v>1760</v>
      </c>
      <c r="D51" s="222"/>
      <c r="E51" s="222"/>
      <c r="F51" s="254"/>
      <c r="G51" s="224" t="s">
        <v>1560</v>
      </c>
    </row>
    <row r="52" spans="1:7" s="198" customFormat="1" ht="16.5" thickBot="1">
      <c r="A52" s="255" t="s">
        <v>1561</v>
      </c>
      <c r="B52" s="256"/>
      <c r="C52" s="257">
        <f ca="1">C31+C51</f>
        <v>3827</v>
      </c>
      <c r="D52" s="256"/>
      <c r="E52" s="256"/>
      <c r="F52" s="256"/>
      <c r="G52" s="258"/>
    </row>
    <row r="55" spans="1:7" ht="15">
      <c r="B55" s="260" t="s">
        <v>1562</v>
      </c>
      <c r="C55" s="261"/>
    </row>
    <row r="56" spans="1:7">
      <c r="B56" s="263" t="s">
        <v>802</v>
      </c>
      <c r="C56" s="265">
        <f ca="1">1-C57</f>
        <v>0.54</v>
      </c>
    </row>
    <row r="57" spans="1:7">
      <c r="B57" s="263" t="s">
        <v>803</v>
      </c>
      <c r="C57" s="264">
        <f ca="1">ROUND(C51/C52,3)</f>
        <v>0.46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4" t="s">
        <v>1563</v>
      </c>
      <c r="D1" s="188"/>
      <c r="E1" s="188"/>
      <c r="F1" s="188"/>
      <c r="G1" s="1060">
        <f>MATCH(B1,'数据-取费表'!A6:A16,0)+5</f>
        <v>7</v>
      </c>
      <c r="H1" s="996" t="str">
        <f>IF(ISERROR(FIND("住宅",B1)),"非住宅","住宅")</f>
        <v>非住宅</v>
      </c>
    </row>
    <row r="2" spans="1:8" s="190" customFormat="1" ht="18" customHeight="1">
      <c r="A2" s="191" t="s">
        <v>1462</v>
      </c>
      <c r="B2" s="3120">
        <f ca="1">ROUND(IF(D2="——",C52/10000,C52/10000-E2),4)</f>
        <v>1832.7427</v>
      </c>
      <c r="C2" s="189" t="s">
        <v>1463</v>
      </c>
      <c r="D2" s="1708" t="s">
        <v>43</v>
      </c>
      <c r="E2" s="1087"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14867</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246558</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246558</v>
      </c>
      <c r="D8" s="212"/>
      <c r="E8" s="210"/>
      <c r="F8" s="211"/>
      <c r="G8" s="1711"/>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160</v>
      </c>
      <c r="F9" s="211"/>
      <c r="G9" s="216"/>
    </row>
    <row r="10" spans="1:8" s="204" customFormat="1" ht="13.5" customHeight="1">
      <c r="A10" s="731" t="s">
        <v>356</v>
      </c>
      <c r="B10" s="214" t="s">
        <v>1480</v>
      </c>
      <c r="C10" s="215">
        <f ca="1">ROUND(D10*E10,0)</f>
        <v>246558</v>
      </c>
      <c r="D10" s="793">
        <f ca="1">IF(B1="",'数据-汇总表'!E6,IF(INDIRECT("'数据-取费表'!c"&amp;$G$1)="住宅",INDIRECT("'数据-取费表'!s"&amp;$G$1),INDIRECT("'数据-取费表'!k"&amp;$G$1)+INDIRECT("'数据-取费表'!s"&amp;$G$1)))</f>
        <v>1232.79</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246558</v>
      </c>
      <c r="D19" s="202">
        <f ca="1">D9+D10</f>
        <v>1232.79</v>
      </c>
      <c r="E19" s="201">
        <f>'数据-取费表'!B31</f>
        <v>200</v>
      </c>
      <c r="F19" s="221"/>
      <c r="G19" s="1711"/>
    </row>
    <row r="20" spans="1:7" s="204" customFormat="1" ht="13.5" customHeight="1">
      <c r="A20" s="245" t="s">
        <v>1574</v>
      </c>
      <c r="B20" s="200" t="s">
        <v>1575</v>
      </c>
      <c r="C20" s="222">
        <f ca="1">ROUND((C5+C19)*F20,0)</f>
        <v>24656</v>
      </c>
      <c r="D20" s="222"/>
      <c r="E20" s="222"/>
      <c r="F20" s="223">
        <f>'数据-取费表'!B37</f>
        <v>0.05</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50870</v>
      </c>
      <c r="D22" s="225">
        <f ca="1">C26</f>
        <v>1.5E-3</v>
      </c>
      <c r="E22" s="226" t="s">
        <v>1579</v>
      </c>
      <c r="F22" s="227">
        <f ca="1">'数据-取费表'!B40</f>
        <v>3.2500000000000001E-2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24829</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24829</v>
      </c>
      <c r="D24" s="228"/>
      <c r="E24" s="228"/>
      <c r="F24" s="229"/>
      <c r="G24" s="230" t="s">
        <v>1586</v>
      </c>
    </row>
    <row r="25" spans="1:7" s="204" customFormat="1" ht="24">
      <c r="A25" s="732" t="s">
        <v>1476</v>
      </c>
      <c r="B25" s="205" t="s">
        <v>1587</v>
      </c>
      <c r="C25" s="228">
        <f ca="1">ROUND(IF('数据-取费表'!B22&lt;=1,C20*F22*'数据-取费表'!B22/2,C20*(POWER((1+F22),'数据-取费表'!B22/2)-1)),0)</f>
        <v>1212</v>
      </c>
      <c r="D25" s="228"/>
      <c r="E25" s="231"/>
      <c r="F25" s="229"/>
      <c r="G25" s="232" t="s">
        <v>1588</v>
      </c>
    </row>
    <row r="26" spans="1:7" s="204" customFormat="1">
      <c r="A26" s="732" t="s">
        <v>350</v>
      </c>
      <c r="B26" s="205" t="s">
        <v>1511</v>
      </c>
      <c r="C26" s="228">
        <f ca="1">ROUND(IF('数据-取费表'!B22&lt;=1,F21*F22*'数据-取费表'!B22/2,F21*(POWER((1+F22),'数据-取费表'!B22/2)-1)),4)</f>
        <v>1.5E-3</v>
      </c>
      <c r="D26" s="228"/>
      <c r="E26" s="231"/>
      <c r="F26" s="229"/>
      <c r="G26" s="233"/>
    </row>
    <row r="27" spans="1:7" s="204" customFormat="1" ht="24.75">
      <c r="A27" s="245" t="s">
        <v>1512</v>
      </c>
      <c r="B27" s="234" t="s">
        <v>1513</v>
      </c>
      <c r="C27" s="235">
        <f ca="1">C28</f>
        <v>103554</v>
      </c>
      <c r="D27" s="225">
        <f ca="1">C29</f>
        <v>6.0000000000000001E-3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ROUND((C5+C19+C20)*F27,0)</f>
        <v>103554</v>
      </c>
      <c r="D28" s="225"/>
      <c r="E28" s="226"/>
      <c r="F28" s="236"/>
      <c r="G28" s="237"/>
    </row>
    <row r="29" spans="1:7" s="204" customFormat="1" ht="13.5" customHeight="1">
      <c r="A29" s="732" t="s">
        <v>347</v>
      </c>
      <c r="B29" s="238" t="s">
        <v>1517</v>
      </c>
      <c r="C29" s="228">
        <f ca="1">ROUND(C21*F27,4)</f>
        <v>6.0000000000000001E-3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738596</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13560690</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12327900</v>
      </c>
      <c r="D34" s="207"/>
      <c r="E34" s="210"/>
      <c r="F34" s="247"/>
      <c r="G34" s="209"/>
    </row>
    <row r="35" spans="1:7" ht="13.5" customHeight="1">
      <c r="A35" s="732" t="s">
        <v>351</v>
      </c>
      <c r="B35" s="205" t="s">
        <v>1527</v>
      </c>
      <c r="C35" s="210">
        <f ca="1">ROUND(C34*F35,0)</f>
        <v>616395</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246558</v>
      </c>
      <c r="D37" s="207">
        <f ca="1">D19</f>
        <v>1232.79</v>
      </c>
      <c r="E37" s="239">
        <f>'数据-取费表'!B35</f>
        <v>200</v>
      </c>
      <c r="F37" s="249"/>
      <c r="G37" s="251"/>
    </row>
    <row r="38" spans="1:7" ht="13.5" customHeight="1">
      <c r="A38" s="732" t="s">
        <v>354</v>
      </c>
      <c r="B38" s="205" t="s">
        <v>1533</v>
      </c>
      <c r="C38" s="210">
        <f ca="1">ROUND(C34*F38,0)</f>
        <v>369837</v>
      </c>
      <c r="D38" s="210"/>
      <c r="E38" s="210"/>
      <c r="F38" s="249">
        <f>'数据-取费表'!B36</f>
        <v>0.03</v>
      </c>
      <c r="G38" s="209" t="s">
        <v>1528</v>
      </c>
    </row>
    <row r="39" spans="1:7" s="204" customFormat="1" ht="13.5" customHeight="1">
      <c r="A39" s="245" t="s">
        <v>1534</v>
      </c>
      <c r="B39" s="200" t="s">
        <v>1535</v>
      </c>
      <c r="C39" s="222">
        <f ca="1">ROUND(C33*F20,0)</f>
        <v>678035</v>
      </c>
      <c r="D39" s="222"/>
      <c r="E39" s="222"/>
      <c r="F39" s="223">
        <f>F20</f>
        <v>0.05</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699747</v>
      </c>
      <c r="D41" s="225">
        <f ca="1">C44</f>
        <v>1.5E-3</v>
      </c>
      <c r="E41" s="226" t="s">
        <v>1539</v>
      </c>
      <c r="F41" s="227">
        <f ca="1">F22</f>
        <v>3.2500000000000001E-2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666426</v>
      </c>
      <c r="D42" s="228"/>
      <c r="E42" s="228"/>
      <c r="F42" s="229"/>
      <c r="G42" s="3425" t="s">
        <v>1591</v>
      </c>
    </row>
    <row r="43" spans="1:7" ht="13.5" customHeight="1">
      <c r="A43" s="732" t="s">
        <v>347</v>
      </c>
      <c r="B43" s="205" t="s">
        <v>1545</v>
      </c>
      <c r="C43" s="228">
        <f ca="1">ROUND(IF('数据-取费表'!B22&lt;=1,C39*F22*'数据-取费表'!B20/2,C39*(POWER((1+F22),'数据-取费表'!B20/2)-1)),0)</f>
        <v>33321</v>
      </c>
      <c r="D43" s="228"/>
      <c r="E43" s="228"/>
      <c r="F43" s="229"/>
      <c r="G43" s="3426"/>
    </row>
    <row r="44" spans="1:7" ht="13.5" customHeight="1">
      <c r="A44" s="732" t="s">
        <v>348</v>
      </c>
      <c r="B44" s="205" t="s">
        <v>1546</v>
      </c>
      <c r="C44" s="228">
        <f ca="1">ROUND(IF('数据-取费表'!B22&lt;=1,C40*F22*'数据-取费表'!B20/2,C40*(POWER((1+F22),'数据-取费表'!B20/2)-1)),4)</f>
        <v>1.5E-3</v>
      </c>
      <c r="D44" s="228"/>
      <c r="E44" s="228"/>
      <c r="F44" s="229"/>
      <c r="G44" s="3427"/>
    </row>
    <row r="45" spans="1:7" s="204" customFormat="1" ht="13.5" customHeight="1">
      <c r="A45" s="245" t="s">
        <v>1547</v>
      </c>
      <c r="B45" s="234" t="s">
        <v>1513</v>
      </c>
      <c r="C45" s="235">
        <f ca="1">C46</f>
        <v>2847745</v>
      </c>
      <c r="D45" s="225">
        <f ca="1">C47</f>
        <v>6.0000000000000001E-3</v>
      </c>
      <c r="E45" s="226" t="s">
        <v>1539</v>
      </c>
      <c r="F45" s="236">
        <f ca="1">F27</f>
        <v>0.2</v>
      </c>
      <c r="G45" s="237" t="s">
        <v>1548</v>
      </c>
    </row>
    <row r="46" spans="1:7" s="204" customFormat="1" ht="13.5" customHeight="1">
      <c r="A46" s="732" t="s">
        <v>346</v>
      </c>
      <c r="B46" s="238" t="s">
        <v>1549</v>
      </c>
      <c r="C46" s="239">
        <f ca="1">ROUND((C33+C39)*F27,0)</f>
        <v>2847745</v>
      </c>
      <c r="D46" s="253"/>
      <c r="E46" s="226"/>
      <c r="F46" s="236"/>
      <c r="G46" s="237"/>
    </row>
    <row r="47" spans="1:7" s="204" customFormat="1" ht="13.5" customHeight="1">
      <c r="A47" s="732" t="s">
        <v>347</v>
      </c>
      <c r="B47" s="238" t="s">
        <v>1550</v>
      </c>
      <c r="C47" s="228">
        <f ca="1">ROUND(C40*F27,4)</f>
        <v>6.0000000000000001E-3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19543146</v>
      </c>
      <c r="D49" s="222"/>
      <c r="E49" s="222"/>
      <c r="F49" s="254"/>
      <c r="G49" s="224" t="s">
        <v>1554</v>
      </c>
    </row>
    <row r="50" spans="1:7" s="248" customFormat="1">
      <c r="A50" s="245" t="s">
        <v>1555</v>
      </c>
      <c r="B50" s="200" t="s">
        <v>1556</v>
      </c>
      <c r="C50" s="222"/>
      <c r="D50" s="222"/>
      <c r="E50" s="222"/>
      <c r="F50" s="254">
        <f>IF('数据-取费表'!B24=0,'数据-取费表'!N16,1)</f>
        <v>0.9</v>
      </c>
      <c r="G50" s="237"/>
    </row>
    <row r="51" spans="1:7" ht="16.5" customHeight="1">
      <c r="A51" s="245" t="s">
        <v>1558</v>
      </c>
      <c r="B51" s="200" t="s">
        <v>1593</v>
      </c>
      <c r="C51" s="222">
        <f ca="1">ROUND(C49*F50,0)</f>
        <v>17588831</v>
      </c>
      <c r="D51" s="222"/>
      <c r="E51" s="222"/>
      <c r="F51" s="254"/>
      <c r="G51" s="224" t="s">
        <v>1560</v>
      </c>
    </row>
    <row r="52" spans="1:7" s="198" customFormat="1" ht="16.5" thickBot="1">
      <c r="A52" s="255" t="s">
        <v>1561</v>
      </c>
      <c r="B52" s="256"/>
      <c r="C52" s="257">
        <f ca="1">C31+C51</f>
        <v>18327427</v>
      </c>
      <c r="D52" s="256"/>
      <c r="E52" s="256"/>
      <c r="F52" s="256"/>
      <c r="G52" s="258"/>
    </row>
    <row r="55" spans="1:7" ht="15">
      <c r="B55" s="260" t="s">
        <v>1562</v>
      </c>
      <c r="C55" s="261"/>
    </row>
    <row r="56" spans="1:7">
      <c r="B56" s="263" t="s">
        <v>802</v>
      </c>
      <c r="C56" s="265">
        <f ca="1">1-C57</f>
        <v>4.0000000000000036E-2</v>
      </c>
    </row>
    <row r="57" spans="1:7">
      <c r="B57" s="263" t="s">
        <v>803</v>
      </c>
      <c r="C57" s="264">
        <f ca="1">ROUND(C51/C52,3)</f>
        <v>0.96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5"/>
      <c r="F1" s="2565"/>
      <c r="G1" s="2446"/>
      <c r="H1" s="2565"/>
      <c r="I1" s="2565"/>
      <c r="J1" s="2565"/>
      <c r="K1" s="2566">
        <f>MATCH(C1,'数据-取费表'!A6:A16,0)+5</f>
        <v>7</v>
      </c>
    </row>
    <row r="2" spans="1:33" ht="18" customHeight="1">
      <c r="A2" s="191" t="s">
        <v>1462</v>
      </c>
      <c r="B2" s="194">
        <f ca="1">C32</f>
        <v>0</v>
      </c>
      <c r="C2" s="266" t="s">
        <v>1595</v>
      </c>
      <c r="D2" s="266"/>
      <c r="E2" s="2565"/>
      <c r="F2" s="2565"/>
      <c r="G2" s="2565"/>
      <c r="H2" s="2565"/>
      <c r="I2" s="2565"/>
      <c r="J2" s="2565"/>
      <c r="K2" s="2565"/>
    </row>
    <row r="3" spans="1:33" ht="18" customHeight="1" thickBot="1">
      <c r="A3" s="193" t="s">
        <v>1464</v>
      </c>
      <c r="B3" s="194">
        <f ca="1">ROUND(B2*10000/IF(C1="",'数据-汇总表'!E3,INDIRECT("'数据-取费表'!K"&amp;$K$1)),0)</f>
        <v>0</v>
      </c>
      <c r="C3" s="266" t="s">
        <v>1596</v>
      </c>
      <c r="D3" s="266"/>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1232.79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0.03</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1232.79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25</v>
      </c>
      <c r="D20" s="794">
        <f ca="1">IF(C1="",'数据-汇总表'!E6,IF(INDIRECT("'数据-取费表'!c"&amp;$K$1)="住宅",INDIRECT("'数据-取费表'!s"&amp;$K$1),INDIRECT("'数据-取费表'!k"&amp;$K$1)+INDIRECT("'数据-取费表'!s"&amp;$K$1)))</f>
        <v>1232.79</v>
      </c>
      <c r="E20" s="21">
        <f>'数据-取费表'!B28</f>
        <v>200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0.05</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0.03</v>
      </c>
      <c r="G23" s="5" t="s">
        <v>1633</v>
      </c>
      <c r="H23" s="747"/>
      <c r="I23" s="747"/>
      <c r="J23" s="747"/>
      <c r="K23" s="748"/>
    </row>
    <row r="24" spans="1:33" s="753" customFormat="1" ht="13.5" customHeight="1">
      <c r="A24" s="742" t="s">
        <v>1634</v>
      </c>
      <c r="B24" s="763" t="s">
        <v>1635</v>
      </c>
      <c r="C24" s="270">
        <f>ROUND(F24/(1+'数据-取费表'!C42),4)</f>
        <v>2.9000000000000001E-2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3.2500000000000001E-2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0</v>
      </c>
      <c r="D28" s="270">
        <f ca="1">C29</f>
        <v>0</v>
      </c>
      <c r="E28" s="272" t="s">
        <v>12</v>
      </c>
      <c r="F28" s="278">
        <f ca="1">IF(C1="",'数据-取费表'!Q16,INDIRECT("'数据-取费表'!q"&amp;$K$1))</f>
        <v>0.2</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3489</v>
      </c>
      <c r="D1" s="1268" t="s">
        <v>43</v>
      </c>
      <c r="E1" s="1269" t="s">
        <v>678</v>
      </c>
      <c r="F1" s="997">
        <f ca="1">J53</f>
        <v>34.46</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1038</v>
      </c>
      <c r="C2" s="1286" t="s">
        <v>805</v>
      </c>
      <c r="D2" s="1286"/>
      <c r="E2" s="1292"/>
      <c r="F2" s="1293"/>
      <c r="G2" s="2476"/>
      <c r="H2" s="2466"/>
      <c r="I2" s="2466"/>
      <c r="J2" s="2466"/>
      <c r="K2" s="2467"/>
      <c r="L2" s="2466"/>
      <c r="M2" s="2466"/>
    </row>
    <row r="3" spans="1:37" ht="18" customHeight="1" thickBot="1">
      <c r="A3" s="1294" t="s">
        <v>806</v>
      </c>
      <c r="B3" s="1295">
        <f ca="1">IF(ISERROR(B2*10000/F43),0,ROUND(B2*10000/F43,0))</f>
        <v>8420</v>
      </c>
      <c r="C3" s="1286" t="s">
        <v>807</v>
      </c>
      <c r="D3" s="1286"/>
      <c r="E3" s="1292"/>
      <c r="F3" s="1293"/>
      <c r="G3" s="2476"/>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86</v>
      </c>
      <c r="D5" s="1270" t="s">
        <v>693</v>
      </c>
      <c r="E5" s="1006"/>
      <c r="F5" s="1007"/>
      <c r="G5" s="1289"/>
      <c r="H5" s="289">
        <v>1</v>
      </c>
      <c r="I5" s="290" t="s">
        <v>692</v>
      </c>
      <c r="J5" s="1005">
        <f ca="1">J6+J10+J12</f>
        <v>0</v>
      </c>
      <c r="K5" s="1270" t="s">
        <v>693</v>
      </c>
      <c r="L5" s="1006"/>
      <c r="M5" s="1007"/>
    </row>
    <row r="6" spans="1:37" ht="18" customHeight="1">
      <c r="A6" s="1004" t="s">
        <v>398</v>
      </c>
      <c r="B6" s="3430" t="s">
        <v>694</v>
      </c>
      <c r="C6" s="1009">
        <f ca="1">ROUND(F6*F8*F7*(1-F9)/10000,0)</f>
        <v>86</v>
      </c>
      <c r="D6" s="145" t="s">
        <v>2106</v>
      </c>
      <c r="E6" s="292" t="s">
        <v>696</v>
      </c>
      <c r="F6" s="293">
        <f ca="1">INDIRECT("'数据-取费表'!u"&amp;$G$1)</f>
        <v>2.4</v>
      </c>
      <c r="G6" s="1289"/>
      <c r="H6" s="1004" t="s">
        <v>398</v>
      </c>
      <c r="I6" s="3430" t="s">
        <v>694</v>
      </c>
      <c r="J6" s="291">
        <f ca="1">ROUND(M6*M8*M7*(1-M9)/10000,0)</f>
        <v>0</v>
      </c>
      <c r="K6" s="145" t="s">
        <v>2105</v>
      </c>
      <c r="L6" s="292" t="s">
        <v>696</v>
      </c>
      <c r="M6" s="293">
        <f ca="1">INDIRECT("'数据-取费表'!z"&amp;$G$1)</f>
        <v>0</v>
      </c>
    </row>
    <row r="7" spans="1:37" ht="18" customHeight="1">
      <c r="A7" s="1008"/>
      <c r="B7" s="3431"/>
      <c r="C7" s="1010"/>
      <c r="D7" s="297"/>
      <c r="E7" s="1011" t="s">
        <v>697</v>
      </c>
      <c r="F7" s="293">
        <f ca="1">IF(INDIRECT("'数据-取费表'!ah"&amp;$G$1)="",INDIRECT("'数据-取费表'!k"&amp;$G$1),INDIRECT("'数据-取费表'!ah"&amp;$G$1))</f>
        <v>1232.79</v>
      </c>
      <c r="G7" s="1289"/>
      <c r="H7" s="294"/>
      <c r="I7" s="3431"/>
      <c r="J7" s="296"/>
      <c r="K7" s="297"/>
      <c r="L7" s="292" t="s">
        <v>697</v>
      </c>
      <c r="M7" s="293">
        <f ca="1">F7</f>
        <v>1232.79</v>
      </c>
    </row>
    <row r="8" spans="1:37" ht="18" customHeight="1">
      <c r="A8" s="294"/>
      <c r="B8" s="3431"/>
      <c r="C8" s="296"/>
      <c r="D8" s="297"/>
      <c r="E8" s="292" t="s">
        <v>698</v>
      </c>
      <c r="F8" s="293">
        <f ca="1">INDIRECT("'数据-取费表'!ai"&amp;$G$1)</f>
        <v>365</v>
      </c>
      <c r="G8" s="1289"/>
      <c r="H8" s="294"/>
      <c r="I8" s="3431"/>
      <c r="J8" s="296"/>
      <c r="K8" s="297"/>
      <c r="L8" s="292" t="s">
        <v>698</v>
      </c>
      <c r="M8" s="293">
        <f ca="1">INDIRECT("'数据-取费表'!ai"&amp;$G$1)</f>
        <v>365</v>
      </c>
    </row>
    <row r="9" spans="1:37" ht="18" customHeight="1">
      <c r="A9" s="294"/>
      <c r="B9" s="3432"/>
      <c r="C9" s="296"/>
      <c r="D9" s="297"/>
      <c r="E9" s="292" t="s">
        <v>699</v>
      </c>
      <c r="F9" s="302">
        <f ca="1">INDIRECT("'数据-取费表'!w"&amp;$G$1)</f>
        <v>0.2</v>
      </c>
      <c r="G9" s="1289"/>
      <c r="H9" s="294"/>
      <c r="I9" s="3432"/>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2114</v>
      </c>
      <c r="E10" s="303" t="s">
        <v>701</v>
      </c>
      <c r="F10" s="1051" t="s">
        <v>3509</v>
      </c>
      <c r="G10" s="1289"/>
      <c r="H10" s="1004" t="s">
        <v>402</v>
      </c>
      <c r="I10" s="1271" t="s">
        <v>700</v>
      </c>
      <c r="J10" s="291">
        <f ca="1">ROUND(IF(M10="押一",J6/12*M11,IF(M10="押二",J6/12*2*M11,IF(M10="押三",J6/12*3*M11,J11*M11))),0)</f>
        <v>0</v>
      </c>
      <c r="K10" s="148" t="s">
        <v>2113</v>
      </c>
      <c r="L10" s="303" t="s">
        <v>701</v>
      </c>
      <c r="M10" s="1051"/>
    </row>
    <row r="11" spans="1:37" ht="18" customHeight="1">
      <c r="A11" s="298"/>
      <c r="B11" s="1272" t="s">
        <v>679</v>
      </c>
      <c r="C11" s="903"/>
      <c r="D11" s="1273"/>
      <c r="E11" s="303" t="s">
        <v>702</v>
      </c>
      <c r="F11" s="304">
        <f ca="1">'数据-取费表'!B39</f>
        <v>1.4999999999999999E-2</v>
      </c>
      <c r="G11" s="1289"/>
      <c r="H11" s="1012"/>
      <c r="I11" s="1272" t="s">
        <v>679</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1760</v>
      </c>
      <c r="D13" s="1016" t="s">
        <v>705</v>
      </c>
      <c r="E13" s="1016" t="s">
        <v>706</v>
      </c>
      <c r="F13" s="1017">
        <f ca="1">INDIRECT("'数据-取费表'!y"&amp;$G$1)</f>
        <v>0.9</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1233</v>
      </c>
      <c r="D14" s="1254" t="s">
        <v>708</v>
      </c>
      <c r="E14" s="1252"/>
      <c r="F14" s="309"/>
      <c r="G14" s="1289"/>
      <c r="H14" s="926" t="s">
        <v>398</v>
      </c>
      <c r="I14" s="292" t="s">
        <v>709</v>
      </c>
      <c r="J14" s="21">
        <f ca="1">C29</f>
        <v>1956</v>
      </c>
      <c r="K14" s="12"/>
      <c r="L14" s="757"/>
      <c r="M14" s="758"/>
    </row>
    <row r="15" spans="1:37" s="1301" customFormat="1" ht="18" customHeight="1" thickBot="1">
      <c r="A15" s="926" t="s">
        <v>399</v>
      </c>
      <c r="B15" s="292" t="s">
        <v>710</v>
      </c>
      <c r="C15" s="21">
        <f ca="1">ROUND(C14*F15,0)</f>
        <v>62</v>
      </c>
      <c r="D15" s="310" t="s">
        <v>711</v>
      </c>
      <c r="E15" s="310" t="s">
        <v>712</v>
      </c>
      <c r="F15" s="311">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10</v>
      </c>
      <c r="K16" s="1022" t="s">
        <v>715</v>
      </c>
      <c r="L16" s="1023"/>
      <c r="M16" s="1007"/>
    </row>
    <row r="17" spans="1:37" s="1301" customFormat="1" ht="18" customHeight="1">
      <c r="A17" s="926" t="s">
        <v>681</v>
      </c>
      <c r="B17" s="292" t="s">
        <v>716</v>
      </c>
      <c r="C17" s="21">
        <f ca="1">ROUND(F17*(F43+INDIRECT("'数据-取费表'!S"&amp;$G$1))/10000,0)</f>
        <v>25</v>
      </c>
      <c r="D17" s="292" t="s">
        <v>717</v>
      </c>
      <c r="E17" s="292" t="s">
        <v>718</v>
      </c>
      <c r="F17" s="23">
        <f>'数据-取费表'!B35</f>
        <v>200</v>
      </c>
      <c r="G17" s="1300"/>
      <c r="H17" s="926" t="s">
        <v>398</v>
      </c>
      <c r="I17" s="292" t="s">
        <v>719</v>
      </c>
      <c r="J17" s="2137">
        <f ca="1">ROUND(IF(AND(项目基本情况!B11="自然人",项目基本情况!B10="北京市"),J6*M17/(1+'数据-取费表'!C42),J18+J19+J20),2)</f>
        <v>0.13</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37</v>
      </c>
      <c r="D18" s="292" t="s">
        <v>711</v>
      </c>
      <c r="E18" s="292" t="s">
        <v>712</v>
      </c>
      <c r="F18" s="312">
        <f>'数据-取费表'!B36</f>
        <v>0.03</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1357</v>
      </c>
      <c r="D19" s="121" t="s">
        <v>726</v>
      </c>
      <c r="E19" s="1266"/>
      <c r="F19" s="23"/>
      <c r="G19" s="1289"/>
      <c r="H19" s="926" t="s">
        <v>399</v>
      </c>
      <c r="I19" s="292" t="s">
        <v>727</v>
      </c>
      <c r="J19" s="21">
        <f ca="1">IF(K19="按租金收入计税",ROUND(J6*M19/(1+'数据-取费表'!C42),2),ROUND(C29*M19*0.7,2))</f>
        <v>0</v>
      </c>
      <c r="K19" s="1275" t="s">
        <v>3322</v>
      </c>
      <c r="L19" s="292" t="s">
        <v>712</v>
      </c>
      <c r="M19" s="312">
        <f>IF(K19="按租金收入计税",'数据-取费表'!B51,'数据-取费表'!B50)</f>
        <v>0.12</v>
      </c>
    </row>
    <row r="20" spans="1:37" s="1301" customFormat="1" ht="18" customHeight="1">
      <c r="A20" s="926" t="s">
        <v>402</v>
      </c>
      <c r="B20" s="292" t="s">
        <v>728</v>
      </c>
      <c r="C20" s="21">
        <f ca="1">ROUND(C19*F20,0)</f>
        <v>68</v>
      </c>
      <c r="D20" s="313" t="s">
        <v>729</v>
      </c>
      <c r="E20" s="292" t="s">
        <v>712</v>
      </c>
      <c r="F20" s="312">
        <f>'数据-取费表'!B37</f>
        <v>0.05</v>
      </c>
      <c r="G20" s="1300"/>
      <c r="H20" s="926" t="s">
        <v>680</v>
      </c>
      <c r="I20" s="145" t="s">
        <v>730</v>
      </c>
      <c r="J20" s="22">
        <f ca="1">ROUND(M20*M21/10000,2)</f>
        <v>0.13</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0.03</v>
      </c>
      <c r="G21" s="1300"/>
      <c r="H21" s="316"/>
      <c r="I21" s="301"/>
      <c r="J21" s="26"/>
      <c r="K21" s="317"/>
      <c r="L21" s="292" t="s">
        <v>736</v>
      </c>
      <c r="M21" s="293">
        <f ca="1">INDIRECT("'数据-取费表'!r"&amp;$G$1)</f>
        <v>891.05</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9.7799999999999994</v>
      </c>
      <c r="K22" s="1253" t="s">
        <v>739</v>
      </c>
      <c r="L22" s="292" t="s">
        <v>712</v>
      </c>
      <c r="M22" s="318">
        <f ca="1">INDIRECT("'数据-取费表'!Ak"&amp;$G$1)</f>
        <v>5.0000000000000001E-3</v>
      </c>
    </row>
    <row r="23" spans="1:37" s="1301" customFormat="1" ht="18" customHeight="1">
      <c r="A23" s="926" t="s">
        <v>397</v>
      </c>
      <c r="B23" s="292" t="s">
        <v>740</v>
      </c>
      <c r="C23" s="21">
        <f ca="1">IF('数据-取费表'!B22&lt;=1,ROUND(C19*F24*F23/2,0)+ROUND(C20*F24*F23/2,0),ROUND(C19*(POWER((1+F24),F23/2)-1),0)+ROUND(C20*(POWER((1+F24),F23/2)-1),0))</f>
        <v>70</v>
      </c>
      <c r="D23" s="136" t="str">
        <f>IF(F23&lt;=1,"(建造成本+管理费用)×利率×(建设周期÷2)","(建造成本+管理费用)×((1+利率)^(建设周期÷2)-1)")</f>
        <v>(建造成本+管理费用)×((1+利率)^(建设周期÷2)-1)</v>
      </c>
      <c r="E23" s="292" t="s">
        <v>741</v>
      </c>
      <c r="F23" s="315">
        <f>'数据-取费表'!B20</f>
        <v>3</v>
      </c>
      <c r="G23" s="1300"/>
      <c r="H23" s="926" t="s">
        <v>437</v>
      </c>
      <c r="I23" s="292" t="s">
        <v>742</v>
      </c>
      <c r="J23" s="21">
        <f ca="1">ROUND(J13*M23,2)</f>
        <v>0</v>
      </c>
      <c r="K23" s="1253" t="s">
        <v>743</v>
      </c>
      <c r="L23" s="292" t="s">
        <v>744</v>
      </c>
      <c r="M23" s="319">
        <f ca="1">INDIRECT("'数据-取费表'!Al"&amp;$G$1)</f>
        <v>2E-3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1.5E-3</v>
      </c>
      <c r="D24" s="136" t="str">
        <f>IF(F23&lt;=1,"销售费用×利率×(建设周期÷2)","销售费用×((1+利率)^(建设周期÷2)-1)")</f>
        <v>销售费用×((1+利率)^(建设周期÷2)-1)</v>
      </c>
      <c r="E24" s="292" t="s">
        <v>747</v>
      </c>
      <c r="F24" s="320">
        <f ca="1">'数据-取费表'!B40</f>
        <v>3.2500000000000001E-2</v>
      </c>
      <c r="G24" s="1300"/>
      <c r="H24" s="1024" t="s">
        <v>684</v>
      </c>
      <c r="I24" s="1025" t="s">
        <v>728</v>
      </c>
      <c r="J24" s="1026">
        <f ca="1">ROUND(J5*M24,2)</f>
        <v>0</v>
      </c>
      <c r="K24" s="1027" t="s">
        <v>748</v>
      </c>
      <c r="L24" s="1025" t="s">
        <v>744</v>
      </c>
      <c r="M24" s="1021">
        <f ca="1">INDIRECT("'数据-取费表'!Am"&amp;$G$1)</f>
        <v>0.02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-10</v>
      </c>
      <c r="K25" s="1030" t="s">
        <v>753</v>
      </c>
      <c r="L25" s="1031"/>
      <c r="M25" s="1032"/>
    </row>
    <row r="26" spans="1:37">
      <c r="A26" s="926" t="s">
        <v>397</v>
      </c>
      <c r="B26" s="292" t="s">
        <v>754</v>
      </c>
      <c r="C26" s="21">
        <f ca="1">ROUND((C19+C20)*F26,0)</f>
        <v>285</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0.06</v>
      </c>
    </row>
    <row r="27" spans="1:37" ht="18" customHeight="1">
      <c r="A27" s="926" t="s">
        <v>399</v>
      </c>
      <c r="B27" s="292" t="s">
        <v>760</v>
      </c>
      <c r="C27" s="21">
        <f ca="1">ROUND(F21*F26,4)</f>
        <v>6.0000000000000001E-3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1956</v>
      </c>
      <c r="D29" s="1027"/>
      <c r="E29" s="1025"/>
      <c r="F29" s="1028"/>
      <c r="G29" s="1300"/>
      <c r="H29" s="323" t="s">
        <v>396</v>
      </c>
      <c r="I29" s="324" t="s">
        <v>768</v>
      </c>
      <c r="J29" s="325">
        <f ca="1">ROUND(J26/(1+F40)^F41,0)</f>
        <v>0</v>
      </c>
      <c r="K29" s="326" t="s">
        <v>769</v>
      </c>
      <c r="L29" s="327"/>
      <c r="M29" s="328">
        <f ca="1">INDIRECT("'数据-取费表'!k"&amp;$G$1)</f>
        <v>1232.79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29</v>
      </c>
      <c r="D30" s="1022" t="s">
        <v>715</v>
      </c>
      <c r="E30" s="1023"/>
      <c r="F30" s="1007"/>
      <c r="G30" s="1289"/>
      <c r="H30" s="2468"/>
      <c r="I30" s="1302"/>
      <c r="J30" s="1303"/>
      <c r="K30" s="119"/>
      <c r="L30" s="2469"/>
      <c r="M30" s="2470"/>
    </row>
    <row r="31" spans="1:37" ht="18" customHeight="1">
      <c r="A31" s="926" t="s">
        <v>398</v>
      </c>
      <c r="B31" s="292" t="s">
        <v>719</v>
      </c>
      <c r="C31" s="2137">
        <f ca="1">ROUND(IF(AND(项目基本情况!B11="自然人",项目基本情况!B10="北京市"),C6*F31/(1+'数据-取费表'!C42),C32+C33+C34),2)</f>
        <v>14.46</v>
      </c>
      <c r="D31" s="1254" t="s">
        <v>720</v>
      </c>
      <c r="E31" s="1253" t="s">
        <v>770</v>
      </c>
      <c r="F31" s="2136">
        <f ca="1">IF(项目基本情况!B11="企业","——",IF(M47="住宅",IF(F6*F7*F8/12/(1+'数据-取费表'!F30)&gt;100000,4%,2.5%),IF(F6*F7*F8/12/(1+'数据-取费表'!F30)&gt;100000,12%,7%)))</f>
        <v>7.0000000000000007E-2</v>
      </c>
      <c r="G31" s="1289"/>
      <c r="H31" s="2567" t="s">
        <v>2294</v>
      </c>
      <c r="I31" s="1302"/>
      <c r="J31" s="1303"/>
      <c r="K31" s="119"/>
      <c r="L31" s="2469"/>
      <c r="M31" s="2470"/>
    </row>
    <row r="32" spans="1:37" ht="18" customHeight="1">
      <c r="A32" s="926" t="s">
        <v>397</v>
      </c>
      <c r="B32" s="292" t="s">
        <v>723</v>
      </c>
      <c r="C32" s="21">
        <f ca="1">IF(项目基本情况!B11="自然人","——",ROUND(C6*F32/(1+'数据-取费表'!C42),2))</f>
        <v>4.5</v>
      </c>
      <c r="D32" s="1253" t="s">
        <v>724</v>
      </c>
      <c r="E32" s="292" t="s">
        <v>712</v>
      </c>
      <c r="F32" s="320">
        <f>'数据-取费表'!B41</f>
        <v>5.5000000000000007E-2</v>
      </c>
      <c r="G32" s="1289"/>
      <c r="H32" s="2468"/>
      <c r="I32" s="1302"/>
      <c r="J32" s="1303"/>
      <c r="K32" s="119"/>
      <c r="L32" s="2469"/>
      <c r="M32" s="2470"/>
    </row>
    <row r="33" spans="1:18" ht="18" customHeight="1">
      <c r="A33" s="926" t="s">
        <v>399</v>
      </c>
      <c r="B33" s="292" t="s">
        <v>727</v>
      </c>
      <c r="C33" s="21">
        <f ca="1">IF(项目基本情况!B11="自然人","——",IF(D33="按租金收入计税",ROUND(C6*F33/(1+'数据-取费表'!C42),2),IF(D33="按房产原值计税",ROUND(C29*F33*0.7,2),INDIRECT("'数据-取费表'!Aj"&amp;$G$1))))</f>
        <v>9.83</v>
      </c>
      <c r="D33" s="1275" t="s">
        <v>3322</v>
      </c>
      <c r="E33" s="292" t="s">
        <v>712</v>
      </c>
      <c r="F33" s="312">
        <f>IF(D33="按票据","——",IF(D33="按租金收入计税",'数据-取费表'!B51,'数据-取费表'!B50))</f>
        <v>0.12</v>
      </c>
      <c r="G33" s="1289"/>
      <c r="H33" s="2471"/>
      <c r="I33" s="1302"/>
      <c r="J33" s="1303"/>
      <c r="K33" s="2472"/>
      <c r="L33" s="2471"/>
      <c r="M33" s="2471"/>
    </row>
    <row r="34" spans="1:18" ht="18" customHeight="1">
      <c r="A34" s="1004" t="s">
        <v>680</v>
      </c>
      <c r="B34" s="145" t="s">
        <v>730</v>
      </c>
      <c r="C34" s="22">
        <f ca="1">IF(项目基本情况!B11="自然人","——",ROUND(F34*F35/10000,2))</f>
        <v>0.13</v>
      </c>
      <c r="D34" s="314" t="s">
        <v>731</v>
      </c>
      <c r="E34" s="292" t="s">
        <v>732</v>
      </c>
      <c r="F34" s="315">
        <f>'数据-取费表'!B52</f>
        <v>1.5</v>
      </c>
      <c r="G34" s="1289"/>
      <c r="H34" s="2468"/>
      <c r="I34" s="1302"/>
      <c r="J34" s="1303"/>
      <c r="K34" s="2473"/>
      <c r="L34" s="2474"/>
      <c r="M34" s="2474"/>
    </row>
    <row r="35" spans="1:18" ht="18" customHeight="1">
      <c r="A35" s="1038"/>
      <c r="B35" s="1036"/>
      <c r="C35" s="26"/>
      <c r="D35" s="317"/>
      <c r="E35" s="292" t="s">
        <v>736</v>
      </c>
      <c r="F35" s="293">
        <f ca="1">INDIRECT("'数据-取费表'!r"&amp;$G$1)</f>
        <v>891.05</v>
      </c>
      <c r="G35" s="1289"/>
      <c r="H35" s="2468"/>
      <c r="I35" s="1302"/>
      <c r="J35" s="1303"/>
      <c r="K35" s="2472"/>
      <c r="L35" s="2471"/>
      <c r="M35" s="2471"/>
    </row>
    <row r="36" spans="1:18" ht="18" customHeight="1">
      <c r="A36" s="1037" t="s">
        <v>402</v>
      </c>
      <c r="B36" s="292" t="s">
        <v>738</v>
      </c>
      <c r="C36" s="21">
        <f ca="1">ROUND(C29*F36,2)</f>
        <v>9.7799999999999994</v>
      </c>
      <c r="D36" s="1253" t="s">
        <v>771</v>
      </c>
      <c r="E36" s="292" t="s">
        <v>712</v>
      </c>
      <c r="F36" s="318">
        <f ca="1">INDIRECT("'数据-取费表'!Ak"&amp;$G$1)</f>
        <v>5.0000000000000001E-3</v>
      </c>
      <c r="G36" s="1289"/>
      <c r="H36" s="2471"/>
      <c r="I36" s="1302"/>
      <c r="J36" s="1303"/>
      <c r="K36" s="2328"/>
      <c r="L36" s="2471"/>
      <c r="M36" s="2471"/>
    </row>
    <row r="37" spans="1:18" ht="18" customHeight="1">
      <c r="A37" s="926" t="s">
        <v>437</v>
      </c>
      <c r="B37" s="292" t="s">
        <v>742</v>
      </c>
      <c r="C37" s="21">
        <f ca="1">ROUND(C13*F37,2)</f>
        <v>3.52</v>
      </c>
      <c r="D37" s="1253" t="s">
        <v>743</v>
      </c>
      <c r="E37" s="292" t="s">
        <v>744</v>
      </c>
      <c r="F37" s="319">
        <f ca="1">INDIRECT("'数据-取费表'!Al"&amp;$G$1)</f>
        <v>2E-3</v>
      </c>
      <c r="G37" s="1289"/>
      <c r="H37" s="2471"/>
      <c r="I37" s="1302"/>
      <c r="J37" s="1303"/>
      <c r="K37" s="2328"/>
      <c r="L37" s="2471"/>
      <c r="M37" s="2471"/>
    </row>
    <row r="38" spans="1:18" ht="18" customHeight="1" thickBot="1">
      <c r="A38" s="1024" t="s">
        <v>684</v>
      </c>
      <c r="B38" s="1025" t="s">
        <v>728</v>
      </c>
      <c r="C38" s="1026">
        <f ca="1">ROUND(C5*F38,2)</f>
        <v>1.72</v>
      </c>
      <c r="D38" s="1027" t="s">
        <v>748</v>
      </c>
      <c r="E38" s="1025" t="s">
        <v>744</v>
      </c>
      <c r="F38" s="1021">
        <f ca="1">INDIRECT("'数据-取费表'!Am"&amp;$G$1)</f>
        <v>0.02</v>
      </c>
      <c r="G38" s="1289"/>
      <c r="H38" s="2471"/>
      <c r="I38" s="1302"/>
      <c r="J38" s="1303"/>
      <c r="K38" s="2469"/>
      <c r="L38" s="2471"/>
      <c r="M38" s="2471"/>
    </row>
    <row r="39" spans="1:18" ht="24.6" customHeight="1" thickTop="1">
      <c r="A39" s="1014" t="s">
        <v>394</v>
      </c>
      <c r="B39" s="1029" t="s">
        <v>772</v>
      </c>
      <c r="C39" s="300">
        <f ca="1">C5-C30</f>
        <v>57</v>
      </c>
      <c r="D39" s="1030" t="s">
        <v>773</v>
      </c>
      <c r="E39" s="1031"/>
      <c r="F39" s="1032"/>
      <c r="G39" s="1289"/>
      <c r="H39" s="2471"/>
      <c r="I39" s="1302"/>
      <c r="J39" s="1303"/>
      <c r="K39" s="2469"/>
      <c r="L39" s="2471"/>
      <c r="M39" s="2471"/>
    </row>
    <row r="40" spans="1:18" ht="18" customHeight="1">
      <c r="A40" s="289" t="s">
        <v>395</v>
      </c>
      <c r="B40" s="290" t="s">
        <v>774</v>
      </c>
      <c r="C40" s="291">
        <f ca="1">ROUND(C39*(1-((1+F42)/(1+F40))^F41)/(F40-F42),0)</f>
        <v>983</v>
      </c>
      <c r="D40" s="314" t="s">
        <v>758</v>
      </c>
      <c r="E40" s="292" t="s">
        <v>759</v>
      </c>
      <c r="F40" s="302">
        <f ca="1">INDIRECT("'数据-取费表'!I"&amp;$G$1)</f>
        <v>0.06</v>
      </c>
      <c r="G40" s="1289"/>
      <c r="H40" s="1363"/>
      <c r="I40" s="1302"/>
      <c r="J40" s="1303"/>
      <c r="K40" s="2469"/>
      <c r="L40" s="1363"/>
      <c r="M40" s="1363"/>
    </row>
    <row r="41" spans="1:18" ht="18" customHeight="1">
      <c r="A41" s="294"/>
      <c r="B41" s="295"/>
      <c r="C41" s="296"/>
      <c r="D41" s="321" t="s">
        <v>775</v>
      </c>
      <c r="E41" s="292" t="s">
        <v>763</v>
      </c>
      <c r="F41" s="322">
        <f ca="1">IF(INDIRECT("'数据-取费表'!af"&amp;$G$1)=0,INDIRECT("'数据-取费表'!ae"&amp;$G$1),INDIRECT("'数据-取费表'!af"&amp;$G$1))</f>
        <v>34.46</v>
      </c>
      <c r="G41" s="1289"/>
      <c r="H41" s="119"/>
      <c r="I41" s="1302"/>
      <c r="J41" s="1303"/>
      <c r="K41" s="2328"/>
      <c r="L41" s="119"/>
      <c r="M41" s="119"/>
    </row>
    <row r="42" spans="1:18" ht="18" customHeight="1">
      <c r="A42" s="298"/>
      <c r="B42" s="299"/>
      <c r="C42" s="300"/>
      <c r="D42" s="317"/>
      <c r="E42" s="292" t="s">
        <v>766</v>
      </c>
      <c r="F42" s="302">
        <f ca="1">INDIRECT("'数据-取费表'!v"&amp;$G$1)</f>
        <v>1.4999999999999999E-2</v>
      </c>
      <c r="G42" s="1289"/>
      <c r="H42" s="119"/>
      <c r="I42" s="1302"/>
      <c r="J42" s="1303"/>
      <c r="K42" s="2328"/>
      <c r="L42" s="119"/>
      <c r="M42" s="119"/>
    </row>
    <row r="43" spans="1:18" ht="18" customHeight="1" thickBot="1">
      <c r="A43" s="323" t="s">
        <v>396</v>
      </c>
      <c r="B43" s="324" t="s">
        <v>776</v>
      </c>
      <c r="C43" s="325">
        <f ca="1">ROUND(C40*10000/F43,0)</f>
        <v>7974</v>
      </c>
      <c r="D43" s="326" t="s">
        <v>777</v>
      </c>
      <c r="E43" s="327" t="s">
        <v>778</v>
      </c>
      <c r="F43" s="328">
        <f ca="1">INDIRECT("'数据-取费表'!k"&amp;$G$1)</f>
        <v>1232.79</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808</v>
      </c>
      <c r="P45" s="1363"/>
      <c r="Q45" s="1363"/>
      <c r="R45" s="1363"/>
    </row>
    <row r="46" spans="1:18" s="1289" customFormat="1" ht="13.5" thickBot="1">
      <c r="A46" s="1308" t="s">
        <v>809</v>
      </c>
      <c r="C46" s="1309">
        <f ca="1">C68-C40</f>
        <v>-1171</v>
      </c>
      <c r="D46" s="1310" t="str">
        <f>C2</f>
        <v>万元</v>
      </c>
      <c r="E46" s="1304"/>
      <c r="F46" s="1304"/>
      <c r="I46" s="1311" t="s">
        <v>810</v>
      </c>
      <c r="J46" s="1312"/>
      <c r="K46" s="1313"/>
      <c r="L46" s="1314">
        <f ca="1">IF(M47="住宅",0,IF(L48&gt;J51,L60,J60))</f>
        <v>55</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3510</v>
      </c>
      <c r="K47" s="1320" t="s">
        <v>816</v>
      </c>
      <c r="L47" s="1321">
        <f ca="1">INDIRECT("'数据-取费表'!d"&amp;$G$1)</f>
        <v>50</v>
      </c>
      <c r="M47" s="1285" t="str">
        <f>IF(ISNUMBER(FIND("住宅",C1)),"住宅","非住宅")</f>
        <v>非住宅</v>
      </c>
      <c r="O47" s="1322" t="s">
        <v>403</v>
      </c>
      <c r="P47" s="1323" t="s">
        <v>817</v>
      </c>
      <c r="Q47" s="1324">
        <f ca="1">C40+J29</f>
        <v>983</v>
      </c>
      <c r="R47" s="1324" t="s">
        <v>818</v>
      </c>
    </row>
    <row r="48" spans="1:18" s="1289" customFormat="1" ht="28.5" thickBot="1">
      <c r="A48" s="1045" t="s">
        <v>438</v>
      </c>
      <c r="B48" s="290" t="s">
        <v>692</v>
      </c>
      <c r="C48" s="1265">
        <f ca="1">C49+C53+C55</f>
        <v>0</v>
      </c>
      <c r="D48" s="1047"/>
      <c r="E48" s="1048"/>
      <c r="F48" s="906"/>
      <c r="G48" s="679"/>
      <c r="H48" s="680"/>
      <c r="I48" s="1325" t="s">
        <v>819</v>
      </c>
      <c r="J48" s="1326" t="s">
        <v>3511</v>
      </c>
      <c r="K48" s="1327" t="s">
        <v>820</v>
      </c>
      <c r="L48" s="1328">
        <f ca="1">INDIRECT("'数据-取费表'!f"&amp;$G$1)</f>
        <v>34.46</v>
      </c>
      <c r="O48" s="1322" t="s">
        <v>404</v>
      </c>
      <c r="P48" s="1323" t="s">
        <v>821</v>
      </c>
      <c r="Q48" s="1324">
        <f ca="1">J60</f>
        <v>55</v>
      </c>
      <c r="R48" s="1324" t="s">
        <v>822</v>
      </c>
    </row>
    <row r="49" spans="1:18" s="1289" customFormat="1" ht="13.5" thickBot="1">
      <c r="A49" s="919" t="s">
        <v>439</v>
      </c>
      <c r="B49" s="1276" t="s">
        <v>779</v>
      </c>
      <c r="C49" s="1049">
        <f ca="1">ROUND(F49*F51*F50*(1-F52)/10000,0)</f>
        <v>0</v>
      </c>
      <c r="D49" s="990" t="s">
        <v>2107</v>
      </c>
      <c r="E49" s="1277" t="s">
        <v>780</v>
      </c>
      <c r="F49" s="995"/>
      <c r="H49" s="680"/>
      <c r="I49" s="1325" t="s">
        <v>823</v>
      </c>
      <c r="J49" s="1329">
        <v>2019</v>
      </c>
      <c r="K49" s="1327" t="s">
        <v>824</v>
      </c>
      <c r="L49" s="1330"/>
      <c r="O49" s="1331" t="s">
        <v>405</v>
      </c>
      <c r="P49" s="1323" t="s">
        <v>825</v>
      </c>
      <c r="Q49" s="1324">
        <f ca="1">C29</f>
        <v>1956</v>
      </c>
      <c r="R49" s="1324" t="s">
        <v>818</v>
      </c>
    </row>
    <row r="50" spans="1:18" s="1289" customFormat="1" ht="13.5" thickBot="1">
      <c r="A50" s="920"/>
      <c r="B50" s="923"/>
      <c r="C50" s="1053"/>
      <c r="D50" s="897"/>
      <c r="E50" s="991" t="s">
        <v>697</v>
      </c>
      <c r="F50" s="992">
        <f ca="1">F7</f>
        <v>1232.79</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3">
        <f ca="1">F8</f>
        <v>365</v>
      </c>
      <c r="I51" s="1335" t="s">
        <v>829</v>
      </c>
      <c r="J51" s="1328">
        <f>IF(J49="",J50,J49+J50-YEAR('数据-取费表'!B2))</f>
        <v>54</v>
      </c>
      <c r="K51" s="1336" t="s">
        <v>830</v>
      </c>
      <c r="L51" s="1337">
        <f ca="1">ROUND(-PV(INDIRECT("'数据-取费表'!h"&amp;$G$1),J51,(C39-C13*C76),0),0)</f>
        <v>-1288</v>
      </c>
      <c r="M51" s="1338"/>
      <c r="O51" s="1331" t="s">
        <v>407</v>
      </c>
      <c r="P51" s="1323" t="s">
        <v>831</v>
      </c>
      <c r="Q51" s="1334">
        <f>J52</f>
        <v>0.08</v>
      </c>
      <c r="R51" s="1324"/>
    </row>
    <row r="52" spans="1:18" s="1289" customFormat="1" ht="13.5" thickBot="1">
      <c r="A52" s="921"/>
      <c r="B52" s="923"/>
      <c r="C52" s="924"/>
      <c r="D52" s="897"/>
      <c r="E52" s="925" t="s">
        <v>699</v>
      </c>
      <c r="F52" s="989"/>
      <c r="I52" s="1339" t="s">
        <v>832</v>
      </c>
      <c r="J52" s="1340">
        <v>0.08</v>
      </c>
      <c r="K52" s="1339" t="s">
        <v>833</v>
      </c>
      <c r="L52" s="1340"/>
      <c r="O52" s="1331" t="s">
        <v>408</v>
      </c>
      <c r="P52" s="1323" t="s">
        <v>834</v>
      </c>
      <c r="Q52" s="1324">
        <f ca="1">J53</f>
        <v>34.46</v>
      </c>
      <c r="R52" s="1324" t="s">
        <v>835</v>
      </c>
    </row>
    <row r="53" spans="1:18" s="1289" customFormat="1" ht="24.75" thickBot="1">
      <c r="A53" s="1077" t="s">
        <v>440</v>
      </c>
      <c r="B53" s="1278" t="s">
        <v>700</v>
      </c>
      <c r="C53" s="306">
        <f ca="1">ROUND(IF(F53="押一",C49/12*F11,IF(F53="押二",C49/12*2*F11,IF(F53="押三",C49/12*3*F11,C54*F11))),0)</f>
        <v>0</v>
      </c>
      <c r="D53" s="148" t="s">
        <v>2113</v>
      </c>
      <c r="E53" s="303" t="s">
        <v>701</v>
      </c>
      <c r="F53" s="1051"/>
      <c r="I53" s="1341" t="s">
        <v>836</v>
      </c>
      <c r="J53" s="2003">
        <f ca="1">IF(M47="住宅",IF(D1="——",MAX(J51,L48),MAX(J51,L48-'数据-取费表'!B24)),IF(D1="——",MIN(J51,L48),MIN(J51,L48-'数据-取费表'!B24)))</f>
        <v>34.46</v>
      </c>
      <c r="K53" s="3428" t="s">
        <v>837</v>
      </c>
      <c r="L53" s="3429"/>
      <c r="O53" s="1322" t="s">
        <v>409</v>
      </c>
      <c r="P53" s="1323" t="s">
        <v>838</v>
      </c>
      <c r="Q53" s="1324">
        <f ca="1">Q47+Q48</f>
        <v>1038</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f ca="1">ROUND(IF(J47="钢混",J57/J50,1-(1-2%)*(J50-J57)/J50),3)</f>
        <v>0.32600000000000001</v>
      </c>
      <c r="K55" s="1347" t="s">
        <v>841</v>
      </c>
      <c r="L55" s="1348"/>
      <c r="O55" s="1315" t="s">
        <v>811</v>
      </c>
      <c r="P55" s="1316" t="s">
        <v>812</v>
      </c>
      <c r="Q55" s="1317" t="s">
        <v>813</v>
      </c>
      <c r="R55" s="1317" t="s">
        <v>814</v>
      </c>
    </row>
    <row r="56" spans="1:18" s="1289" customFormat="1" ht="25.5" thickTop="1" thickBot="1">
      <c r="A56" s="901">
        <v>2</v>
      </c>
      <c r="B56" s="902" t="s">
        <v>704</v>
      </c>
      <c r="C56" s="222">
        <f ca="1">C13</f>
        <v>1760</v>
      </c>
      <c r="D56" s="1349"/>
      <c r="E56" s="1350"/>
      <c r="F56" s="1342"/>
      <c r="I56" s="1351" t="s">
        <v>842</v>
      </c>
      <c r="J56" s="1352" t="s">
        <v>3485</v>
      </c>
      <c r="K56" s="1325" t="s">
        <v>843</v>
      </c>
      <c r="L56" s="1328" t="str">
        <f ca="1">IF(L48&lt;J51,"——",L48-J53)</f>
        <v>——</v>
      </c>
      <c r="O56" s="1322" t="s">
        <v>403</v>
      </c>
      <c r="P56" s="1323" t="s">
        <v>817</v>
      </c>
      <c r="Q56" s="1324">
        <f ca="1">C40+J29</f>
        <v>983</v>
      </c>
      <c r="R56" s="1324" t="s">
        <v>818</v>
      </c>
    </row>
    <row r="57" spans="1:18" s="1289" customFormat="1" ht="24.75" thickBot="1">
      <c r="A57" s="1353"/>
      <c r="B57" s="894" t="s">
        <v>767</v>
      </c>
      <c r="C57" s="228">
        <f ca="1">C29</f>
        <v>1956</v>
      </c>
      <c r="D57" s="1354"/>
      <c r="E57" s="1355"/>
      <c r="F57" s="1356"/>
      <c r="I57" s="1357" t="s">
        <v>844</v>
      </c>
      <c r="J57" s="1358">
        <f ca="1">IF(OR(M47="住宅",J51&lt;L48,J56="是"),"——",J51-L48)</f>
        <v>19.54</v>
      </c>
      <c r="K57" s="1325" t="s">
        <v>845</v>
      </c>
      <c r="L57" s="1328" t="str">
        <f ca="1">IF(L48&lt;J51,"——",IF(L55="比较法",L49,IF(L55="基准地价",L50,L51)))</f>
        <v>——</v>
      </c>
      <c r="O57" s="1322" t="s">
        <v>404</v>
      </c>
      <c r="P57" s="1323" t="s">
        <v>846</v>
      </c>
      <c r="Q57" s="1324">
        <f ca="1">L60</f>
        <v>0</v>
      </c>
      <c r="R57" s="1324" t="s">
        <v>847</v>
      </c>
    </row>
    <row r="58" spans="1:18" s="1289" customFormat="1" ht="24.75" thickBot="1">
      <c r="A58" s="305" t="s">
        <v>393</v>
      </c>
      <c r="B58" s="902" t="s">
        <v>714</v>
      </c>
      <c r="C58" s="306">
        <f ca="1">ROUND(C59+C64+C65+C66,0)</f>
        <v>13</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f ca="1">IF(项目基本情况!B11="企业","——",IF('数据-取费表'!B10="住宅",IF(F49*F50*F51/12/(1+'数据-取费表'!F30)&gt;100000,4%,2.5%),IF(F49*F50*F51/12/(1+'数据-取费表'!F30)&gt;100000,12%,7%)))</f>
        <v>7.0000000000000007E-2</v>
      </c>
      <c r="I59" s="1357" t="s">
        <v>851</v>
      </c>
      <c r="J59" s="1358">
        <f ca="1">IF(OR(M47="住宅",J51&lt;L48,J56="是"),"——",ROUND(C29*J58,0))</f>
        <v>782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IF(项目基本情况!B11="自然人","——",ROUND(C48*F60/(1+'数据-取费表'!C42),2))</f>
        <v>0</v>
      </c>
      <c r="D60" s="908" t="s">
        <v>724</v>
      </c>
      <c r="E60" s="894" t="s">
        <v>712</v>
      </c>
      <c r="F60" s="320">
        <f t="shared" ref="F60:F66" si="0">F32</f>
        <v>5.5000000000000007E-2</v>
      </c>
      <c r="I60" s="1360" t="s">
        <v>853</v>
      </c>
      <c r="J60" s="1361">
        <f ca="1">IF(OR(M47="住宅",J51&lt;L48,J56="是"),"0",ROUND(J59/(1+J52)^J53,0))</f>
        <v>55</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3322</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IF(项目基本情况!B11="自然人","——",ROUND(F62*F63/10000,2))</f>
        <v>0.13</v>
      </c>
      <c r="D62" s="909" t="s">
        <v>786</v>
      </c>
      <c r="E62" s="894" t="s">
        <v>787</v>
      </c>
      <c r="F62" s="315">
        <f t="shared" si="0"/>
        <v>1.5</v>
      </c>
      <c r="I62" s="1364" t="s">
        <v>858</v>
      </c>
      <c r="J62" s="608" t="s">
        <v>859</v>
      </c>
      <c r="K62" s="608" t="s">
        <v>860</v>
      </c>
      <c r="L62" s="608" t="s">
        <v>861</v>
      </c>
      <c r="M62" s="1365" t="s">
        <v>862</v>
      </c>
      <c r="O62" s="1322" t="s">
        <v>409</v>
      </c>
      <c r="P62" s="1323" t="s">
        <v>863</v>
      </c>
      <c r="Q62" s="1324">
        <f ca="1">Q56+Q57</f>
        <v>983</v>
      </c>
      <c r="R62" s="1324" t="s">
        <v>410</v>
      </c>
    </row>
    <row r="63" spans="1:18" s="1289" customFormat="1" ht="13.5" thickBot="1">
      <c r="A63" s="316"/>
      <c r="B63" s="900"/>
      <c r="C63" s="26"/>
      <c r="D63" s="910"/>
      <c r="E63" s="894" t="s">
        <v>788</v>
      </c>
      <c r="F63" s="293">
        <f t="shared" ca="1" si="0"/>
        <v>891.05</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9.7799999999999994</v>
      </c>
      <c r="D64" s="908" t="s">
        <v>791</v>
      </c>
      <c r="E64" s="894"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3.52</v>
      </c>
      <c r="D65" s="908" t="s">
        <v>743</v>
      </c>
      <c r="E65" s="894" t="s">
        <v>744</v>
      </c>
      <c r="F65" s="319">
        <f t="shared" ca="1" si="0"/>
        <v>2E-3</v>
      </c>
      <c r="I65" s="1364" t="s">
        <v>867</v>
      </c>
      <c r="J65" s="608">
        <v>40</v>
      </c>
      <c r="K65" s="608">
        <v>30</v>
      </c>
      <c r="L65" s="608">
        <v>50</v>
      </c>
      <c r="M65" s="1366">
        <v>0.02</v>
      </c>
      <c r="O65" s="1322" t="s">
        <v>403</v>
      </c>
      <c r="P65" s="1323" t="s">
        <v>868</v>
      </c>
      <c r="Q65" s="1324">
        <f ca="1">C40+J29</f>
        <v>983</v>
      </c>
      <c r="R65" s="1324" t="s">
        <v>818</v>
      </c>
    </row>
    <row r="66" spans="1:18" s="1289" customFormat="1" ht="16.5" thickBot="1">
      <c r="A66" s="926" t="s">
        <v>793</v>
      </c>
      <c r="B66" s="894" t="s">
        <v>728</v>
      </c>
      <c r="C66" s="21">
        <f ca="1">ROUND(C48*F66,2)</f>
        <v>0</v>
      </c>
      <c r="D66" s="908" t="s">
        <v>794</v>
      </c>
      <c r="E66" s="894" t="s">
        <v>712</v>
      </c>
      <c r="F66" s="302">
        <f t="shared" ca="1" si="0"/>
        <v>0.02</v>
      </c>
      <c r="O66" s="1322" t="s">
        <v>404</v>
      </c>
      <c r="P66" s="1323" t="s">
        <v>846</v>
      </c>
      <c r="Q66" s="1324">
        <f ca="1">L60</f>
        <v>0</v>
      </c>
      <c r="R66" s="1324" t="s">
        <v>869</v>
      </c>
    </row>
    <row r="67" spans="1:18" s="1289" customFormat="1" ht="16.5" thickBot="1">
      <c r="A67" s="901" t="s">
        <v>394</v>
      </c>
      <c r="B67" s="911" t="s">
        <v>752</v>
      </c>
      <c r="C67" s="306">
        <f ca="1">C48-C58</f>
        <v>-13</v>
      </c>
      <c r="D67" s="907" t="s">
        <v>753</v>
      </c>
      <c r="E67" s="912"/>
      <c r="F67" s="913"/>
      <c r="O67" s="1331" t="s">
        <v>405</v>
      </c>
      <c r="P67" s="1323" t="s">
        <v>850</v>
      </c>
      <c r="Q67" s="1367">
        <f ca="1">L51</f>
        <v>-1288</v>
      </c>
      <c r="R67" s="1324" t="s">
        <v>870</v>
      </c>
    </row>
    <row r="68" spans="1:18" s="1289" customFormat="1" ht="16.5" thickBot="1">
      <c r="A68" s="891" t="s">
        <v>395</v>
      </c>
      <c r="B68" s="892" t="s">
        <v>774</v>
      </c>
      <c r="C68" s="291">
        <f ca="1">ROUND(C67*(1-((1+F70)/(1+F68))^F69)/(F68-F70),0)</f>
        <v>-188</v>
      </c>
      <c r="D68" s="909" t="s">
        <v>758</v>
      </c>
      <c r="E68" s="894" t="s">
        <v>759</v>
      </c>
      <c r="F68" s="302">
        <f ca="1">F40</f>
        <v>0.06</v>
      </c>
      <c r="O68" s="1331" t="s">
        <v>406</v>
      </c>
      <c r="P68" s="1368" t="s">
        <v>871</v>
      </c>
      <c r="Q68" s="1324">
        <f ca="1">ROUND(Q69-Q70*Q71,0)</f>
        <v>-75</v>
      </c>
      <c r="R68" s="1324" t="s">
        <v>414</v>
      </c>
    </row>
    <row r="69" spans="1:18" s="1289" customFormat="1" ht="13.5" thickBot="1">
      <c r="A69" s="895"/>
      <c r="B69" s="896"/>
      <c r="C69" s="296"/>
      <c r="D69" s="914" t="s">
        <v>762</v>
      </c>
      <c r="E69" s="894" t="s">
        <v>763</v>
      </c>
      <c r="F69" s="322">
        <f ca="1">F41</f>
        <v>34.46</v>
      </c>
      <c r="O69" s="1331" t="s">
        <v>411</v>
      </c>
      <c r="P69" s="1368" t="s">
        <v>872</v>
      </c>
      <c r="Q69" s="1324">
        <f ca="1">C39</f>
        <v>57</v>
      </c>
      <c r="R69" s="1324" t="s">
        <v>818</v>
      </c>
    </row>
    <row r="70" spans="1:18" s="1289" customFormat="1" ht="13.5" thickBot="1">
      <c r="A70" s="898"/>
      <c r="B70" s="899"/>
      <c r="C70" s="300"/>
      <c r="D70" s="910"/>
      <c r="E70" s="894" t="s">
        <v>766</v>
      </c>
      <c r="F70" s="989"/>
      <c r="O70" s="1331" t="s">
        <v>412</v>
      </c>
      <c r="P70" s="1368" t="s">
        <v>873</v>
      </c>
      <c r="Q70" s="1324">
        <f ca="1">C13</f>
        <v>1760</v>
      </c>
      <c r="R70" s="1324" t="s">
        <v>818</v>
      </c>
    </row>
    <row r="71" spans="1:18" s="1289" customFormat="1" ht="13.5" thickBot="1">
      <c r="A71" s="915" t="s">
        <v>396</v>
      </c>
      <c r="B71" s="916" t="s">
        <v>776</v>
      </c>
      <c r="C71" s="325">
        <f ca="1">ROUND(C68*10000/F71,0)</f>
        <v>-1525</v>
      </c>
      <c r="D71" s="917" t="s">
        <v>777</v>
      </c>
      <c r="E71" s="918" t="s">
        <v>778</v>
      </c>
      <c r="F71" s="328">
        <f ca="1">F43</f>
        <v>1232.79</v>
      </c>
      <c r="O71" s="1331" t="s">
        <v>413</v>
      </c>
      <c r="P71" s="1368" t="s">
        <v>874</v>
      </c>
      <c r="Q71" s="1334">
        <f ca="1">C76</f>
        <v>7.4999999999999997E-2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132</v>
      </c>
      <c r="D75" s="1289"/>
      <c r="E75" s="1289"/>
      <c r="F75" s="1289"/>
      <c r="K75" s="1306"/>
      <c r="L75" s="1289"/>
      <c r="O75" s="1322" t="s">
        <v>409</v>
      </c>
      <c r="P75" s="1323" t="s">
        <v>838</v>
      </c>
      <c r="Q75" s="1324">
        <f ca="1">Q65+Q66</f>
        <v>983</v>
      </c>
      <c r="R75" s="1324" t="s">
        <v>410</v>
      </c>
    </row>
    <row r="76" spans="1:18">
      <c r="B76" s="331" t="s">
        <v>796</v>
      </c>
      <c r="C76" s="332">
        <f ca="1">INDIRECT("'数据-取费表'!j"&amp;$G$1)</f>
        <v>7.4999999999999997E-2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-1.3159999999999998</v>
      </c>
    </row>
    <row r="80" spans="1:18">
      <c r="B80" s="329" t="s">
        <v>800</v>
      </c>
      <c r="C80" s="264">
        <f ca="1">ROUND(C75/C39,3)</f>
        <v>2.3159999999999998</v>
      </c>
    </row>
    <row r="81" spans="2:3">
      <c r="B81" s="260" t="s">
        <v>801</v>
      </c>
      <c r="C81" s="228"/>
    </row>
    <row r="82" spans="2:3">
      <c r="B82" s="263" t="s">
        <v>802</v>
      </c>
      <c r="C82" s="265">
        <f ca="1">1-C83</f>
        <v>-0.79</v>
      </c>
    </row>
    <row r="83" spans="2:3">
      <c r="B83" s="263" t="s">
        <v>803</v>
      </c>
      <c r="C83" s="264">
        <f ca="1">ROUND(C13/C40,3)</f>
        <v>1.79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0</v>
      </c>
      <c r="K5" s="1270" t="s">
        <v>889</v>
      </c>
      <c r="L5" s="1006"/>
      <c r="M5" s="1007"/>
    </row>
    <row r="6" spans="1:37" ht="18" customHeight="1">
      <c r="A6" s="1004" t="s">
        <v>398</v>
      </c>
      <c r="B6" s="3430" t="s">
        <v>694</v>
      </c>
      <c r="C6" s="1009">
        <f ca="1">ROUND(F6*F8*F7*(1-F9),0)</f>
        <v>0</v>
      </c>
      <c r="D6" s="145" t="s">
        <v>2103</v>
      </c>
      <c r="E6" s="292" t="s">
        <v>696</v>
      </c>
      <c r="F6" s="293">
        <f ca="1">INDIRECT("'数据-取费表'!u"&amp;$G$1)</f>
        <v>0</v>
      </c>
      <c r="G6" s="1289"/>
      <c r="H6" s="1004" t="s">
        <v>398</v>
      </c>
      <c r="I6" s="3430" t="s">
        <v>694</v>
      </c>
      <c r="J6" s="291">
        <f ca="1">ROUND(M6*M8*M7*(1-M9),0)</f>
        <v>0</v>
      </c>
      <c r="K6" s="1281" t="s">
        <v>2104</v>
      </c>
      <c r="L6" s="292" t="s">
        <v>696</v>
      </c>
      <c r="M6" s="293">
        <f ca="1">INDIRECT("'数据-取费表'!z"&amp;$G$1)</f>
        <v>0</v>
      </c>
    </row>
    <row r="7" spans="1:37" ht="18" customHeight="1">
      <c r="A7" s="1008"/>
      <c r="B7" s="3431"/>
      <c r="C7" s="1010"/>
      <c r="D7" s="297"/>
      <c r="E7" s="1011" t="s">
        <v>697</v>
      </c>
      <c r="F7" s="293">
        <f ca="1">IF(INDIRECT("'数据-取费表'!ah"&amp;$G$1)="",INDIRECT("'数据-取费表'!k"&amp;$G$1),INDIRECT("'数据-取费表'!ah"&amp;$G$1))</f>
        <v>0</v>
      </c>
      <c r="G7" s="1289"/>
      <c r="H7" s="294"/>
      <c r="I7" s="3431"/>
      <c r="J7" s="296"/>
      <c r="K7" s="297"/>
      <c r="L7" s="292" t="s">
        <v>697</v>
      </c>
      <c r="M7" s="293">
        <f ca="1">F7</f>
        <v>0</v>
      </c>
    </row>
    <row r="8" spans="1:37" ht="18" customHeight="1">
      <c r="A8" s="294"/>
      <c r="B8" s="3431"/>
      <c r="C8" s="296"/>
      <c r="D8" s="297"/>
      <c r="E8" s="292" t="s">
        <v>698</v>
      </c>
      <c r="F8" s="293">
        <f ca="1">INDIRECT("'数据-取费表'!ai"&amp;$G$1)</f>
        <v>0</v>
      </c>
      <c r="G8" s="1289"/>
      <c r="H8" s="294"/>
      <c r="I8" s="3431"/>
      <c r="J8" s="296"/>
      <c r="K8" s="297"/>
      <c r="L8" s="292" t="s">
        <v>698</v>
      </c>
      <c r="M8" s="293">
        <f ca="1">INDIRECT("'数据-取费表'!ai"&amp;$G$1)</f>
        <v>0</v>
      </c>
    </row>
    <row r="9" spans="1:37" ht="18" customHeight="1">
      <c r="A9" s="294"/>
      <c r="B9" s="3432"/>
      <c r="C9" s="296"/>
      <c r="D9" s="297"/>
      <c r="E9" s="292" t="s">
        <v>699</v>
      </c>
      <c r="F9" s="302">
        <f ca="1">INDIRECT("'数据-取费表'!w"&amp;$G$1)</f>
        <v>0</v>
      </c>
      <c r="G9" s="1289"/>
      <c r="H9" s="294"/>
      <c r="I9" s="3432"/>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282" t="s">
        <v>2115</v>
      </c>
      <c r="L10" s="303" t="s">
        <v>701</v>
      </c>
      <c r="M10" s="1051"/>
    </row>
    <row r="11" spans="1:37" ht="18" customHeight="1">
      <c r="A11" s="298"/>
      <c r="B11" s="1272" t="s">
        <v>890</v>
      </c>
      <c r="C11" s="903"/>
      <c r="D11" s="297"/>
      <c r="E11" s="303" t="s">
        <v>702</v>
      </c>
      <c r="F11" s="304">
        <f ca="1">'数据-取费表'!B39</f>
        <v>1.4999999999999999E-2</v>
      </c>
      <c r="G11" s="1289"/>
      <c r="H11" s="1012"/>
      <c r="I11" s="1272" t="s">
        <v>891</v>
      </c>
      <c r="J11" s="903"/>
      <c r="K11" s="644"/>
      <c r="L11" s="303"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0.05</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ROUND(F17*(F43+INDIRECT("'数据-取费表'!S"&amp;$G$1)),0)</f>
        <v>0</v>
      </c>
      <c r="D17" s="292" t="s">
        <v>717</v>
      </c>
      <c r="E17" s="292" t="s">
        <v>718</v>
      </c>
      <c r="F17" s="23">
        <f>'数据-取费表'!B35</f>
        <v>200</v>
      </c>
      <c r="G17" s="1300"/>
      <c r="H17" s="926" t="s">
        <v>398</v>
      </c>
      <c r="I17" s="292" t="s">
        <v>719</v>
      </c>
      <c r="J17" s="2137">
        <f ca="1">ROUND(IF(AND(项目基本情况!B11="自然人",项目基本情况!B10="北京市"),J6*M17/(1+'数据-取费表'!C42),J18+J19+J20),0)</f>
        <v>0</v>
      </c>
      <c r="K17" s="1254" t="s">
        <v>720</v>
      </c>
      <c r="L17" s="1253" t="s">
        <v>721</v>
      </c>
      <c r="M17" s="2136">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0.03</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IF(K19="按租金收入计税",ROUND(J6*M19/(1+'数据-取费表'!C42),0),ROUND(C29*M19*0.7,0))</f>
        <v>0</v>
      </c>
      <c r="K19" s="1275" t="s">
        <v>3322</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0.05</v>
      </c>
      <c r="G20" s="1300"/>
      <c r="H20" s="926"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0.03</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6"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1.5E-3</v>
      </c>
      <c r="D24" s="136" t="str">
        <f>IF(F23&lt;=1,"销售费用×利率×(建设周期÷2)","销售费用×((1+利率)^(建设周期÷2)-1)")</f>
        <v>销售费用×((1+利率)^(建设周期÷2)-1)</v>
      </c>
      <c r="E24" s="292" t="s">
        <v>747</v>
      </c>
      <c r="F24" s="320">
        <f ca="1">'数据-取费表'!B40</f>
        <v>3.2500000000000001E-2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5.2400000000000002E-2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8"/>
      <c r="I30" s="1302"/>
      <c r="J30" s="1303"/>
      <c r="K30" s="119"/>
      <c r="L30" s="2469"/>
      <c r="M30" s="2470"/>
    </row>
    <row r="31" spans="1:37" ht="18" customHeight="1">
      <c r="A31" s="926" t="s">
        <v>398</v>
      </c>
      <c r="B31" s="292" t="s">
        <v>719</v>
      </c>
      <c r="C31" s="2137">
        <f ca="1">ROUND(IF(AND(项目基本情况!B11="自然人",项目基本情况!B10="北京市"),C6*F31/(1+'数据-取费表'!C42),C32+C33+C34),0)</f>
        <v>0</v>
      </c>
      <c r="D31" s="1254" t="s">
        <v>720</v>
      </c>
      <c r="E31" s="1253" t="s">
        <v>770</v>
      </c>
      <c r="F31" s="2136">
        <f ca="1">IF(项目基本情况!B11="企业","——",IF(M47="住宅",IF(F6*F7*F8/12/(1+'数据-取费表'!F30)&gt;100000,4%,2.5%),IF(F6*F7*F8/12/(1+'数据-取费表'!F30)&gt;100000,12%,7%)))</f>
        <v>7.0000000000000007E-2</v>
      </c>
      <c r="G31" s="1289"/>
      <c r="H31" s="2567" t="s">
        <v>2294</v>
      </c>
      <c r="I31" s="1302"/>
      <c r="J31" s="1303"/>
      <c r="K31" s="119"/>
      <c r="L31" s="2469"/>
      <c r="M31" s="2470"/>
    </row>
    <row r="32" spans="1:37" ht="18" customHeight="1">
      <c r="A32" s="926" t="s">
        <v>397</v>
      </c>
      <c r="B32" s="292" t="s">
        <v>723</v>
      </c>
      <c r="C32" s="21">
        <f ca="1">IF(项目基本情况!B11="自然人","——",ROUND(C6*F32/(1+'数据-取费表'!C42),0))</f>
        <v>0</v>
      </c>
      <c r="D32" s="1253" t="s">
        <v>724</v>
      </c>
      <c r="E32" s="292" t="s">
        <v>712</v>
      </c>
      <c r="F32" s="320">
        <f>'数据-取费表'!B41</f>
        <v>5.5000000000000007E-2</v>
      </c>
      <c r="G32" s="1289"/>
      <c r="H32" s="2468"/>
      <c r="I32" s="1302"/>
      <c r="J32" s="1303"/>
      <c r="K32" s="119"/>
      <c r="L32" s="2469"/>
      <c r="M32" s="2470"/>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5" t="s">
        <v>3322</v>
      </c>
      <c r="E33" s="292" t="s">
        <v>712</v>
      </c>
      <c r="F33" s="312">
        <f>IF(D33="按票据","——",IF(D33="按租金收入计税",'数据-取费表'!B51,'数据-取费表'!B50))</f>
        <v>0.12</v>
      </c>
      <c r="G33" s="1289"/>
      <c r="H33" s="2471"/>
      <c r="I33" s="1302"/>
      <c r="J33" s="1303"/>
      <c r="K33" s="2472"/>
      <c r="L33" s="2471"/>
      <c r="M33" s="2471"/>
    </row>
    <row r="34" spans="1:18" ht="18" customHeight="1">
      <c r="A34" s="1004" t="s">
        <v>680</v>
      </c>
      <c r="B34" s="145" t="s">
        <v>730</v>
      </c>
      <c r="C34" s="22">
        <f ca="1">IF(项目基本情况!B11="自然人","——",ROUND(F34*F35,0))</f>
        <v>0</v>
      </c>
      <c r="D34" s="314" t="s">
        <v>731</v>
      </c>
      <c r="E34" s="292" t="s">
        <v>732</v>
      </c>
      <c r="F34" s="315">
        <f>'数据-取费表'!B52</f>
        <v>1.5</v>
      </c>
      <c r="G34" s="1289"/>
      <c r="H34" s="2468"/>
      <c r="I34" s="1302"/>
      <c r="J34" s="1303"/>
      <c r="K34" s="2473"/>
      <c r="L34" s="2474"/>
      <c r="M34" s="2474"/>
    </row>
    <row r="35" spans="1:18" ht="18" customHeight="1">
      <c r="A35" s="1038"/>
      <c r="B35" s="1036"/>
      <c r="C35" s="26"/>
      <c r="D35" s="317"/>
      <c r="E35" s="292" t="s">
        <v>736</v>
      </c>
      <c r="F35" s="293">
        <f ca="1">INDIRECT("'数据-取费表'!r"&amp;$G$1)</f>
        <v>0</v>
      </c>
      <c r="G35" s="1289"/>
      <c r="H35" s="2468"/>
      <c r="I35" s="1302"/>
      <c r="J35" s="1303"/>
      <c r="K35" s="2472"/>
      <c r="L35" s="2471"/>
      <c r="M35" s="2471"/>
    </row>
    <row r="36" spans="1:18" ht="18" customHeight="1">
      <c r="A36" s="1037" t="s">
        <v>402</v>
      </c>
      <c r="B36" s="292" t="s">
        <v>738</v>
      </c>
      <c r="C36" s="21">
        <f ca="1">ROUND(C29*F36,0)</f>
        <v>0</v>
      </c>
      <c r="D36" s="1253" t="s">
        <v>771</v>
      </c>
      <c r="E36" s="292" t="s">
        <v>712</v>
      </c>
      <c r="F36" s="318">
        <f ca="1">INDIRECT("'数据-取费表'!Ak"&amp;$G$1)</f>
        <v>0</v>
      </c>
      <c r="G36" s="1289"/>
      <c r="H36" s="2471"/>
      <c r="I36" s="1302"/>
      <c r="J36" s="1303"/>
      <c r="K36" s="2328"/>
      <c r="L36" s="2471"/>
      <c r="M36" s="2471"/>
    </row>
    <row r="37" spans="1:18" ht="18" customHeight="1">
      <c r="A37" s="926" t="s">
        <v>437</v>
      </c>
      <c r="B37" s="292" t="s">
        <v>742</v>
      </c>
      <c r="C37" s="21">
        <f ca="1">ROUND(C13*F37,0)</f>
        <v>0</v>
      </c>
      <c r="D37" s="1253" t="s">
        <v>743</v>
      </c>
      <c r="E37" s="292" t="s">
        <v>744</v>
      </c>
      <c r="F37" s="319">
        <f ca="1">INDIRECT("'数据-取费表'!Al"&amp;$G$1)</f>
        <v>0</v>
      </c>
      <c r="G37" s="1289"/>
      <c r="H37" s="2471"/>
      <c r="I37" s="1302"/>
      <c r="J37" s="1303"/>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89"/>
      <c r="H38" s="2471"/>
      <c r="I38" s="1302"/>
      <c r="J38" s="1303"/>
      <c r="K38" s="2469"/>
      <c r="L38" s="2471"/>
      <c r="M38" s="2471"/>
    </row>
    <row r="39" spans="1:18" ht="24.6" customHeight="1" thickTop="1">
      <c r="A39" s="1014" t="s">
        <v>394</v>
      </c>
      <c r="B39" s="1029" t="s">
        <v>772</v>
      </c>
      <c r="C39" s="300">
        <f ca="1">C5-C30</f>
        <v>0</v>
      </c>
      <c r="D39" s="1030" t="s">
        <v>773</v>
      </c>
      <c r="E39" s="1031"/>
      <c r="F39" s="1032"/>
      <c r="G39" s="1289"/>
      <c r="H39" s="2471"/>
      <c r="I39" s="1302"/>
      <c r="J39" s="1303"/>
      <c r="K39" s="2469"/>
      <c r="L39" s="2471"/>
      <c r="M39" s="2471"/>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9"/>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766</v>
      </c>
      <c r="F42" s="302">
        <f ca="1">INDIRECT("'数据-取费表'!v"&amp;$G$1)</f>
        <v>0</v>
      </c>
      <c r="G42" s="1289"/>
      <c r="H42" s="119"/>
      <c r="I42" s="1302"/>
      <c r="J42" s="1303"/>
      <c r="K42" s="2328"/>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7" t="s">
        <v>3338</v>
      </c>
      <c r="B45" s="1304"/>
      <c r="C45" s="1373" t="e">
        <f ca="1">ROUND((C68-C40)/10000,4)</f>
        <v>#DIV/0!</v>
      </c>
      <c r="D45" s="3128" t="s">
        <v>3339</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924"/>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3" t="s">
        <v>700</v>
      </c>
      <c r="C53" s="306">
        <f ca="1">ROUND(IF(F53="押一",C49/12*F11,IF(F53="押二",C49/12*2*F11,IF(F53="押三",C49/12*3*F11,C54*F11))),0)</f>
        <v>0</v>
      </c>
      <c r="D53" s="148" t="s">
        <v>2116</v>
      </c>
      <c r="E53" s="303" t="s">
        <v>701</v>
      </c>
      <c r="F53" s="1051"/>
      <c r="I53" s="1341" t="s">
        <v>836</v>
      </c>
      <c r="J53" s="2003">
        <f ca="1">IF(M47="住宅",IF(D1="——",MAX(J51,L48),MAX(J51,L48-'数据-取费表'!B24)),IF(D1="——",MIN(J51,L48),MIN(J51,L48-'数据-取费表'!B24)))</f>
        <v>0</v>
      </c>
      <c r="K53" s="3428" t="s">
        <v>837</v>
      </c>
      <c r="L53" s="3429"/>
      <c r="O53" s="1322" t="s">
        <v>409</v>
      </c>
      <c r="P53" s="1323" t="s">
        <v>838</v>
      </c>
      <c r="Q53" s="1324" t="e">
        <f ca="1">Q47+Q48</f>
        <v>#DIV/0!</v>
      </c>
      <c r="R53" s="1324" t="s">
        <v>410</v>
      </c>
    </row>
    <row r="54" spans="1:18" s="1289" customFormat="1" ht="13.5" thickBot="1">
      <c r="A54" s="919"/>
      <c r="B54" s="1374" t="s">
        <v>891</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3322</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ROUND(C48*F66,0)</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2423</v>
      </c>
      <c r="B1" s="2581"/>
      <c r="C1" s="2593"/>
      <c r="D1" s="2593"/>
      <c r="E1" s="2582"/>
      <c r="F1" s="2583"/>
      <c r="G1" s="2584"/>
      <c r="J1" s="2587" t="s">
        <v>2302</v>
      </c>
      <c r="K1" s="2588"/>
      <c r="L1" s="2588"/>
      <c r="M1" s="2588"/>
      <c r="N1" s="2588"/>
      <c r="O1" s="2588"/>
      <c r="P1" s="2588"/>
      <c r="Q1" s="2588"/>
      <c r="R1" s="2589"/>
      <c r="S1" s="2590"/>
      <c r="T1" s="2590"/>
      <c r="U1" s="2590"/>
    </row>
    <row r="2" spans="1:22" s="2602" customFormat="1" ht="13.15" customHeight="1">
      <c r="A2" s="1290" t="s">
        <v>2303</v>
      </c>
      <c r="B2" s="2592" t="e">
        <f>IF(D2="——",C40,C40+E2)</f>
        <v>#DIV/0!</v>
      </c>
      <c r="C2" s="2593" t="s">
        <v>2304</v>
      </c>
      <c r="D2" s="3136" t="s">
        <v>3345</v>
      </c>
      <c r="E2" s="3137"/>
      <c r="F2" s="2595"/>
      <c r="G2" s="2596"/>
      <c r="H2" s="2597"/>
      <c r="I2" s="2598"/>
      <c r="J2" s="3433" t="s">
        <v>2305</v>
      </c>
      <c r="K2" s="3434"/>
      <c r="L2" s="2599" t="s">
        <v>2306</v>
      </c>
      <c r="M2" s="2599" t="s">
        <v>2307</v>
      </c>
      <c r="N2" s="2599" t="s">
        <v>2308</v>
      </c>
      <c r="O2" s="2599" t="s">
        <v>2309</v>
      </c>
      <c r="P2" s="2599" t="s">
        <v>2310</v>
      </c>
      <c r="Q2" s="2600" t="s">
        <v>2311</v>
      </c>
      <c r="R2" s="2601" t="s">
        <v>2312</v>
      </c>
      <c r="S2" s="2590"/>
      <c r="T2" s="2590"/>
      <c r="U2" s="2590"/>
      <c r="V2" s="2598"/>
    </row>
    <row r="3" spans="1:22" s="2602" customFormat="1" ht="13.15" customHeight="1">
      <c r="A3" s="2603" t="s">
        <v>2313</v>
      </c>
      <c r="B3" s="2604" t="e">
        <f>ROUND(B2*10000/B4,0)</f>
        <v>#DIV/0!</v>
      </c>
      <c r="C3" s="2593" t="s">
        <v>2314</v>
      </c>
      <c r="D3" s="2593"/>
      <c r="E3" s="2594"/>
      <c r="F3" s="2595"/>
      <c r="G3" s="2596"/>
      <c r="H3" s="2597"/>
      <c r="I3" s="2598"/>
      <c r="J3" s="3435" t="s">
        <v>2315</v>
      </c>
      <c r="K3" s="3436"/>
      <c r="L3" s="2605"/>
      <c r="M3" s="2605"/>
      <c r="N3" s="2605"/>
      <c r="O3" s="2605"/>
      <c r="P3" s="2605"/>
      <c r="Q3" s="2606"/>
      <c r="R3" s="2607">
        <f>SUM(L3:Q3)</f>
        <v>0</v>
      </c>
      <c r="S3" s="2590"/>
      <c r="T3" s="2590"/>
      <c r="U3" s="2590"/>
      <c r="V3" s="2598"/>
    </row>
    <row r="4" spans="1:22" s="2602" customFormat="1" ht="13.15" customHeight="1">
      <c r="A4" s="2608" t="s">
        <v>2316</v>
      </c>
      <c r="B4" s="2609"/>
      <c r="C4" s="2593"/>
      <c r="D4" s="2593"/>
      <c r="E4" s="2594"/>
      <c r="F4" s="2595"/>
      <c r="G4" s="2596"/>
      <c r="H4" s="2597"/>
      <c r="I4" s="2598"/>
      <c r="J4" s="3435" t="s">
        <v>2317</v>
      </c>
      <c r="K4" s="3436"/>
      <c r="L4" s="2610"/>
      <c r="M4" s="2610"/>
      <c r="N4" s="2610"/>
      <c r="O4" s="2610"/>
      <c r="P4" s="2610"/>
      <c r="Q4" s="2611"/>
      <c r="R4" s="2612">
        <f>SUM(L4:Q4)</f>
        <v>0</v>
      </c>
      <c r="S4" s="2590"/>
      <c r="T4" s="2590"/>
      <c r="U4" s="2590"/>
      <c r="V4" s="2598"/>
    </row>
    <row r="5" spans="1:22" s="2602" customFormat="1" ht="13.15" customHeight="1" thickBot="1">
      <c r="A5" s="2613" t="s">
        <v>2318</v>
      </c>
      <c r="B5" s="2614"/>
      <c r="C5" s="2593"/>
      <c r="D5" s="2615"/>
      <c r="E5" s="2595"/>
      <c r="F5" s="2595"/>
      <c r="G5" s="2596"/>
      <c r="H5" s="2597"/>
      <c r="I5" s="2598"/>
      <c r="J5" s="2616" t="s">
        <v>2319</v>
      </c>
      <c r="K5" s="2617"/>
      <c r="L5" s="2617"/>
      <c r="M5" s="2618"/>
      <c r="N5" s="2618"/>
      <c r="O5" s="2618"/>
      <c r="P5" s="2618"/>
      <c r="Q5" s="2618"/>
      <c r="R5" s="2601">
        <f>SUM(R14,R19,R24,R25,R27,R28)</f>
        <v>0</v>
      </c>
      <c r="S5" s="2590"/>
      <c r="T5" s="2590" t="s">
        <v>2320</v>
      </c>
      <c r="U5" s="2590" t="e">
        <f>ROUND(R5*10000/365/R3,1)</f>
        <v>#DIV/0!</v>
      </c>
      <c r="V5" s="2598"/>
    </row>
    <row r="6" spans="1:22" s="2602" customFormat="1" ht="13.15" customHeight="1" thickBot="1">
      <c r="A6" s="3437" t="s">
        <v>2321</v>
      </c>
      <c r="B6" s="3438"/>
      <c r="C6" s="3439"/>
      <c r="D6" s="2619"/>
      <c r="E6" s="2620"/>
      <c r="F6" s="2621"/>
      <c r="G6" s="2622"/>
      <c r="H6" s="2597"/>
      <c r="I6" s="2598"/>
      <c r="J6" s="3440">
        <v>1</v>
      </c>
      <c r="K6" s="3441" t="s">
        <v>2322</v>
      </c>
      <c r="L6" s="2623" t="s">
        <v>2323</v>
      </c>
      <c r="M6" s="2624" t="s">
        <v>2324</v>
      </c>
      <c r="N6" s="2624" t="s">
        <v>2325</v>
      </c>
      <c r="O6" s="2624" t="s">
        <v>2326</v>
      </c>
      <c r="P6" s="2624" t="s">
        <v>2327</v>
      </c>
      <c r="Q6" s="2624" t="s">
        <v>2328</v>
      </c>
      <c r="R6" s="2607" t="s">
        <v>2329</v>
      </c>
      <c r="S6" s="2590"/>
      <c r="T6" s="2590" t="s">
        <v>2330</v>
      </c>
      <c r="U6" s="2590"/>
      <c r="V6" s="2598"/>
    </row>
    <row r="7" spans="1:22" s="2602" customFormat="1" ht="13.15" customHeight="1">
      <c r="A7" s="2625" t="s">
        <v>2331</v>
      </c>
      <c r="B7" s="2626"/>
      <c r="C7" s="2627"/>
      <c r="D7" s="2628">
        <f>SUM(D9,D10,D11,D17,0)</f>
        <v>0</v>
      </c>
      <c r="E7" s="2629" t="e">
        <f>E9+E10+E11+E17</f>
        <v>#DIV/0!</v>
      </c>
      <c r="F7" s="2630"/>
      <c r="G7" s="2631"/>
      <c r="H7" s="2597"/>
      <c r="I7" s="2598"/>
      <c r="J7" s="3440"/>
      <c r="K7" s="3442"/>
      <c r="L7" s="2632" t="s">
        <v>2332</v>
      </c>
      <c r="M7" s="2633"/>
      <c r="N7" s="2609"/>
      <c r="O7" s="2634"/>
      <c r="P7" s="2634"/>
      <c r="Q7" s="2635">
        <v>365</v>
      </c>
      <c r="R7" s="2636">
        <f>ROUND(M7*N7*O7*P7*Q7/10000,0)</f>
        <v>0</v>
      </c>
      <c r="S7" s="2590"/>
      <c r="T7" s="2590" t="s">
        <v>2333</v>
      </c>
      <c r="U7" s="2590"/>
      <c r="V7" s="2598"/>
    </row>
    <row r="8" spans="1:22" s="2602" customFormat="1" ht="13.15" customHeight="1">
      <c r="A8" s="2637" t="s">
        <v>2334</v>
      </c>
      <c r="B8" s="3444" t="s">
        <v>2335</v>
      </c>
      <c r="C8" s="3445"/>
      <c r="D8" s="2638" t="s">
        <v>2336</v>
      </c>
      <c r="E8" s="2639" t="s">
        <v>2337</v>
      </c>
      <c r="F8" s="2640" t="s">
        <v>2338</v>
      </c>
      <c r="G8" s="2641"/>
      <c r="H8" s="2597"/>
      <c r="I8" s="2598"/>
      <c r="J8" s="3440"/>
      <c r="K8" s="3442"/>
      <c r="L8" s="2632" t="s">
        <v>2339</v>
      </c>
      <c r="M8" s="2633"/>
      <c r="N8" s="2609"/>
      <c r="O8" s="2634"/>
      <c r="P8" s="2634"/>
      <c r="Q8" s="2635">
        <v>365</v>
      </c>
      <c r="R8" s="2636">
        <f t="shared" ref="R8:R13" si="0">ROUND(M8*N8*O8*P8*Q8/10000,0)</f>
        <v>0</v>
      </c>
      <c r="S8" s="2590"/>
      <c r="T8" s="2590" t="s">
        <v>2340</v>
      </c>
      <c r="U8" s="2590"/>
      <c r="V8" s="2598"/>
    </row>
    <row r="9" spans="1:22" s="2602" customFormat="1" ht="13.15" customHeight="1">
      <c r="A9" s="2637">
        <v>1</v>
      </c>
      <c r="B9" s="3444" t="s">
        <v>2341</v>
      </c>
      <c r="C9" s="3445"/>
      <c r="D9" s="2638">
        <f>ROUND(D6*E9,0)</f>
        <v>0</v>
      </c>
      <c r="E9" s="2642"/>
      <c r="F9" s="2643" t="s">
        <v>2342</v>
      </c>
      <c r="G9" s="2622"/>
      <c r="H9" s="2597"/>
      <c r="I9" s="2598"/>
      <c r="J9" s="3440"/>
      <c r="K9" s="3442"/>
      <c r="L9" s="2632" t="s">
        <v>2343</v>
      </c>
      <c r="M9" s="2633"/>
      <c r="N9" s="2609"/>
      <c r="O9" s="2634"/>
      <c r="P9" s="2634"/>
      <c r="Q9" s="2635">
        <v>365</v>
      </c>
      <c r="R9" s="2636">
        <f t="shared" si="0"/>
        <v>0</v>
      </c>
      <c r="S9" s="2590"/>
      <c r="T9" s="2590"/>
      <c r="U9" s="2590"/>
      <c r="V9" s="2598"/>
    </row>
    <row r="10" spans="1:22" s="2602" customFormat="1" ht="13.15" customHeight="1">
      <c r="A10" s="2637">
        <v>2</v>
      </c>
      <c r="B10" s="3444" t="s">
        <v>2344</v>
      </c>
      <c r="C10" s="3445"/>
      <c r="D10" s="2638">
        <f>ROUND(D6*E10,0)</f>
        <v>0</v>
      </c>
      <c r="E10" s="2642"/>
      <c r="F10" s="2643" t="s">
        <v>2345</v>
      </c>
      <c r="G10" s="2622"/>
      <c r="H10" s="2597"/>
      <c r="I10" s="2598"/>
      <c r="J10" s="3440"/>
      <c r="K10" s="3442"/>
      <c r="L10" s="2632" t="s">
        <v>2346</v>
      </c>
      <c r="M10" s="2633"/>
      <c r="N10" s="2609"/>
      <c r="O10" s="2634"/>
      <c r="P10" s="2634"/>
      <c r="Q10" s="2635">
        <v>365</v>
      </c>
      <c r="R10" s="2636">
        <f t="shared" si="0"/>
        <v>0</v>
      </c>
      <c r="S10" s="2590"/>
      <c r="T10" s="2590"/>
      <c r="U10" s="2590"/>
      <c r="V10" s="2598"/>
    </row>
    <row r="11" spans="1:22" s="2602" customFormat="1" ht="13.15" customHeight="1">
      <c r="A11" s="2637">
        <v>3</v>
      </c>
      <c r="B11" s="3444" t="s">
        <v>2347</v>
      </c>
      <c r="C11" s="3445"/>
      <c r="D11" s="2638">
        <f>D12+D14+D15+D16</f>
        <v>0</v>
      </c>
      <c r="E11" s="2644" t="e">
        <f>D11/D6</f>
        <v>#DIV/0!</v>
      </c>
      <c r="F11" s="2640"/>
      <c r="G11" s="2641"/>
      <c r="H11" s="2597"/>
      <c r="I11" s="2598"/>
      <c r="J11" s="3440"/>
      <c r="K11" s="3442"/>
      <c r="L11" s="2632" t="s">
        <v>2348</v>
      </c>
      <c r="M11" s="2633"/>
      <c r="N11" s="2609"/>
      <c r="O11" s="2634"/>
      <c r="P11" s="2634"/>
      <c r="Q11" s="2635">
        <v>365</v>
      </c>
      <c r="R11" s="2636">
        <f t="shared" si="0"/>
        <v>0</v>
      </c>
      <c r="S11" s="2590"/>
      <c r="T11" s="2590"/>
      <c r="U11" s="2590"/>
      <c r="V11" s="2598"/>
    </row>
    <row r="12" spans="1:22" s="2602" customFormat="1" ht="13.15" customHeight="1">
      <c r="A12" s="2645" t="s">
        <v>2349</v>
      </c>
      <c r="B12" s="3446" t="s">
        <v>2350</v>
      </c>
      <c r="C12" s="3447"/>
      <c r="D12" s="2646">
        <f>ROUND(D13*1.2%*(1-30%),0)</f>
        <v>0</v>
      </c>
      <c r="E12" s="2647">
        <v>1.2E-2</v>
      </c>
      <c r="F12" s="2640" t="s">
        <v>2351</v>
      </c>
      <c r="G12" s="2641"/>
      <c r="H12" s="2597"/>
      <c r="I12" s="2598"/>
      <c r="J12" s="3440"/>
      <c r="K12" s="3442"/>
      <c r="L12" s="2632" t="s">
        <v>2352</v>
      </c>
      <c r="M12" s="2633"/>
      <c r="N12" s="2609"/>
      <c r="O12" s="2634"/>
      <c r="P12" s="2634"/>
      <c r="Q12" s="2635">
        <v>365</v>
      </c>
      <c r="R12" s="2636">
        <f t="shared" si="0"/>
        <v>0</v>
      </c>
      <c r="S12" s="2590"/>
      <c r="T12" s="2590"/>
      <c r="U12" s="2590"/>
      <c r="V12" s="2598"/>
    </row>
    <row r="13" spans="1:22" s="2602" customFormat="1" ht="13.15" customHeight="1">
      <c r="A13" s="2645"/>
      <c r="B13" s="2648"/>
      <c r="C13" s="2649" t="s">
        <v>2353</v>
      </c>
      <c r="D13" s="2650"/>
      <c r="E13" s="2651"/>
      <c r="F13" s="2640"/>
      <c r="G13" s="2641"/>
      <c r="H13" s="2597"/>
      <c r="I13" s="2598"/>
      <c r="J13" s="3440"/>
      <c r="K13" s="3442"/>
      <c r="L13" s="2632" t="s">
        <v>2354</v>
      </c>
      <c r="M13" s="2633"/>
      <c r="N13" s="2609"/>
      <c r="O13" s="2634"/>
      <c r="P13" s="2634"/>
      <c r="Q13" s="2635">
        <v>365</v>
      </c>
      <c r="R13" s="2636">
        <f t="shared" si="0"/>
        <v>0</v>
      </c>
      <c r="S13" s="2590"/>
      <c r="T13" s="2590"/>
      <c r="U13" s="2590"/>
      <c r="V13" s="2598"/>
    </row>
    <row r="14" spans="1:22" s="2602" customFormat="1" ht="13.15" customHeight="1">
      <c r="A14" s="2645" t="s">
        <v>2355</v>
      </c>
      <c r="B14" s="3446" t="s">
        <v>2356</v>
      </c>
      <c r="C14" s="3447"/>
      <c r="D14" s="2646">
        <f>ROUND(E14*B5/10000,0)</f>
        <v>0</v>
      </c>
      <c r="E14" s="2635"/>
      <c r="F14" s="2640" t="s">
        <v>2357</v>
      </c>
      <c r="G14" s="2641"/>
      <c r="H14" s="2597"/>
      <c r="I14" s="2598"/>
      <c r="J14" s="3440"/>
      <c r="K14" s="3443"/>
      <c r="L14" s="2652" t="s">
        <v>2358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2359</v>
      </c>
      <c r="B15" s="3446" t="s">
        <v>2360</v>
      </c>
      <c r="C15" s="3447"/>
      <c r="D15" s="2646">
        <f>ROUND(D6*E15,0)</f>
        <v>0</v>
      </c>
      <c r="E15" s="2647">
        <v>5.5E-2</v>
      </c>
      <c r="F15" s="2640" t="s">
        <v>2361</v>
      </c>
      <c r="G15" s="2622"/>
      <c r="H15" s="2597"/>
      <c r="I15" s="2598"/>
      <c r="J15" s="3440">
        <v>2</v>
      </c>
      <c r="K15" s="3441" t="s">
        <v>2362</v>
      </c>
      <c r="L15" s="2632" t="s">
        <v>2363</v>
      </c>
      <c r="M15" s="2633" t="s">
        <v>2364</v>
      </c>
      <c r="N15" s="2633" t="s">
        <v>2365</v>
      </c>
      <c r="O15" s="2634" t="s">
        <v>2366</v>
      </c>
      <c r="P15" s="2634" t="s">
        <v>2328</v>
      </c>
      <c r="Q15" s="2609" t="s">
        <v>2367</v>
      </c>
      <c r="R15" s="2656" t="s">
        <v>2329</v>
      </c>
      <c r="S15" s="2590"/>
      <c r="T15" s="2590"/>
      <c r="U15" s="2590"/>
      <c r="V15" s="2598"/>
    </row>
    <row r="16" spans="1:22" s="2602" customFormat="1" ht="13.15" customHeight="1">
      <c r="A16" s="2645" t="s">
        <v>2368</v>
      </c>
      <c r="B16" s="3446" t="s">
        <v>2369</v>
      </c>
      <c r="C16" s="3447"/>
      <c r="D16" s="2657">
        <f>D6*E16</f>
        <v>0</v>
      </c>
      <c r="E16" s="2658"/>
      <c r="F16" s="2643" t="s">
        <v>2370</v>
      </c>
      <c r="G16" s="2622"/>
      <c r="H16" s="2597"/>
      <c r="I16" s="2598"/>
      <c r="J16" s="3440"/>
      <c r="K16" s="3442"/>
      <c r="L16" s="2632" t="s">
        <v>2371</v>
      </c>
      <c r="M16" s="2633"/>
      <c r="N16" s="2633"/>
      <c r="O16" s="2634"/>
      <c r="P16" s="2635">
        <v>365</v>
      </c>
      <c r="Q16" s="2609"/>
      <c r="R16" s="2656">
        <f>ROUND(M16*N16*O16*P16/10000,0)</f>
        <v>0</v>
      </c>
      <c r="S16" s="2590"/>
      <c r="T16" s="2590"/>
      <c r="U16" s="2590"/>
      <c r="V16" s="2598"/>
    </row>
    <row r="17" spans="1:22" s="2602" customFormat="1" ht="13.15" customHeight="1" thickBot="1">
      <c r="A17" s="2659">
        <v>4</v>
      </c>
      <c r="B17" s="3448" t="s">
        <v>2372</v>
      </c>
      <c r="C17" s="3449"/>
      <c r="D17" s="2660">
        <f>ROUND(D6*E17,0)</f>
        <v>0</v>
      </c>
      <c r="E17" s="2661"/>
      <c r="F17" s="2662" t="s">
        <v>2373</v>
      </c>
      <c r="G17" s="2622"/>
      <c r="H17" s="2597"/>
      <c r="I17" s="2598"/>
      <c r="J17" s="3440"/>
      <c r="K17" s="3442"/>
      <c r="L17" s="2632" t="s">
        <v>2374</v>
      </c>
      <c r="M17" s="2633"/>
      <c r="N17" s="2633"/>
      <c r="O17" s="2634"/>
      <c r="P17" s="2635">
        <v>365</v>
      </c>
      <c r="Q17" s="2609"/>
      <c r="R17" s="2656">
        <f>ROUND(M17*N17*O17*P17/10000,0)</f>
        <v>0</v>
      </c>
      <c r="S17" s="2590"/>
      <c r="T17" s="2590"/>
      <c r="U17" s="2590"/>
      <c r="V17" s="2598"/>
    </row>
    <row r="18" spans="1:22" s="2602" customFormat="1" ht="13.15" customHeight="1" thickBot="1">
      <c r="A18" s="2625" t="s">
        <v>2375</v>
      </c>
      <c r="B18" s="2626"/>
      <c r="C18" s="2626"/>
      <c r="D18" s="2663">
        <f>ROUND(D6*E18,0)</f>
        <v>0</v>
      </c>
      <c r="E18" s="2664"/>
      <c r="F18" s="2665" t="s">
        <v>2376</v>
      </c>
      <c r="G18" s="2622"/>
      <c r="H18" s="2597"/>
      <c r="I18" s="2598"/>
      <c r="J18" s="3440"/>
      <c r="K18" s="3442"/>
      <c r="L18" s="2632" t="s">
        <v>2377</v>
      </c>
      <c r="M18" s="2633"/>
      <c r="N18" s="2633"/>
      <c r="O18" s="2634"/>
      <c r="P18" s="2635">
        <v>365</v>
      </c>
      <c r="Q18" s="2609"/>
      <c r="R18" s="2656">
        <f>ROUND(M18*N18*O18*P18/10000,0)</f>
        <v>0</v>
      </c>
      <c r="S18" s="2590"/>
      <c r="T18" s="2590"/>
      <c r="U18" s="2590"/>
      <c r="V18" s="2598"/>
    </row>
    <row r="19" spans="1:22" s="2602" customFormat="1" ht="13.15" customHeight="1" thickBot="1">
      <c r="A19" s="2666" t="s">
        <v>2378</v>
      </c>
      <c r="B19" s="2620"/>
      <c r="C19" s="2620"/>
      <c r="D19" s="2620"/>
      <c r="E19" s="2620"/>
      <c r="F19" s="2621"/>
      <c r="G19" s="2641"/>
      <c r="H19" s="2597"/>
      <c r="I19" s="2598"/>
      <c r="J19" s="3440"/>
      <c r="K19" s="3443"/>
      <c r="L19" s="2652" t="s">
        <v>2358</v>
      </c>
      <c r="M19" s="2653"/>
      <c r="N19" s="2653">
        <f>SUM(N16:N18)</f>
        <v>0</v>
      </c>
      <c r="O19" s="2654"/>
      <c r="P19" s="2667" t="s">
        <v>2422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40">
        <v>3</v>
      </c>
      <c r="K20" s="3441" t="s">
        <v>2379</v>
      </c>
      <c r="L20" s="2632" t="s">
        <v>2380</v>
      </c>
      <c r="M20" s="2633" t="s">
        <v>2381</v>
      </c>
      <c r="N20" s="2670" t="s">
        <v>2382</v>
      </c>
      <c r="O20" s="2634" t="s">
        <v>2383</v>
      </c>
      <c r="P20" s="2635" t="s">
        <v>2384</v>
      </c>
      <c r="Q20" s="2609" t="s">
        <v>2385</v>
      </c>
      <c r="R20" s="2656" t="s">
        <v>2386</v>
      </c>
      <c r="S20" s="2590"/>
      <c r="T20" s="2590"/>
      <c r="U20" s="2590"/>
      <c r="V20" s="2598"/>
    </row>
    <row r="21" spans="1:22" s="2602" customFormat="1" ht="13.15" customHeight="1">
      <c r="A21" s="2625"/>
      <c r="B21" s="2626"/>
      <c r="C21" s="2671" t="s">
        <v>2387</v>
      </c>
      <c r="D21" s="2672" t="s">
        <v>2388</v>
      </c>
      <c r="E21" s="2673" t="s">
        <v>2389</v>
      </c>
      <c r="F21" s="2669"/>
      <c r="G21" s="2641"/>
      <c r="H21" s="2597"/>
      <c r="I21" s="2598"/>
      <c r="J21" s="3440"/>
      <c r="K21" s="3442"/>
      <c r="L21" s="2632" t="s">
        <v>2390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2391</v>
      </c>
      <c r="D22" s="2676" t="s">
        <v>2392</v>
      </c>
      <c r="E22" s="2677" t="s">
        <v>2393</v>
      </c>
      <c r="F22" s="2669"/>
      <c r="G22" s="2590"/>
      <c r="H22" s="2597"/>
      <c r="I22" s="2598"/>
      <c r="J22" s="3440"/>
      <c r="K22" s="3442"/>
      <c r="L22" s="2632" t="s">
        <v>2394</v>
      </c>
      <c r="M22" s="2633"/>
      <c r="N22" s="2633"/>
      <c r="O22" s="2634"/>
      <c r="P22" s="2635">
        <v>365</v>
      </c>
      <c r="Q22" s="2609"/>
      <c r="R22" s="2674">
        <f>ROUND(M22*N22*O22*P22/10000,0)</f>
        <v>0</v>
      </c>
      <c r="S22" s="2590"/>
      <c r="T22" s="2590"/>
      <c r="U22" s="2590"/>
      <c r="V22" s="2598"/>
    </row>
    <row r="23" spans="1:22" s="2602" customFormat="1" ht="13.15" customHeight="1">
      <c r="A23" s="2678">
        <v>1</v>
      </c>
      <c r="B23" s="2679" t="s">
        <v>2395</v>
      </c>
      <c r="C23" s="2680">
        <f>D6</f>
        <v>0</v>
      </c>
      <c r="D23" s="2681">
        <f>C23*(1+D24)</f>
        <v>0</v>
      </c>
      <c r="E23" s="2682">
        <f>D23*(1+E24)</f>
        <v>0</v>
      </c>
      <c r="F23" s="2683"/>
      <c r="G23" s="2684"/>
      <c r="H23" s="2597"/>
      <c r="I23" s="2598"/>
      <c r="J23" s="3440"/>
      <c r="K23" s="3442"/>
      <c r="L23" s="2632" t="s">
        <v>2396</v>
      </c>
      <c r="M23" s="2633"/>
      <c r="N23" s="2633"/>
      <c r="O23" s="2634"/>
      <c r="P23" s="2635">
        <v>365</v>
      </c>
      <c r="Q23" s="2609"/>
      <c r="R23" s="2674">
        <f>ROUND(M23*N23*O23*P23/10000,0)</f>
        <v>0</v>
      </c>
      <c r="S23" s="2590"/>
      <c r="T23" s="2590"/>
      <c r="U23" s="2590"/>
      <c r="V23" s="2598"/>
    </row>
    <row r="24" spans="1:22" s="2602" customFormat="1" ht="13.15" customHeight="1">
      <c r="A24" s="2685"/>
      <c r="B24" s="2686" t="s">
        <v>2397</v>
      </c>
      <c r="C24" s="2687"/>
      <c r="D24" s="2688"/>
      <c r="E24" s="2689"/>
      <c r="F24" s="2690"/>
      <c r="G24" s="2684"/>
      <c r="H24" s="2597"/>
      <c r="I24" s="2598"/>
      <c r="J24" s="3440"/>
      <c r="K24" s="3443"/>
      <c r="L24" s="2652" t="s">
        <v>2358</v>
      </c>
      <c r="M24" s="2653">
        <f>SUM(M21:M23)</f>
        <v>0</v>
      </c>
      <c r="N24" s="2653"/>
      <c r="O24" s="2654"/>
      <c r="P24" s="2667" t="s">
        <v>2422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2398</v>
      </c>
      <c r="L25" s="2693"/>
      <c r="M25" s="2693"/>
      <c r="N25" s="2693"/>
      <c r="O25" s="2693"/>
      <c r="P25" s="2694"/>
      <c r="Q25" s="2695">
        <v>0</v>
      </c>
      <c r="R25" s="2668">
        <f>ROUND(R14*Q25,0)</f>
        <v>0</v>
      </c>
      <c r="S25" s="2590"/>
      <c r="T25" s="2590"/>
      <c r="U25" s="2590"/>
      <c r="V25" s="2696"/>
    </row>
    <row r="26" spans="1:22" s="2697" customFormat="1" ht="13.15" customHeight="1">
      <c r="A26" s="2678">
        <v>2</v>
      </c>
      <c r="B26" s="2679" t="s">
        <v>2399</v>
      </c>
      <c r="C26" s="2680">
        <f>D7</f>
        <v>0</v>
      </c>
      <c r="D26" s="2681">
        <f>D23*D27</f>
        <v>0</v>
      </c>
      <c r="E26" s="2682">
        <f>E23*E27</f>
        <v>0</v>
      </c>
      <c r="F26" s="2683"/>
      <c r="G26" s="2684"/>
      <c r="H26" s="2597"/>
      <c r="I26" s="2598"/>
      <c r="J26" s="3450">
        <v>5</v>
      </c>
      <c r="K26" s="2698" t="s">
        <v>2400</v>
      </c>
      <c r="L26" s="2699"/>
      <c r="M26" s="2700"/>
      <c r="N26" s="2701" t="s">
        <v>2401</v>
      </c>
      <c r="O26" s="2701" t="s">
        <v>2402</v>
      </c>
      <c r="P26" s="2702" t="s">
        <v>2403</v>
      </c>
      <c r="Q26" s="2702" t="s">
        <v>2404</v>
      </c>
      <c r="R26" s="2607" t="s">
        <v>2329</v>
      </c>
      <c r="S26" s="2641"/>
      <c r="T26" s="2641"/>
      <c r="U26" s="2641"/>
      <c r="V26" s="2696"/>
    </row>
    <row r="27" spans="1:22" s="2602" customFormat="1" ht="13.15" customHeight="1">
      <c r="A27" s="2685"/>
      <c r="B27" s="2686" t="s">
        <v>2405</v>
      </c>
      <c r="C27" s="2703" t="e">
        <f>E7</f>
        <v>#DIV/0!</v>
      </c>
      <c r="D27" s="2688"/>
      <c r="E27" s="2689"/>
      <c r="F27" s="2690"/>
      <c r="G27" s="2684"/>
      <c r="H27" s="2704"/>
      <c r="I27" s="2696"/>
      <c r="J27" s="345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2406</v>
      </c>
      <c r="F28" s="2690"/>
      <c r="G28" s="2590"/>
      <c r="H28" s="2704"/>
      <c r="I28" s="2696"/>
      <c r="J28" s="2710">
        <v>6</v>
      </c>
      <c r="K28" s="2711" t="s">
        <v>2407</v>
      </c>
      <c r="L28" s="2712" t="s">
        <v>2408</v>
      </c>
      <c r="M28" s="2713"/>
      <c r="N28" s="2712" t="s">
        <v>2409</v>
      </c>
      <c r="O28" s="2714"/>
      <c r="P28" s="2712" t="s">
        <v>2410</v>
      </c>
      <c r="Q28" s="2715">
        <v>1.4999999999999999E-2</v>
      </c>
      <c r="R28" s="2716"/>
      <c r="S28" s="2590"/>
      <c r="T28" s="2590"/>
      <c r="U28" s="2590"/>
      <c r="V28" s="2696"/>
    </row>
    <row r="29" spans="1:22" s="2697" customFormat="1" ht="13.15" customHeight="1">
      <c r="A29" s="2678">
        <v>3</v>
      </c>
      <c r="B29" s="2679" t="s">
        <v>2411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2412</v>
      </c>
      <c r="K31" s="2588"/>
      <c r="L31" s="2588"/>
      <c r="M31" s="2588"/>
      <c r="N31" s="2588"/>
      <c r="O31" s="2588"/>
      <c r="P31" s="2588"/>
      <c r="Q31" s="2588"/>
      <c r="R31" s="2589"/>
      <c r="S31" s="2590"/>
      <c r="T31" s="2590"/>
      <c r="U31" s="2590"/>
      <c r="V31" s="2696"/>
    </row>
    <row r="32" spans="1:22" s="2697" customFormat="1" ht="13.15" customHeight="1">
      <c r="A32" s="2678">
        <v>4</v>
      </c>
      <c r="B32" s="2679" t="s">
        <v>2413</v>
      </c>
      <c r="C32" s="2680">
        <f>C23-C26-C29</f>
        <v>0</v>
      </c>
      <c r="D32" s="2681">
        <f>D23-D26-D29</f>
        <v>0</v>
      </c>
      <c r="E32" s="2682">
        <f>E23-E26-E29</f>
        <v>0</v>
      </c>
      <c r="F32" s="2683"/>
      <c r="G32" s="2590"/>
      <c r="H32" s="2597"/>
      <c r="I32" s="2598"/>
      <c r="J32" s="3433" t="s">
        <v>2305</v>
      </c>
      <c r="K32" s="3434"/>
      <c r="L32" s="2599" t="s">
        <v>2306</v>
      </c>
      <c r="M32" s="2599" t="s">
        <v>2307</v>
      </c>
      <c r="N32" s="2599" t="s">
        <v>2308</v>
      </c>
      <c r="O32" s="2599" t="s">
        <v>2309</v>
      </c>
      <c r="P32" s="2599" t="s">
        <v>2310</v>
      </c>
      <c r="Q32" s="2600" t="s">
        <v>2311</v>
      </c>
      <c r="R32" s="2719" t="s">
        <v>2312</v>
      </c>
      <c r="S32" s="2590"/>
      <c r="T32" s="2590"/>
      <c r="U32" s="2590"/>
      <c r="V32" s="2696"/>
    </row>
    <row r="33" spans="1:23" s="2602" customFormat="1" ht="13.15" customHeight="1">
      <c r="A33" s="2678"/>
      <c r="B33" s="2679"/>
      <c r="C33" s="2680"/>
      <c r="D33" s="2720"/>
      <c r="E33" s="2721"/>
      <c r="F33" s="2683"/>
      <c r="G33" s="2590"/>
      <c r="H33" s="2704"/>
      <c r="I33" s="2696"/>
      <c r="J33" s="3435" t="s">
        <v>2315</v>
      </c>
      <c r="K33" s="3436"/>
      <c r="L33" s="2605"/>
      <c r="M33" s="2605"/>
      <c r="N33" s="2605"/>
      <c r="O33" s="2605"/>
      <c r="P33" s="2605"/>
      <c r="Q33" s="2606"/>
      <c r="R33" s="2722">
        <f>SUM(L33:Q33)</f>
        <v>0</v>
      </c>
      <c r="S33" s="2590"/>
      <c r="T33" s="2590"/>
      <c r="U33" s="2590"/>
      <c r="V33" s="2598"/>
    </row>
    <row r="34" spans="1:23" s="2602" customFormat="1" ht="13.15" customHeight="1">
      <c r="A34" s="2678">
        <v>5</v>
      </c>
      <c r="B34" s="2679" t="s">
        <v>2414</v>
      </c>
      <c r="C34" s="2723"/>
      <c r="D34" s="2724"/>
      <c r="E34" s="2725"/>
      <c r="F34" s="2683"/>
      <c r="G34" s="2590"/>
      <c r="H34" s="2704"/>
      <c r="I34" s="2696"/>
      <c r="J34" s="3435" t="s">
        <v>2317</v>
      </c>
      <c r="K34" s="343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2415</v>
      </c>
      <c r="C35" s="2727"/>
      <c r="D35" s="2728"/>
      <c r="E35" s="2729"/>
      <c r="F35" s="2683"/>
      <c r="G35" s="2730"/>
      <c r="H35" s="2597"/>
      <c r="I35" s="2696"/>
      <c r="J35" s="2616" t="s">
        <v>2319</v>
      </c>
      <c r="K35" s="2617"/>
      <c r="L35" s="2617"/>
      <c r="M35" s="2618"/>
      <c r="N35" s="2618"/>
      <c r="O35" s="2618"/>
      <c r="P35" s="2618"/>
      <c r="Q35" s="2618"/>
      <c r="R35" s="2731">
        <f>R40+R41+R43</f>
        <v>0</v>
      </c>
      <c r="S35" s="2590"/>
      <c r="T35" s="2590" t="s">
        <v>2320</v>
      </c>
      <c r="U35" s="2590"/>
      <c r="V35" s="2598"/>
    </row>
    <row r="36" spans="1:23" s="2602" customFormat="1" ht="13.15" customHeight="1" thickBot="1">
      <c r="A36" s="2678">
        <v>7</v>
      </c>
      <c r="B36" s="2732" t="s">
        <v>2416</v>
      </c>
      <c r="C36" s="2733"/>
      <c r="D36" s="2734"/>
      <c r="E36" s="2735"/>
      <c r="F36" s="2736">
        <f>C36+D36+E36</f>
        <v>0</v>
      </c>
      <c r="G36" s="2590"/>
      <c r="H36" s="2597"/>
      <c r="I36" s="2598"/>
      <c r="J36" s="3440">
        <v>1</v>
      </c>
      <c r="K36" s="3441" t="s">
        <v>2417</v>
      </c>
      <c r="L36" s="2623"/>
      <c r="M36" s="2624"/>
      <c r="N36" s="2624"/>
      <c r="O36" s="2624"/>
      <c r="P36" s="2624"/>
      <c r="Q36" s="2624"/>
      <c r="R36" s="2607" t="s">
        <v>2329</v>
      </c>
      <c r="S36" s="2590"/>
      <c r="T36" s="2590" t="s">
        <v>2330</v>
      </c>
      <c r="U36" s="2590"/>
      <c r="V36" s="2598"/>
    </row>
    <row r="37" spans="1:23" s="2602" customFormat="1" ht="13.15" customHeight="1">
      <c r="A37" s="2678"/>
      <c r="B37" s="2679"/>
      <c r="C37" s="2679"/>
      <c r="D37" s="2679"/>
      <c r="E37" s="2679"/>
      <c r="F37" s="2683"/>
      <c r="G37" s="2590"/>
      <c r="H37" s="2597"/>
      <c r="I37" s="2598"/>
      <c r="J37" s="3440"/>
      <c r="K37" s="3442"/>
      <c r="L37" s="2632"/>
      <c r="M37" s="2633"/>
      <c r="N37" s="2609"/>
      <c r="O37" s="2634"/>
      <c r="P37" s="2634"/>
      <c r="Q37" s="2635"/>
      <c r="R37" s="2636"/>
      <c r="S37" s="2590"/>
      <c r="T37" s="2590" t="s">
        <v>2333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40"/>
      <c r="K38" s="3442"/>
      <c r="L38" s="2632"/>
      <c r="M38" s="2633"/>
      <c r="N38" s="2609"/>
      <c r="O38" s="2634"/>
      <c r="P38" s="2634"/>
      <c r="Q38" s="2635"/>
      <c r="R38" s="2636"/>
      <c r="S38" s="2590"/>
      <c r="T38" s="2590" t="s">
        <v>2340</v>
      </c>
      <c r="U38" s="2590"/>
      <c r="V38" s="2598"/>
    </row>
    <row r="39" spans="1:23" s="2602" customFormat="1" ht="13.15" customHeight="1">
      <c r="A39" s="2678">
        <v>9</v>
      </c>
      <c r="B39" s="2679" t="s">
        <v>2418</v>
      </c>
      <c r="C39" s="2646" t="e">
        <f>C38</f>
        <v>#DIV/0!</v>
      </c>
      <c r="D39" s="2679">
        <f>D38/(1+D34)^C36</f>
        <v>0</v>
      </c>
      <c r="E39" s="2679">
        <f>E38/(1+E34)^(C36+D36)</f>
        <v>0</v>
      </c>
      <c r="F39" s="2683"/>
      <c r="G39" s="2598"/>
      <c r="H39" s="2597"/>
      <c r="I39" s="2598"/>
      <c r="J39" s="3440"/>
      <c r="K39" s="3442"/>
      <c r="L39" s="2632"/>
      <c r="M39" s="2633"/>
      <c r="N39" s="2609"/>
      <c r="O39" s="2634"/>
      <c r="P39" s="2634"/>
      <c r="Q39" s="2635"/>
      <c r="R39" s="2636"/>
      <c r="S39" s="2590"/>
      <c r="T39" s="2590"/>
      <c r="U39" s="2590"/>
      <c r="V39" s="2598"/>
    </row>
    <row r="40" spans="1:23" s="2602" customFormat="1" ht="13.15" customHeight="1">
      <c r="A40" s="2737">
        <v>10</v>
      </c>
      <c r="B40" s="2679" t="s">
        <v>2419</v>
      </c>
      <c r="C40" s="2738" t="e">
        <f>C39+D39+E39</f>
        <v>#DIV/0!</v>
      </c>
      <c r="D40" s="2739"/>
      <c r="E40" s="2739"/>
      <c r="F40" s="2740"/>
      <c r="G40" s="2590"/>
      <c r="H40" s="2597"/>
      <c r="I40" s="2598"/>
      <c r="J40" s="3440"/>
      <c r="K40" s="3443"/>
      <c r="L40" s="2652" t="s">
        <v>2358</v>
      </c>
      <c r="M40" s="2653"/>
      <c r="N40" s="2653"/>
      <c r="O40" s="2654"/>
      <c r="P40" s="2654"/>
      <c r="Q40" s="2655"/>
      <c r="R40" s="2601">
        <f>SUM(R37:R39)</f>
        <v>0</v>
      </c>
      <c r="S40" s="2590"/>
      <c r="T40" s="2590"/>
      <c r="U40" s="2590"/>
      <c r="V40" s="2598"/>
    </row>
    <row r="41" spans="1:23" s="2602" customFormat="1" ht="13.15" customHeight="1" thickBot="1">
      <c r="A41" s="2741">
        <v>11</v>
      </c>
      <c r="B41" s="2742" t="s">
        <v>2420</v>
      </c>
      <c r="C41" s="2742" t="e">
        <f>ROUND(C40*10000/B4,0)</f>
        <v>#DIV/0!</v>
      </c>
      <c r="D41" s="2743"/>
      <c r="E41" s="2743"/>
      <c r="F41" s="2744"/>
      <c r="G41" s="2597"/>
      <c r="H41" s="2597"/>
      <c r="I41" s="2598"/>
      <c r="J41" s="2691">
        <v>2</v>
      </c>
      <c r="K41" s="2692" t="s">
        <v>2398</v>
      </c>
      <c r="L41" s="2693"/>
      <c r="M41" s="2693"/>
      <c r="N41" s="2693"/>
      <c r="O41" s="2693"/>
      <c r="P41" s="2694"/>
      <c r="Q41" s="2695"/>
      <c r="R41" s="2668">
        <f>ROUND(R40*Q41,0)</f>
        <v>0</v>
      </c>
      <c r="S41" s="2590"/>
      <c r="T41" s="2590"/>
      <c r="U41" s="2641"/>
      <c r="V41" s="2598"/>
    </row>
    <row r="42" spans="1:23" s="2602" customFormat="1" ht="13.15" customHeight="1">
      <c r="G42" s="2597"/>
      <c r="H42" s="2597"/>
      <c r="I42" s="2598"/>
      <c r="J42" s="3450">
        <v>3</v>
      </c>
      <c r="K42" s="2698" t="s">
        <v>2400</v>
      </c>
      <c r="L42" s="2699"/>
      <c r="M42" s="2700"/>
      <c r="N42" s="2701" t="s">
        <v>2401</v>
      </c>
      <c r="O42" s="2701" t="s">
        <v>2402</v>
      </c>
      <c r="P42" s="2702" t="s">
        <v>2403</v>
      </c>
      <c r="Q42" s="2702" t="s">
        <v>2404</v>
      </c>
      <c r="R42" s="2607" t="s">
        <v>2329</v>
      </c>
      <c r="S42" s="2641"/>
      <c r="T42" s="2641"/>
      <c r="U42" s="2590"/>
      <c r="V42" s="2598"/>
    </row>
    <row r="43" spans="1:23" ht="13.15" customHeight="1">
      <c r="A43" s="2602"/>
      <c r="B43" s="2602"/>
      <c r="C43" s="2602"/>
      <c r="D43" s="2602"/>
      <c r="E43" s="2602"/>
      <c r="F43" s="2602"/>
      <c r="I43" s="2585"/>
      <c r="J43" s="345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2407</v>
      </c>
      <c r="L44" s="2747" t="s">
        <v>2408</v>
      </c>
      <c r="M44" s="2713"/>
      <c r="N44" s="2747" t="s">
        <v>2409</v>
      </c>
      <c r="O44" s="2713"/>
      <c r="P44" s="2747" t="s">
        <v>2410</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7"/>
      <c r="G1" s="457"/>
      <c r="H1" s="457"/>
      <c r="I1" s="457"/>
      <c r="J1" s="457"/>
      <c r="K1" s="457"/>
      <c r="L1" s="457"/>
      <c r="M1" s="457"/>
      <c r="N1" s="457"/>
      <c r="O1" s="457"/>
      <c r="P1" s="457"/>
      <c r="Q1" s="457"/>
      <c r="R1" s="457"/>
      <c r="S1" s="457"/>
    </row>
    <row r="2" spans="1:22" ht="15.75">
      <c r="A2" s="1725" t="s">
        <v>1462</v>
      </c>
      <c r="B2" s="809">
        <f ca="1">SUMIF(B6:B13,"&lt;&gt;#ref!",B6:B13)</f>
        <v>1038</v>
      </c>
      <c r="C2" s="1726" t="s">
        <v>1651</v>
      </c>
      <c r="D2" s="1727" t="s">
        <v>1652</v>
      </c>
      <c r="E2" s="2390">
        <f>SUM(E6:E13)</f>
        <v>1232.79</v>
      </c>
      <c r="F2" s="2477"/>
      <c r="G2" s="457"/>
      <c r="H2" s="457"/>
      <c r="I2" s="457"/>
      <c r="J2" s="457"/>
      <c r="K2" s="457"/>
      <c r="L2" s="457"/>
      <c r="M2" s="457"/>
      <c r="N2" s="457"/>
      <c r="O2" s="457"/>
      <c r="P2" s="457"/>
      <c r="Q2" s="457"/>
      <c r="R2" s="457"/>
      <c r="S2" s="457"/>
    </row>
    <row r="3" spans="1:22" ht="15.75">
      <c r="A3" s="1725" t="s">
        <v>686</v>
      </c>
      <c r="B3" s="2384">
        <f ca="1">ROUND(B2*10000/E2,0)</f>
        <v>8420</v>
      </c>
      <c r="C3" s="1726" t="s">
        <v>1659</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1653</v>
      </c>
      <c r="B5" s="3452" t="s">
        <v>1654</v>
      </c>
      <c r="C5" s="3453"/>
      <c r="D5" s="2478"/>
      <c r="E5" s="1728" t="s">
        <v>1655</v>
      </c>
      <c r="F5" s="127" t="s">
        <v>1656</v>
      </c>
      <c r="G5" s="457"/>
      <c r="H5" s="457"/>
      <c r="I5" s="457"/>
      <c r="J5" s="457"/>
      <c r="K5" s="457"/>
      <c r="L5" s="457"/>
      <c r="M5" s="457"/>
      <c r="N5" s="457"/>
      <c r="O5" s="457"/>
      <c r="P5" s="457"/>
      <c r="Q5" s="457"/>
      <c r="R5" s="457"/>
      <c r="S5" s="457"/>
    </row>
    <row r="6" spans="1:22">
      <c r="A6" s="2387" t="str">
        <f>'数据-取费表'!AN6</f>
        <v>收益法</v>
      </c>
      <c r="B6" s="2385">
        <f ca="1">IF(F6="是",'数据-取费表'!AO6,0)</f>
        <v>1038</v>
      </c>
      <c r="C6" s="1726" t="s">
        <v>1651</v>
      </c>
      <c r="D6" s="2477"/>
      <c r="E6" s="2389">
        <f>IF(OR(A6=0,F6="否"),0,'数据-取费表'!K6+'数据-取费表'!S6)</f>
        <v>1232.79</v>
      </c>
      <c r="F6" s="1729" t="s">
        <v>1657</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1651</v>
      </c>
      <c r="D7" s="2477"/>
      <c r="E7" s="2389">
        <f>IF(OR(A7=0,F7="否"),0,'数据-取费表'!K7+'数据-取费表'!S7)</f>
        <v>0</v>
      </c>
      <c r="F7" s="1729" t="s">
        <v>1657</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1651</v>
      </c>
      <c r="D8" s="2477"/>
      <c r="E8" s="2389">
        <f>IF(OR(A8=0,F8="否"),0,'数据-取费表'!K8+'数据-取费表'!S8)</f>
        <v>0</v>
      </c>
      <c r="F8" s="1729" t="s">
        <v>1657</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1651</v>
      </c>
      <c r="D9" s="2477"/>
      <c r="E9" s="2389">
        <f>IF(OR(A9=0,F9="否"),0,'数据-取费表'!K9+'数据-取费表'!S9)</f>
        <v>0</v>
      </c>
      <c r="F9" s="1729" t="s">
        <v>1657</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1651</v>
      </c>
      <c r="D10" s="2477"/>
      <c r="E10" s="2389">
        <f>IF(OR(A10=0,F10="否"),0,'数据-取费表'!K10+'数据-取费表'!S10)</f>
        <v>0</v>
      </c>
      <c r="F10" s="1729" t="s">
        <v>1657</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1651</v>
      </c>
      <c r="D11" s="2477"/>
      <c r="E11" s="2389">
        <f>IF(OR(A11=0,F11="否"),0,'数据-取费表'!K11+'数据-取费表'!S11)</f>
        <v>0</v>
      </c>
      <c r="F11" s="1729" t="s">
        <v>1657</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1651</v>
      </c>
      <c r="D12" s="2477"/>
      <c r="E12" s="2389">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0</v>
      </c>
      <c r="C3" s="342" t="s">
        <v>1665</v>
      </c>
      <c r="D3" s="341">
        <f>IF(D1="",'数据-汇总表'!E3,SUMIF('数据-汇总表'!$C19:$C33,D1,'数据-汇总表'!$E19:$E33))</f>
        <v>1232.79</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3" t="s">
        <v>1666</v>
      </c>
      <c r="B4" s="344"/>
      <c r="C4" s="3472" t="s">
        <v>1667</v>
      </c>
      <c r="D4" s="3473"/>
      <c r="E4" s="3474" t="s">
        <v>1668</v>
      </c>
      <c r="F4" s="3475"/>
      <c r="G4" s="3472" t="s">
        <v>1669</v>
      </c>
      <c r="H4" s="3473"/>
      <c r="I4" s="3472" t="s">
        <v>1670</v>
      </c>
      <c r="J4" s="3473"/>
      <c r="K4" s="1741" t="s">
        <v>1671</v>
      </c>
      <c r="L4" s="2484"/>
      <c r="M4" s="2485"/>
      <c r="N4" s="2485"/>
      <c r="O4" s="2485"/>
      <c r="P4" s="3476" t="s">
        <v>1672</v>
      </c>
      <c r="Q4" s="3477"/>
      <c r="R4" s="3459" t="s">
        <v>1668</v>
      </c>
      <c r="S4" s="3460"/>
      <c r="T4" s="3459" t="s">
        <v>1669</v>
      </c>
      <c r="U4" s="3460"/>
      <c r="V4" s="3484" t="s">
        <v>1670</v>
      </c>
      <c r="W4" s="3484"/>
      <c r="X4" s="1262"/>
      <c r="Y4" s="3459" t="s">
        <v>1672</v>
      </c>
      <c r="Z4" s="3460"/>
      <c r="AA4" s="3454" t="s">
        <v>1668</v>
      </c>
      <c r="AB4" s="3454" t="s">
        <v>1669</v>
      </c>
      <c r="AC4" s="3454" t="s">
        <v>1670</v>
      </c>
    </row>
    <row r="5" spans="1:29" ht="15">
      <c r="A5" s="346"/>
      <c r="B5" s="347"/>
      <c r="C5" s="3465" t="s">
        <v>1673</v>
      </c>
      <c r="D5" s="3466"/>
      <c r="E5" s="3463" t="s">
        <v>1674</v>
      </c>
      <c r="F5" s="3464"/>
      <c r="G5" s="3465" t="s">
        <v>1675</v>
      </c>
      <c r="H5" s="3466"/>
      <c r="I5" s="3465" t="s">
        <v>1676</v>
      </c>
      <c r="J5" s="3466"/>
      <c r="K5" s="1742"/>
      <c r="L5" s="2484"/>
      <c r="M5" s="2485"/>
      <c r="N5" s="2485"/>
      <c r="O5" s="2485"/>
      <c r="P5" s="3478"/>
      <c r="Q5" s="3479"/>
      <c r="R5" s="3461"/>
      <c r="S5" s="3462"/>
      <c r="T5" s="3461"/>
      <c r="U5" s="3462"/>
      <c r="V5" s="3484"/>
      <c r="W5" s="3484"/>
      <c r="X5" s="1262"/>
      <c r="Y5" s="3461"/>
      <c r="Z5" s="3462"/>
      <c r="AA5" s="3455"/>
      <c r="AB5" s="3455"/>
      <c r="AC5" s="3455"/>
    </row>
    <row r="6" spans="1:29" ht="15.75" thickBot="1">
      <c r="A6" s="348"/>
      <c r="B6" s="349"/>
      <c r="C6" s="3467" t="s">
        <v>1677</v>
      </c>
      <c r="D6" s="3468"/>
      <c r="E6" s="3469" t="s">
        <v>1677</v>
      </c>
      <c r="F6" s="3470"/>
      <c r="G6" s="3467" t="s">
        <v>1677</v>
      </c>
      <c r="H6" s="3468"/>
      <c r="I6" s="3467" t="s">
        <v>1677</v>
      </c>
      <c r="J6" s="3468"/>
      <c r="K6" s="1742" t="s">
        <v>1678</v>
      </c>
      <c r="L6" s="2484"/>
      <c r="M6" s="2485"/>
      <c r="N6" s="2485"/>
      <c r="O6" s="2485"/>
      <c r="P6" s="3480"/>
      <c r="Q6" s="3481"/>
      <c r="R6" s="3461"/>
      <c r="S6" s="3462"/>
      <c r="T6" s="3482"/>
      <c r="U6" s="3483"/>
      <c r="V6" s="3484"/>
      <c r="W6" s="3484"/>
      <c r="X6" s="1262"/>
      <c r="Y6" s="3482"/>
      <c r="Z6" s="3483"/>
      <c r="AA6" s="3456"/>
      <c r="AB6" s="3456"/>
      <c r="AC6" s="3456"/>
    </row>
    <row r="7" spans="1:29" s="102" customFormat="1" ht="15.75" thickBot="1">
      <c r="A7" s="350" t="s">
        <v>1679</v>
      </c>
      <c r="B7" s="351"/>
      <c r="C7" s="352">
        <f>'数据-取费表'!B2</f>
        <v>45986</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57" t="s">
        <v>1680</v>
      </c>
      <c r="Q7" s="3485"/>
      <c r="R7" s="662" t="s">
        <v>20</v>
      </c>
      <c r="S7" s="663">
        <f t="shared" ref="S7:S15" si="0">F7</f>
        <v>0</v>
      </c>
      <c r="T7" s="662" t="s">
        <v>20</v>
      </c>
      <c r="U7" s="663">
        <f t="shared" ref="U7:U15" si="1">H7</f>
        <v>0</v>
      </c>
      <c r="V7" s="662" t="s">
        <v>20</v>
      </c>
      <c r="W7" s="663">
        <f t="shared" ref="W7:W15" si="2">J7</f>
        <v>0</v>
      </c>
      <c r="X7" s="664"/>
      <c r="Y7" s="3457" t="s">
        <v>1680</v>
      </c>
      <c r="Z7" s="3458"/>
      <c r="AA7" s="50" t="e">
        <f>D7/F7</f>
        <v>#DIV/0!</v>
      </c>
      <c r="AB7" s="50" t="e">
        <f>D7/H7</f>
        <v>#DIV/0!</v>
      </c>
      <c r="AC7" s="50" t="e">
        <f>D7/J7</f>
        <v>#DIV/0!</v>
      </c>
    </row>
    <row r="8" spans="1:29" s="102" customFormat="1" ht="15.7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57" t="s">
        <v>1683</v>
      </c>
      <c r="Q8" s="3458"/>
      <c r="R8" s="662" t="s">
        <v>20</v>
      </c>
      <c r="S8" s="663">
        <f t="shared" si="0"/>
        <v>100</v>
      </c>
      <c r="T8" s="662" t="s">
        <v>20</v>
      </c>
      <c r="U8" s="663">
        <f t="shared" si="1"/>
        <v>100</v>
      </c>
      <c r="V8" s="662" t="s">
        <v>20</v>
      </c>
      <c r="W8" s="663">
        <f t="shared" si="2"/>
        <v>100</v>
      </c>
      <c r="X8" s="664"/>
      <c r="Y8" s="3457" t="s">
        <v>1683</v>
      </c>
      <c r="Z8" s="3458"/>
      <c r="AA8" s="50">
        <f t="shared" ref="AA8:AA19" si="3">D8/F8</f>
        <v>1</v>
      </c>
      <c r="AB8" s="50">
        <f t="shared" ref="AB8:AB19" si="4">D8/H8</f>
        <v>1</v>
      </c>
      <c r="AC8" s="50">
        <f t="shared" ref="AC8:AC19" si="5">D8/J8</f>
        <v>1</v>
      </c>
    </row>
    <row r="9" spans="1:29" s="102"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471" t="s">
        <v>1686</v>
      </c>
      <c r="Q9" s="528" t="str">
        <f t="shared" ref="Q9:Q15" si="6">B9</f>
        <v>用途</v>
      </c>
      <c r="R9" s="662" t="s">
        <v>14</v>
      </c>
      <c r="S9" s="663">
        <f t="shared" si="0"/>
        <v>100</v>
      </c>
      <c r="T9" s="662" t="s">
        <v>14</v>
      </c>
      <c r="U9" s="663">
        <f t="shared" si="1"/>
        <v>100</v>
      </c>
      <c r="V9" s="662" t="s">
        <v>14</v>
      </c>
      <c r="W9" s="663">
        <f t="shared" si="2"/>
        <v>100</v>
      </c>
      <c r="X9" s="664"/>
      <c r="Y9" s="3401" t="s">
        <v>1687</v>
      </c>
      <c r="Z9" s="50" t="str">
        <f t="shared" ref="Z9:Z15" si="7">Q9</f>
        <v>用途</v>
      </c>
      <c r="AA9" s="50">
        <f t="shared" si="3"/>
        <v>1</v>
      </c>
      <c r="AB9" s="50">
        <f t="shared" si="4"/>
        <v>1</v>
      </c>
      <c r="AC9" s="50">
        <f t="shared" si="5"/>
        <v>1</v>
      </c>
    </row>
    <row r="10" spans="1:29" s="364" customFormat="1" ht="27">
      <c r="A10" s="361"/>
      <c r="B10" s="362" t="s">
        <v>1688</v>
      </c>
      <c r="C10" s="3130"/>
      <c r="D10" s="117">
        <v>100</v>
      </c>
      <c r="E10" s="3131"/>
      <c r="F10" s="362">
        <f>SUMIF(65:65,E10,66:66)-SUMIF(65:65,C10,66:66)+100</f>
        <v>100</v>
      </c>
      <c r="G10" s="3130"/>
      <c r="H10" s="117">
        <f>SUMIF(65:65,G10,66:66)-SUMIF(65:65,C10,66:66)+100</f>
        <v>100</v>
      </c>
      <c r="I10" s="3130"/>
      <c r="J10" s="117">
        <f>SUMIF(65:65,I10,66:66)-SUMIF(65:65,C10,66:66)+100</f>
        <v>100</v>
      </c>
      <c r="K10" s="1743"/>
      <c r="L10" s="2487"/>
      <c r="M10" s="2488"/>
      <c r="N10" s="2488"/>
      <c r="O10" s="2488"/>
      <c r="P10" s="3471"/>
      <c r="Q10" s="528"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471"/>
      <c r="Q11" s="528" t="str">
        <f t="shared" si="6"/>
        <v>容积率</v>
      </c>
      <c r="R11" s="662" t="s">
        <v>18</v>
      </c>
      <c r="S11" s="663" t="e">
        <f t="shared" si="0"/>
        <v>#N/A</v>
      </c>
      <c r="T11" s="662" t="s">
        <v>18</v>
      </c>
      <c r="U11" s="663" t="e">
        <f t="shared" si="1"/>
        <v>#N/A</v>
      </c>
      <c r="V11" s="662" t="s">
        <v>18</v>
      </c>
      <c r="W11" s="663" t="e">
        <f t="shared" si="2"/>
        <v>#N/A</v>
      </c>
      <c r="X11" s="664"/>
      <c r="Y11" s="3401"/>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471"/>
      <c r="Q12" s="528">
        <f t="shared" si="6"/>
        <v>111</v>
      </c>
      <c r="R12" s="662" t="s">
        <v>18</v>
      </c>
      <c r="S12" s="663">
        <f t="shared" si="0"/>
        <v>100</v>
      </c>
      <c r="T12" s="662" t="s">
        <v>18</v>
      </c>
      <c r="U12" s="663">
        <f t="shared" si="1"/>
        <v>100</v>
      </c>
      <c r="V12" s="662" t="s">
        <v>18</v>
      </c>
      <c r="W12" s="663">
        <f t="shared" si="2"/>
        <v>100</v>
      </c>
      <c r="X12" s="664"/>
      <c r="Y12" s="3401"/>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471"/>
      <c r="Q13" s="528">
        <f t="shared" si="6"/>
        <v>111</v>
      </c>
      <c r="R13" s="662" t="s">
        <v>18</v>
      </c>
      <c r="S13" s="663">
        <f t="shared" si="0"/>
        <v>100</v>
      </c>
      <c r="T13" s="662" t="s">
        <v>18</v>
      </c>
      <c r="U13" s="663">
        <f t="shared" si="1"/>
        <v>100</v>
      </c>
      <c r="V13" s="662" t="s">
        <v>18</v>
      </c>
      <c r="W13" s="663">
        <f t="shared" si="2"/>
        <v>100</v>
      </c>
      <c r="X13" s="664"/>
      <c r="Y13" s="3401"/>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471"/>
      <c r="Q14" s="528">
        <f t="shared" si="6"/>
        <v>111</v>
      </c>
      <c r="R14" s="662" t="s">
        <v>18</v>
      </c>
      <c r="S14" s="663">
        <f t="shared" si="0"/>
        <v>100</v>
      </c>
      <c r="T14" s="662" t="s">
        <v>18</v>
      </c>
      <c r="U14" s="663">
        <f t="shared" si="1"/>
        <v>100</v>
      </c>
      <c r="V14" s="662" t="s">
        <v>18</v>
      </c>
      <c r="W14" s="663">
        <f t="shared" si="2"/>
        <v>100</v>
      </c>
      <c r="X14" s="664"/>
      <c r="Y14" s="3401"/>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97" t="s">
        <v>1691</v>
      </c>
      <c r="Q15" s="1260" t="str">
        <f t="shared" si="6"/>
        <v>居住社区成熟度</v>
      </c>
      <c r="R15" s="665" t="s">
        <v>18</v>
      </c>
      <c r="S15" s="666">
        <f t="shared" si="0"/>
        <v>100</v>
      </c>
      <c r="T15" s="665" t="s">
        <v>18</v>
      </c>
      <c r="U15" s="666">
        <f t="shared" si="1"/>
        <v>100</v>
      </c>
      <c r="V15" s="665" t="s">
        <v>18</v>
      </c>
      <c r="W15" s="666">
        <f t="shared" si="2"/>
        <v>100</v>
      </c>
      <c r="X15" s="1262"/>
      <c r="Y15" s="3490"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98"/>
      <c r="Q16" s="1260"/>
      <c r="R16" s="665"/>
      <c r="S16" s="666"/>
      <c r="T16" s="665"/>
      <c r="U16" s="666"/>
      <c r="V16" s="665"/>
      <c r="W16" s="666"/>
      <c r="X16" s="1262"/>
      <c r="Y16" s="3491"/>
      <c r="Z16" s="1261"/>
      <c r="AA16" s="1261">
        <v>1</v>
      </c>
      <c r="AB16" s="1261">
        <v>1</v>
      </c>
      <c r="AC16" s="1261">
        <v>1</v>
      </c>
    </row>
    <row r="17" spans="1:29" ht="15">
      <c r="A17" s="365"/>
      <c r="B17" s="388" t="s">
        <v>1259</v>
      </c>
      <c r="C17" s="1751">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98"/>
      <c r="Q17" s="1260" t="str">
        <f>B17</f>
        <v>交通便捷度</v>
      </c>
      <c r="R17" s="665" t="s">
        <v>18</v>
      </c>
      <c r="S17" s="666">
        <f>F17</f>
        <v>100</v>
      </c>
      <c r="T17" s="665" t="s">
        <v>18</v>
      </c>
      <c r="U17" s="666">
        <f>H17</f>
        <v>100</v>
      </c>
      <c r="V17" s="665" t="s">
        <v>18</v>
      </c>
      <c r="W17" s="666">
        <f>J17</f>
        <v>100</v>
      </c>
      <c r="X17" s="1262"/>
      <c r="Y17" s="3491"/>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98"/>
      <c r="Q18" s="1260"/>
      <c r="R18" s="665"/>
      <c r="S18" s="666"/>
      <c r="T18" s="665"/>
      <c r="U18" s="666"/>
      <c r="V18" s="665"/>
      <c r="W18" s="666"/>
      <c r="X18" s="1262"/>
      <c r="Y18" s="3491"/>
      <c r="Z18" s="1261"/>
      <c r="AA18" s="1261">
        <v>1</v>
      </c>
      <c r="AB18" s="1261">
        <v>1</v>
      </c>
      <c r="AC18" s="1261">
        <v>1</v>
      </c>
    </row>
    <row r="19" spans="1:29" ht="15">
      <c r="A19" s="365"/>
      <c r="B19" s="388" t="s">
        <v>1258</v>
      </c>
      <c r="C19" s="1751">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98"/>
      <c r="Q19" s="1260" t="str">
        <f>B19</f>
        <v>公共配套设施</v>
      </c>
      <c r="R19" s="665" t="s">
        <v>18</v>
      </c>
      <c r="S19" s="666">
        <f>F19</f>
        <v>100</v>
      </c>
      <c r="T19" s="665" t="s">
        <v>18</v>
      </c>
      <c r="U19" s="666">
        <f>H19</f>
        <v>100</v>
      </c>
      <c r="V19" s="665" t="s">
        <v>18</v>
      </c>
      <c r="W19" s="666">
        <f>J19</f>
        <v>100</v>
      </c>
      <c r="X19" s="1262"/>
      <c r="Y19" s="3491"/>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98"/>
      <c r="Q20" s="1260"/>
      <c r="R20" s="665"/>
      <c r="S20" s="666"/>
      <c r="T20" s="665"/>
      <c r="U20" s="666"/>
      <c r="V20" s="665"/>
      <c r="W20" s="666"/>
      <c r="X20" s="1262"/>
      <c r="Y20" s="3491"/>
      <c r="Z20" s="1261"/>
      <c r="AA20" s="1261">
        <v>1</v>
      </c>
      <c r="AB20" s="1261">
        <v>1</v>
      </c>
      <c r="AC20" s="1261">
        <v>1</v>
      </c>
    </row>
    <row r="21" spans="1:29" ht="15">
      <c r="A21" s="365"/>
      <c r="B21" s="584" t="s">
        <v>1260</v>
      </c>
      <c r="C21" s="1751">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98"/>
      <c r="Q21" s="1260" t="str">
        <f>B21</f>
        <v>基础设施水平</v>
      </c>
      <c r="R21" s="665" t="s">
        <v>14</v>
      </c>
      <c r="S21" s="666">
        <f>F21</f>
        <v>100</v>
      </c>
      <c r="T21" s="665" t="s">
        <v>14</v>
      </c>
      <c r="U21" s="666">
        <f>H21</f>
        <v>100</v>
      </c>
      <c r="V21" s="665" t="s">
        <v>14</v>
      </c>
      <c r="W21" s="666">
        <f>J21</f>
        <v>100</v>
      </c>
      <c r="X21" s="1262"/>
      <c r="Y21" s="349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98"/>
      <c r="Q22" s="1260"/>
      <c r="R22" s="665"/>
      <c r="S22" s="666"/>
      <c r="T22" s="665"/>
      <c r="U22" s="666"/>
      <c r="V22" s="665"/>
      <c r="W22" s="666"/>
      <c r="X22" s="1262"/>
      <c r="Y22" s="3491"/>
      <c r="Z22" s="1261"/>
      <c r="AA22" s="1261">
        <v>1</v>
      </c>
      <c r="AB22" s="1261">
        <v>1</v>
      </c>
      <c r="AC22" s="1261">
        <v>1</v>
      </c>
    </row>
    <row r="23" spans="1:29" ht="15">
      <c r="A23" s="365"/>
      <c r="B23" s="388" t="s">
        <v>1261</v>
      </c>
      <c r="C23" s="1751">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98"/>
      <c r="Q23" s="1260" t="str">
        <f>B23</f>
        <v>自然及人文环境</v>
      </c>
      <c r="R23" s="665" t="s">
        <v>18</v>
      </c>
      <c r="S23" s="666">
        <f>F23</f>
        <v>100</v>
      </c>
      <c r="T23" s="665" t="s">
        <v>18</v>
      </c>
      <c r="U23" s="666">
        <f>H23</f>
        <v>100</v>
      </c>
      <c r="V23" s="665" t="s">
        <v>18</v>
      </c>
      <c r="W23" s="666">
        <f>J23</f>
        <v>100</v>
      </c>
      <c r="X23" s="1262"/>
      <c r="Y23" s="3491"/>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98"/>
      <c r="Q24" s="1260"/>
      <c r="R24" s="665"/>
      <c r="S24" s="666"/>
      <c r="T24" s="665"/>
      <c r="U24" s="666"/>
      <c r="V24" s="665"/>
      <c r="W24" s="666"/>
      <c r="X24" s="1262"/>
      <c r="Y24" s="3491"/>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98"/>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91"/>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98"/>
      <c r="Q26" s="1260" t="str">
        <f t="shared" si="11"/>
        <v>朝向</v>
      </c>
      <c r="R26" s="665" t="s">
        <v>18</v>
      </c>
      <c r="S26" s="666">
        <f t="shared" si="12"/>
        <v>100</v>
      </c>
      <c r="T26" s="665" t="s">
        <v>18</v>
      </c>
      <c r="U26" s="666">
        <f t="shared" si="13"/>
        <v>100</v>
      </c>
      <c r="V26" s="665" t="s">
        <v>18</v>
      </c>
      <c r="W26" s="666">
        <f t="shared" si="14"/>
        <v>100</v>
      </c>
      <c r="X26" s="1262"/>
      <c r="Y26" s="3491"/>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98"/>
      <c r="Q27" s="528">
        <f t="shared" si="11"/>
        <v>111</v>
      </c>
      <c r="R27" s="662" t="s">
        <v>18</v>
      </c>
      <c r="S27" s="663">
        <f t="shared" si="12"/>
        <v>100</v>
      </c>
      <c r="T27" s="662" t="s">
        <v>18</v>
      </c>
      <c r="U27" s="663">
        <f t="shared" si="13"/>
        <v>100</v>
      </c>
      <c r="V27" s="662" t="s">
        <v>18</v>
      </c>
      <c r="W27" s="663">
        <f t="shared" si="14"/>
        <v>100</v>
      </c>
      <c r="X27" s="664"/>
      <c r="Y27" s="3491"/>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98"/>
      <c r="Q28" s="1260">
        <f t="shared" si="11"/>
        <v>111</v>
      </c>
      <c r="R28" s="665" t="s">
        <v>18</v>
      </c>
      <c r="S28" s="666">
        <f t="shared" si="12"/>
        <v>100</v>
      </c>
      <c r="T28" s="665" t="s">
        <v>18</v>
      </c>
      <c r="U28" s="666">
        <f t="shared" si="13"/>
        <v>100</v>
      </c>
      <c r="V28" s="665" t="s">
        <v>18</v>
      </c>
      <c r="W28" s="666">
        <f t="shared" si="14"/>
        <v>100</v>
      </c>
      <c r="X28" s="1262"/>
      <c r="Y28" s="3491"/>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98"/>
      <c r="Q29" s="1260">
        <f t="shared" si="11"/>
        <v>111</v>
      </c>
      <c r="R29" s="665" t="s">
        <v>18</v>
      </c>
      <c r="S29" s="666">
        <f t="shared" si="12"/>
        <v>100</v>
      </c>
      <c r="T29" s="665" t="s">
        <v>18</v>
      </c>
      <c r="U29" s="666">
        <f t="shared" si="13"/>
        <v>100</v>
      </c>
      <c r="V29" s="665" t="s">
        <v>18</v>
      </c>
      <c r="W29" s="666">
        <f t="shared" si="14"/>
        <v>100</v>
      </c>
      <c r="X29" s="1262"/>
      <c r="Y29" s="3491"/>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98"/>
      <c r="Q30" s="1260">
        <f t="shared" si="11"/>
        <v>111</v>
      </c>
      <c r="R30" s="665" t="s">
        <v>18</v>
      </c>
      <c r="S30" s="666">
        <f t="shared" si="12"/>
        <v>100</v>
      </c>
      <c r="T30" s="665" t="s">
        <v>18</v>
      </c>
      <c r="U30" s="666">
        <f t="shared" si="13"/>
        <v>100</v>
      </c>
      <c r="V30" s="665" t="s">
        <v>18</v>
      </c>
      <c r="W30" s="666">
        <f t="shared" si="14"/>
        <v>100</v>
      </c>
      <c r="X30" s="1262"/>
      <c r="Y30" s="3491"/>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98"/>
      <c r="Q31" s="1260">
        <f t="shared" si="11"/>
        <v>111</v>
      </c>
      <c r="R31" s="665" t="s">
        <v>18</v>
      </c>
      <c r="S31" s="666">
        <f t="shared" si="12"/>
        <v>100</v>
      </c>
      <c r="T31" s="665" t="s">
        <v>18</v>
      </c>
      <c r="U31" s="666">
        <f t="shared" si="13"/>
        <v>100</v>
      </c>
      <c r="V31" s="665" t="s">
        <v>18</v>
      </c>
      <c r="W31" s="666">
        <f t="shared" si="14"/>
        <v>100</v>
      </c>
      <c r="X31" s="1262"/>
      <c r="Y31" s="3491"/>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92" t="s">
        <v>1696</v>
      </c>
      <c r="Q32" s="1260" t="str">
        <f t="shared" si="11"/>
        <v>建筑类型</v>
      </c>
      <c r="R32" s="665" t="s">
        <v>18</v>
      </c>
      <c r="S32" s="666">
        <f t="shared" si="12"/>
        <v>100</v>
      </c>
      <c r="T32" s="665" t="s">
        <v>18</v>
      </c>
      <c r="U32" s="666">
        <f t="shared" si="13"/>
        <v>100</v>
      </c>
      <c r="V32" s="665" t="s">
        <v>18</v>
      </c>
      <c r="W32" s="666">
        <f t="shared" si="14"/>
        <v>100</v>
      </c>
      <c r="X32" s="1262"/>
      <c r="Y32" s="3495"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93"/>
      <c r="Q33" s="529" t="str">
        <f t="shared" si="11"/>
        <v>项目建筑规模</v>
      </c>
      <c r="R33" s="667" t="s">
        <v>18</v>
      </c>
      <c r="S33" s="668" t="e">
        <f t="shared" si="12"/>
        <v>#N/A</v>
      </c>
      <c r="T33" s="667" t="s">
        <v>18</v>
      </c>
      <c r="U33" s="668" t="e">
        <f t="shared" si="13"/>
        <v>#N/A</v>
      </c>
      <c r="V33" s="667" t="s">
        <v>18</v>
      </c>
      <c r="W33" s="668" t="e">
        <f t="shared" si="14"/>
        <v>#N/A</v>
      </c>
      <c r="X33" s="669"/>
      <c r="Y33" s="3495"/>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93"/>
      <c r="Q34" s="1260" t="str">
        <f t="shared" si="11"/>
        <v>建筑结构</v>
      </c>
      <c r="R34" s="665" t="s">
        <v>18</v>
      </c>
      <c r="S34" s="666">
        <f t="shared" si="12"/>
        <v>100</v>
      </c>
      <c r="T34" s="665" t="s">
        <v>18</v>
      </c>
      <c r="U34" s="666">
        <f t="shared" si="13"/>
        <v>100</v>
      </c>
      <c r="V34" s="665" t="s">
        <v>18</v>
      </c>
      <c r="W34" s="666">
        <f t="shared" si="14"/>
        <v>100</v>
      </c>
      <c r="X34" s="1262"/>
      <c r="Y34" s="3495"/>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93"/>
      <c r="Q35" s="1260" t="str">
        <f t="shared" si="11"/>
        <v>建筑品质</v>
      </c>
      <c r="R35" s="665" t="s">
        <v>18</v>
      </c>
      <c r="S35" s="666">
        <f t="shared" si="12"/>
        <v>100</v>
      </c>
      <c r="T35" s="665" t="s">
        <v>18</v>
      </c>
      <c r="U35" s="666">
        <f t="shared" si="13"/>
        <v>100</v>
      </c>
      <c r="V35" s="665" t="s">
        <v>18</v>
      </c>
      <c r="W35" s="666">
        <f t="shared" si="14"/>
        <v>100</v>
      </c>
      <c r="X35" s="1262"/>
      <c r="Y35" s="3495"/>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93"/>
      <c r="Q36" s="1260" t="str">
        <f t="shared" si="11"/>
        <v>公共部分装修</v>
      </c>
      <c r="R36" s="665" t="s">
        <v>18</v>
      </c>
      <c r="S36" s="666">
        <f t="shared" si="12"/>
        <v>100</v>
      </c>
      <c r="T36" s="665" t="s">
        <v>18</v>
      </c>
      <c r="U36" s="666">
        <f t="shared" si="13"/>
        <v>100</v>
      </c>
      <c r="V36" s="665" t="s">
        <v>18</v>
      </c>
      <c r="W36" s="666">
        <f t="shared" si="14"/>
        <v>100</v>
      </c>
      <c r="X36" s="1262"/>
      <c r="Y36" s="3495"/>
      <c r="Z36" s="1261" t="str">
        <f t="shared" si="18"/>
        <v>公共部分装修</v>
      </c>
      <c r="AA36" s="1261">
        <f t="shared" si="15"/>
        <v>1</v>
      </c>
      <c r="AB36" s="1261">
        <f t="shared" si="16"/>
        <v>1</v>
      </c>
      <c r="AC36" s="1261">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93"/>
      <c r="Q37" s="528" t="str">
        <f t="shared" si="11"/>
        <v>成新度</v>
      </c>
      <c r="R37" s="662" t="s">
        <v>18</v>
      </c>
      <c r="S37" s="663" t="e">
        <f t="shared" si="12"/>
        <v>#N/A</v>
      </c>
      <c r="T37" s="662" t="s">
        <v>18</v>
      </c>
      <c r="U37" s="663" t="e">
        <f t="shared" si="13"/>
        <v>#N/A</v>
      </c>
      <c r="V37" s="662" t="s">
        <v>18</v>
      </c>
      <c r="W37" s="663" t="e">
        <f t="shared" si="14"/>
        <v>#N/A</v>
      </c>
      <c r="X37" s="664"/>
      <c r="Y37" s="3495"/>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93" t="s">
        <v>1696</v>
      </c>
      <c r="Q38" s="1260" t="str">
        <f t="shared" si="11"/>
        <v>物业管理</v>
      </c>
      <c r="R38" s="665" t="s">
        <v>18</v>
      </c>
      <c r="S38" s="666">
        <f t="shared" si="12"/>
        <v>100</v>
      </c>
      <c r="T38" s="665" t="s">
        <v>18</v>
      </c>
      <c r="U38" s="666">
        <f t="shared" si="13"/>
        <v>100</v>
      </c>
      <c r="V38" s="665" t="s">
        <v>18</v>
      </c>
      <c r="W38" s="666">
        <f t="shared" si="14"/>
        <v>100</v>
      </c>
      <c r="X38" s="1262"/>
      <c r="Y38" s="3495"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93"/>
      <c r="Q39" s="1260" t="str">
        <f t="shared" si="11"/>
        <v>市政基础设施</v>
      </c>
      <c r="R39" s="665" t="s">
        <v>18</v>
      </c>
      <c r="S39" s="666">
        <f t="shared" si="12"/>
        <v>100</v>
      </c>
      <c r="T39" s="665" t="s">
        <v>18</v>
      </c>
      <c r="U39" s="666">
        <f t="shared" si="13"/>
        <v>100</v>
      </c>
      <c r="V39" s="665" t="s">
        <v>18</v>
      </c>
      <c r="W39" s="666">
        <f t="shared" si="14"/>
        <v>100</v>
      </c>
      <c r="X39" s="1262"/>
      <c r="Y39" s="3495"/>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93"/>
      <c r="Q40" s="1260" t="str">
        <f t="shared" si="11"/>
        <v>房型</v>
      </c>
      <c r="R40" s="665" t="s">
        <v>18</v>
      </c>
      <c r="S40" s="666">
        <f t="shared" si="12"/>
        <v>100</v>
      </c>
      <c r="T40" s="665" t="s">
        <v>18</v>
      </c>
      <c r="U40" s="666">
        <f t="shared" si="13"/>
        <v>100</v>
      </c>
      <c r="V40" s="665" t="s">
        <v>18</v>
      </c>
      <c r="W40" s="666">
        <f t="shared" si="14"/>
        <v>100</v>
      </c>
      <c r="X40" s="1262"/>
      <c r="Y40" s="3495"/>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93"/>
      <c r="Q41" s="529" t="str">
        <f t="shared" si="11"/>
        <v>单套/主力户型建筑面积</v>
      </c>
      <c r="R41" s="667" t="s">
        <v>18</v>
      </c>
      <c r="S41" s="668">
        <f t="shared" si="12"/>
        <v>100</v>
      </c>
      <c r="T41" s="667" t="s">
        <v>18</v>
      </c>
      <c r="U41" s="668">
        <f t="shared" si="13"/>
        <v>100</v>
      </c>
      <c r="V41" s="667" t="s">
        <v>18</v>
      </c>
      <c r="W41" s="668">
        <f t="shared" si="14"/>
        <v>100</v>
      </c>
      <c r="X41" s="669"/>
      <c r="Y41" s="3495"/>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93"/>
      <c r="Q42" s="1260" t="str">
        <f t="shared" si="11"/>
        <v>内部装修</v>
      </c>
      <c r="R42" s="665" t="s">
        <v>18</v>
      </c>
      <c r="S42" s="666">
        <f t="shared" si="12"/>
        <v>100</v>
      </c>
      <c r="T42" s="665" t="s">
        <v>18</v>
      </c>
      <c r="U42" s="666">
        <f t="shared" si="13"/>
        <v>100</v>
      </c>
      <c r="V42" s="665" t="s">
        <v>18</v>
      </c>
      <c r="W42" s="666">
        <f t="shared" si="14"/>
        <v>100</v>
      </c>
      <c r="X42" s="1262"/>
      <c r="Y42" s="3495"/>
      <c r="Z42" s="1261" t="str">
        <f t="shared" si="18"/>
        <v>内部装修</v>
      </c>
      <c r="AA42" s="1261">
        <f t="shared" si="15"/>
        <v>1</v>
      </c>
      <c r="AB42" s="1261">
        <f t="shared" si="16"/>
        <v>1</v>
      </c>
      <c r="AC42" s="1261">
        <f t="shared" si="17"/>
        <v>1</v>
      </c>
    </row>
    <row r="43" spans="1:29" ht="15">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93"/>
      <c r="Q43" s="1260" t="str">
        <f t="shared" si="11"/>
        <v>内部装修维护情况</v>
      </c>
      <c r="R43" s="665" t="s">
        <v>18</v>
      </c>
      <c r="S43" s="666">
        <f t="shared" si="12"/>
        <v>100</v>
      </c>
      <c r="T43" s="665" t="s">
        <v>18</v>
      </c>
      <c r="U43" s="666">
        <f t="shared" si="13"/>
        <v>100</v>
      </c>
      <c r="V43" s="665" t="s">
        <v>18</v>
      </c>
      <c r="W43" s="666">
        <f t="shared" si="14"/>
        <v>100</v>
      </c>
      <c r="X43" s="1262"/>
      <c r="Y43" s="3495"/>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93"/>
      <c r="Q44" s="528">
        <f t="shared" si="11"/>
        <v>111</v>
      </c>
      <c r="R44" s="662" t="s">
        <v>18</v>
      </c>
      <c r="S44" s="663">
        <f t="shared" si="12"/>
        <v>100</v>
      </c>
      <c r="T44" s="662" t="s">
        <v>18</v>
      </c>
      <c r="U44" s="663">
        <f t="shared" si="13"/>
        <v>100</v>
      </c>
      <c r="V44" s="662" t="s">
        <v>18</v>
      </c>
      <c r="W44" s="663">
        <f t="shared" si="14"/>
        <v>100</v>
      </c>
      <c r="X44" s="664"/>
      <c r="Y44" s="3495"/>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93"/>
      <c r="Q45" s="1260">
        <f t="shared" si="11"/>
        <v>111</v>
      </c>
      <c r="R45" s="665" t="s">
        <v>18</v>
      </c>
      <c r="S45" s="666">
        <f t="shared" si="12"/>
        <v>100</v>
      </c>
      <c r="T45" s="665" t="s">
        <v>18</v>
      </c>
      <c r="U45" s="666">
        <f t="shared" si="13"/>
        <v>100</v>
      </c>
      <c r="V45" s="665" t="s">
        <v>18</v>
      </c>
      <c r="W45" s="666">
        <f t="shared" si="14"/>
        <v>100</v>
      </c>
      <c r="X45" s="1262"/>
      <c r="Y45" s="3495"/>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94"/>
      <c r="Q46" s="1260">
        <f t="shared" si="11"/>
        <v>111</v>
      </c>
      <c r="R46" s="665" t="s">
        <v>17</v>
      </c>
      <c r="S46" s="666">
        <f t="shared" si="12"/>
        <v>100</v>
      </c>
      <c r="T46" s="665" t="s">
        <v>17</v>
      </c>
      <c r="U46" s="666">
        <f t="shared" si="13"/>
        <v>100</v>
      </c>
      <c r="V46" s="665" t="s">
        <v>17</v>
      </c>
      <c r="W46" s="666">
        <f t="shared" si="14"/>
        <v>100</v>
      </c>
      <c r="X46" s="1262"/>
      <c r="Y46" s="3496"/>
      <c r="Z46" s="1261">
        <f t="shared" si="18"/>
        <v>111</v>
      </c>
      <c r="AA46" s="1261">
        <f t="shared" si="15"/>
        <v>1</v>
      </c>
      <c r="AB46" s="1261">
        <f t="shared" si="16"/>
        <v>1</v>
      </c>
      <c r="AC46" s="1261">
        <f t="shared" si="17"/>
        <v>1</v>
      </c>
    </row>
    <row r="47" spans="1:29" ht="15">
      <c r="A47" s="414" t="s">
        <v>1708</v>
      </c>
      <c r="B47" s="415"/>
      <c r="C47" s="1079" t="s">
        <v>16</v>
      </c>
      <c r="D47" s="416"/>
      <c r="E47" s="417"/>
      <c r="F47" s="418"/>
      <c r="G47" s="419"/>
      <c r="H47" s="420"/>
      <c r="I47" s="417"/>
      <c r="J47" s="420"/>
      <c r="K47" s="1764"/>
      <c r="L47" s="2492"/>
      <c r="M47" s="2485"/>
      <c r="N47" s="2485"/>
      <c r="O47" s="2485"/>
      <c r="P47" s="3489" t="str">
        <f>A47</f>
        <v>成交单价（元/平方米）</v>
      </c>
      <c r="Q47" s="3489"/>
      <c r="R47" s="3484">
        <f>E47</f>
        <v>0</v>
      </c>
      <c r="S47" s="3484"/>
      <c r="T47" s="3484">
        <f>G47</f>
        <v>0</v>
      </c>
      <c r="U47" s="3484"/>
      <c r="V47" s="3484">
        <f>I47</f>
        <v>0</v>
      </c>
      <c r="W47" s="3484"/>
      <c r="X47" s="383"/>
      <c r="Y47" s="671"/>
      <c r="Z47" s="383"/>
      <c r="AA47" s="383"/>
      <c r="AB47" s="383"/>
      <c r="AC47" s="383"/>
    </row>
    <row r="48" spans="1:29" ht="15.75" thickBot="1">
      <c r="A48" s="421" t="s">
        <v>1709</v>
      </c>
      <c r="B48" s="422"/>
      <c r="C48" s="1080" t="e">
        <f>R49</f>
        <v>#DIV/0!</v>
      </c>
      <c r="D48" s="2138" t="s">
        <v>2135</v>
      </c>
      <c r="E48" s="1081" t="e">
        <f>R48</f>
        <v>#DIV/0!</v>
      </c>
      <c r="F48" s="2139"/>
      <c r="G48" s="1080" t="e">
        <f>T48</f>
        <v>#DIV/0!</v>
      </c>
      <c r="H48" s="2139"/>
      <c r="I48" s="1081" t="e">
        <f>V48</f>
        <v>#DIV/0!</v>
      </c>
      <c r="J48" s="2139"/>
      <c r="K48" s="2140">
        <f>F48+H48+J48</f>
        <v>0</v>
      </c>
      <c r="L48" s="2492"/>
      <c r="M48" s="2485"/>
      <c r="N48" s="2485"/>
      <c r="O48" s="2485"/>
      <c r="P48" s="3489" t="str">
        <f>A48</f>
        <v>比较价值（元/平方米）</v>
      </c>
      <c r="Q48" s="348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3"/>
      <c r="Y48" s="383"/>
      <c r="Z48" s="383"/>
      <c r="AA48" s="383"/>
      <c r="AB48" s="383"/>
      <c r="AC48" s="383"/>
    </row>
    <row r="49" spans="1:29" ht="15.75" thickBot="1">
      <c r="A49" s="425" t="s">
        <v>1710</v>
      </c>
      <c r="B49" s="426"/>
      <c r="C49" s="1082" t="e">
        <f>R49</f>
        <v>#DIV/0!</v>
      </c>
      <c r="D49" s="349"/>
      <c r="E49" s="349"/>
      <c r="F49" s="349"/>
      <c r="G49" s="349"/>
      <c r="H49" s="349"/>
      <c r="I49" s="349"/>
      <c r="J49" s="349"/>
      <c r="K49" s="1765"/>
      <c r="L49" s="2492"/>
      <c r="M49" s="2485"/>
      <c r="N49" s="2485"/>
      <c r="O49" s="2485"/>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1714</v>
      </c>
      <c r="B57" s="383"/>
      <c r="C57" s="657"/>
      <c r="D57" s="657"/>
      <c r="E57" s="657"/>
      <c r="F57" s="658"/>
      <c r="G57" s="658"/>
      <c r="H57" s="657"/>
      <c r="I57" s="657"/>
      <c r="J57" s="657"/>
      <c r="K57" s="885"/>
      <c r="L57" s="886"/>
      <c r="M57" s="884"/>
      <c r="N57" s="884"/>
      <c r="O57" s="884"/>
      <c r="P57" s="1768"/>
      <c r="Q57" s="437"/>
    </row>
    <row r="58" spans="1:29" s="440" customFormat="1" ht="15">
      <c r="A58" s="438" t="s">
        <v>1715</v>
      </c>
      <c r="B58" s="439"/>
      <c r="C58" s="1102" t="str">
        <f>YEAR(C7)&amp;"-"&amp;MONTH(C7)</f>
        <v>2025-11</v>
      </c>
      <c r="D58" s="1101">
        <f>EDATE(C58,-1)</f>
        <v>45931</v>
      </c>
      <c r="E58" s="1101">
        <f>EDATE(D58,-1)</f>
        <v>45901</v>
      </c>
      <c r="F58" s="1101">
        <f t="shared" ref="F58:O58" si="19">EDATE(E58,-1)</f>
        <v>45870</v>
      </c>
      <c r="G58" s="1101">
        <f t="shared" si="19"/>
        <v>45839</v>
      </c>
      <c r="H58" s="1101">
        <f t="shared" si="19"/>
        <v>45809</v>
      </c>
      <c r="I58" s="1101">
        <f t="shared" si="19"/>
        <v>45778</v>
      </c>
      <c r="J58" s="1101">
        <f t="shared" si="19"/>
        <v>45748</v>
      </c>
      <c r="K58" s="1101">
        <f t="shared" si="19"/>
        <v>45717</v>
      </c>
      <c r="L58" s="1101">
        <f t="shared" si="19"/>
        <v>45689</v>
      </c>
      <c r="M58" s="1101">
        <f t="shared" si="19"/>
        <v>45658</v>
      </c>
      <c r="N58" s="1101">
        <f t="shared" si="19"/>
        <v>45627</v>
      </c>
      <c r="O58" s="1101">
        <f t="shared" si="19"/>
        <v>45597</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1716</v>
      </c>
      <c r="B60" s="448"/>
      <c r="C60" s="449"/>
      <c r="D60" s="450"/>
      <c r="E60" s="450"/>
      <c r="F60" s="450"/>
      <c r="G60" s="450"/>
      <c r="H60" s="450"/>
      <c r="I60" s="450"/>
      <c r="J60" s="450"/>
      <c r="K60" s="450"/>
      <c r="L60" s="450"/>
      <c r="M60" s="451"/>
      <c r="N60" s="450"/>
      <c r="O60" s="451"/>
      <c r="P60" s="1770"/>
      <c r="Q60" s="437"/>
    </row>
    <row r="61" spans="1:29" s="102" customFormat="1" ht="15">
      <c r="A61" s="453" t="s">
        <v>1717</v>
      </c>
      <c r="B61" s="442"/>
      <c r="C61" s="454" t="s">
        <v>1718</v>
      </c>
      <c r="D61" s="31"/>
      <c r="E61" s="31"/>
      <c r="F61" s="31"/>
      <c r="G61" s="31"/>
      <c r="H61" s="31"/>
      <c r="I61" s="31"/>
      <c r="J61" s="31"/>
      <c r="K61" s="31"/>
      <c r="L61" s="455"/>
      <c r="M61" s="456"/>
      <c r="N61" s="876"/>
      <c r="O61" s="876"/>
      <c r="P61" s="1771"/>
      <c r="Q61" s="437"/>
    </row>
    <row r="62" spans="1:29" s="102"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1719</v>
      </c>
      <c r="B63" s="458" t="s">
        <v>1685</v>
      </c>
      <c r="C63" s="459">
        <f>C9</f>
        <v>0</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1688</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c r="D68" s="478"/>
      <c r="E68" s="478"/>
      <c r="F68" s="478"/>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1260</v>
      </c>
      <c r="C82" s="468" t="s">
        <v>1728</v>
      </c>
      <c r="D82" s="468" t="s">
        <v>1729</v>
      </c>
      <c r="E82" s="468" t="s">
        <v>1730</v>
      </c>
      <c r="F82" s="468" t="s">
        <v>1731</v>
      </c>
      <c r="G82" s="468" t="s">
        <v>1732</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75" thickTop="1">
      <c r="A86" s="368"/>
      <c r="B86" s="467" t="s">
        <v>1734</v>
      </c>
      <c r="C86" s="483"/>
      <c r="D86" s="483"/>
      <c r="E86" s="483"/>
      <c r="F86" s="483"/>
      <c r="G86" s="483"/>
      <c r="H86" s="483"/>
      <c r="I86" s="483"/>
      <c r="J86" s="483"/>
      <c r="K86" s="483"/>
      <c r="L86" s="508"/>
      <c r="M86" s="509"/>
      <c r="N86" s="876"/>
      <c r="O86" s="876"/>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75" thickTop="1">
      <c r="A88" s="368"/>
      <c r="B88" s="467" t="s">
        <v>1735</v>
      </c>
      <c r="C88" s="483"/>
      <c r="D88" s="483"/>
      <c r="E88" s="483"/>
      <c r="F88" s="1777"/>
      <c r="G88" s="483"/>
      <c r="H88" s="483"/>
      <c r="I88" s="483"/>
      <c r="J88" s="483"/>
      <c r="K88" s="483"/>
      <c r="L88" s="483"/>
      <c r="M88" s="509"/>
      <c r="N88" s="876"/>
      <c r="O88" s="876"/>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1694</v>
      </c>
      <c r="B100" s="458" t="s">
        <v>1736</v>
      </c>
      <c r="C100" s="460"/>
      <c r="D100" s="460"/>
      <c r="E100" s="460"/>
      <c r="F100" s="460"/>
      <c r="G100" s="460"/>
      <c r="H100" s="460"/>
      <c r="I100" s="460"/>
      <c r="J100" s="460"/>
      <c r="K100" s="461"/>
      <c r="L100" s="462"/>
      <c r="M100" s="463"/>
      <c r="N100" s="877"/>
      <c r="O100" s="877"/>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5.75"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1738</v>
      </c>
      <c r="C105" s="483"/>
      <c r="D105" s="483"/>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1739</v>
      </c>
      <c r="C107" s="511"/>
      <c r="D107" s="511"/>
      <c r="E107" s="511"/>
      <c r="F107" s="511"/>
      <c r="G107" s="511"/>
      <c r="H107" s="511"/>
      <c r="I107" s="511"/>
      <c r="J107" s="511"/>
      <c r="K107" s="512"/>
      <c r="L107" s="513"/>
      <c r="M107" s="514"/>
      <c r="N107" s="877"/>
      <c r="O107" s="877"/>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1740</v>
      </c>
      <c r="C109" s="483"/>
      <c r="D109" s="483"/>
      <c r="E109" s="483"/>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1741</v>
      </c>
      <c r="C114" s="483"/>
      <c r="D114" s="483"/>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1742</v>
      </c>
      <c r="C116" s="483"/>
      <c r="D116" s="483"/>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1743</v>
      </c>
      <c r="C118" s="511"/>
      <c r="D118" s="511"/>
      <c r="E118" s="511"/>
      <c r="F118" s="511"/>
      <c r="G118" s="511"/>
      <c r="H118" s="511"/>
      <c r="I118" s="511"/>
      <c r="J118" s="511"/>
      <c r="K118" s="512"/>
      <c r="L118" s="513"/>
      <c r="M118" s="514"/>
      <c r="N118" s="877"/>
      <c r="O118" s="877"/>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8.5" thickTop="1">
      <c r="A120" s="404"/>
      <c r="B120" s="467" t="s">
        <v>1705</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1744</v>
      </c>
      <c r="C122" s="483"/>
      <c r="D122" s="483"/>
      <c r="E122" s="483"/>
      <c r="F122" s="511"/>
      <c r="G122" s="511"/>
      <c r="H122" s="511"/>
      <c r="I122" s="511"/>
      <c r="J122" s="511"/>
      <c r="K122" s="512"/>
      <c r="L122" s="513"/>
      <c r="M122" s="514"/>
      <c r="N122" s="877"/>
      <c r="O122" s="877"/>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5.75" thickBot="1">
      <c r="A127" s="482"/>
      <c r="B127" s="472"/>
      <c r="C127" s="489"/>
      <c r="D127" s="465"/>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1">
        <f>ROUNDUP((J139-1)/2,0)</f>
        <v>10</v>
      </c>
      <c r="K140" s="823">
        <v>100</v>
      </c>
    </row>
    <row r="141" spans="1:17" ht="15">
      <c r="B141" s="818">
        <v>4</v>
      </c>
      <c r="C141" s="819">
        <v>102</v>
      </c>
      <c r="D141" s="819"/>
      <c r="E141" s="820"/>
      <c r="F141" s="821">
        <v>101.5</v>
      </c>
      <c r="G141" s="819"/>
      <c r="H141" s="822"/>
      <c r="I141" s="1791" t="s">
        <v>1758</v>
      </c>
      <c r="J141" s="261">
        <v>1</v>
      </c>
      <c r="K141" s="824">
        <f>ROUND(100+(J141-J140)*K139*100,1)</f>
        <v>96.4</v>
      </c>
    </row>
    <row r="142" spans="1:17" ht="15">
      <c r="B142" s="818">
        <v>3</v>
      </c>
      <c r="C142" s="819">
        <v>103</v>
      </c>
      <c r="D142" s="819"/>
      <c r="E142" s="820"/>
      <c r="F142" s="821">
        <v>101</v>
      </c>
      <c r="G142" s="819"/>
      <c r="H142" s="822"/>
      <c r="I142" s="1791" t="s">
        <v>1759</v>
      </c>
      <c r="J142" s="261">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1464</v>
      </c>
      <c r="B3" s="534">
        <f>IF(C2="——",C49,ROUND(B2*10000/D3,0))</f>
        <v>0</v>
      </c>
      <c r="C3" s="342" t="s">
        <v>1768</v>
      </c>
      <c r="D3" s="341">
        <f>IF(D1="",'数据-汇总表'!E3,SUMIF('数据-汇总表'!$C19:$C33,D1,'数据-汇总表'!$E19:$E33))</f>
        <v>1232.79</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3" t="s">
        <v>1769</v>
      </c>
      <c r="B4" s="344"/>
      <c r="C4" s="3472" t="s">
        <v>1770</v>
      </c>
      <c r="D4" s="3473"/>
      <c r="E4" s="3474" t="s">
        <v>1771</v>
      </c>
      <c r="F4" s="3475"/>
      <c r="G4" s="3472" t="s">
        <v>1772</v>
      </c>
      <c r="H4" s="3473"/>
      <c r="I4" s="3472" t="s">
        <v>1773</v>
      </c>
      <c r="J4" s="3473"/>
      <c r="K4" s="535" t="s">
        <v>1774</v>
      </c>
      <c r="L4" s="2484"/>
      <c r="M4" s="2485"/>
      <c r="N4" s="2485"/>
      <c r="O4" s="2485"/>
      <c r="P4" s="3476" t="s">
        <v>1775</v>
      </c>
      <c r="Q4" s="3477"/>
      <c r="R4" s="3459" t="s">
        <v>1771</v>
      </c>
      <c r="S4" s="3460"/>
      <c r="T4" s="3459" t="s">
        <v>1772</v>
      </c>
      <c r="U4" s="3460"/>
      <c r="V4" s="3484" t="s">
        <v>1773</v>
      </c>
      <c r="W4" s="3484"/>
      <c r="X4" s="1262"/>
      <c r="Y4" s="3459" t="s">
        <v>1775</v>
      </c>
      <c r="Z4" s="3460"/>
      <c r="AA4" s="3454" t="s">
        <v>1771</v>
      </c>
      <c r="AB4" s="3484" t="s">
        <v>1772</v>
      </c>
      <c r="AC4" s="3454" t="s">
        <v>1773</v>
      </c>
    </row>
    <row r="5" spans="1:29" ht="15">
      <c r="A5" s="346"/>
      <c r="B5" s="347"/>
      <c r="C5" s="3465" t="s">
        <v>1673</v>
      </c>
      <c r="D5" s="3466"/>
      <c r="E5" s="3463" t="s">
        <v>1674</v>
      </c>
      <c r="F5" s="3464"/>
      <c r="G5" s="3465" t="s">
        <v>1675</v>
      </c>
      <c r="H5" s="3466"/>
      <c r="I5" s="3465" t="s">
        <v>1676</v>
      </c>
      <c r="J5" s="3466"/>
      <c r="K5" s="535"/>
      <c r="L5" s="2484"/>
      <c r="M5" s="2485"/>
      <c r="N5" s="2485"/>
      <c r="O5" s="2485"/>
      <c r="P5" s="3478"/>
      <c r="Q5" s="3479"/>
      <c r="R5" s="3461"/>
      <c r="S5" s="3462"/>
      <c r="T5" s="3461"/>
      <c r="U5" s="3462"/>
      <c r="V5" s="3484"/>
      <c r="W5" s="3484"/>
      <c r="X5" s="1262"/>
      <c r="Y5" s="3461"/>
      <c r="Z5" s="3462"/>
      <c r="AA5" s="3455"/>
      <c r="AB5" s="3484"/>
      <c r="AC5" s="3455"/>
    </row>
    <row r="6" spans="1:29" ht="15.75" thickBot="1">
      <c r="A6" s="348"/>
      <c r="B6" s="349"/>
      <c r="C6" s="3467" t="s">
        <v>1677</v>
      </c>
      <c r="D6" s="3468"/>
      <c r="E6" s="3469" t="s">
        <v>1677</v>
      </c>
      <c r="F6" s="3470"/>
      <c r="G6" s="3467" t="s">
        <v>1677</v>
      </c>
      <c r="H6" s="3468"/>
      <c r="I6" s="3467" t="s">
        <v>1677</v>
      </c>
      <c r="J6" s="3468"/>
      <c r="K6" s="535" t="s">
        <v>1678</v>
      </c>
      <c r="L6" s="2484"/>
      <c r="M6" s="2485"/>
      <c r="N6" s="2485"/>
      <c r="O6" s="2485"/>
      <c r="P6" s="3480"/>
      <c r="Q6" s="3481"/>
      <c r="R6" s="3461"/>
      <c r="S6" s="3462"/>
      <c r="T6" s="3482"/>
      <c r="U6" s="3483"/>
      <c r="V6" s="3484"/>
      <c r="W6" s="3484"/>
      <c r="X6" s="1262"/>
      <c r="Y6" s="3482"/>
      <c r="Z6" s="3483"/>
      <c r="AA6" s="3456"/>
      <c r="AB6" s="3484"/>
      <c r="AC6" s="3456"/>
    </row>
    <row r="7" spans="1:29" s="102" customFormat="1" ht="15.75" thickBot="1">
      <c r="A7" s="350" t="s">
        <v>1679</v>
      </c>
      <c r="B7" s="351"/>
      <c r="C7" s="352">
        <f>'数据-取费表'!B2</f>
        <v>45986</v>
      </c>
      <c r="D7" s="353">
        <v>100</v>
      </c>
      <c r="E7" s="354"/>
      <c r="F7" s="355">
        <f>SUMIF(58:58,YEAR(E7)&amp;"-"&amp;MONTH(E7),59:59)</f>
        <v>0</v>
      </c>
      <c r="G7" s="354"/>
      <c r="H7" s="353">
        <f>SUMIF(58:58,YEAR(G7)&amp;"-"&amp;MONTH(G7),59:59)</f>
        <v>0</v>
      </c>
      <c r="I7" s="354"/>
      <c r="J7" s="353">
        <f>SUMIF(58:58,YEAR(I7)&amp;"-"&amp;MONTH(I7),59:59)</f>
        <v>0</v>
      </c>
      <c r="K7" s="38"/>
      <c r="L7" s="2486"/>
      <c r="M7" s="2437"/>
      <c r="N7" s="2437"/>
      <c r="O7" s="2437"/>
      <c r="P7" s="3457" t="s">
        <v>1680</v>
      </c>
      <c r="Q7" s="3485"/>
      <c r="R7" s="662" t="s">
        <v>14</v>
      </c>
      <c r="S7" s="663">
        <f t="shared" ref="S7:S15" si="0">F7</f>
        <v>0</v>
      </c>
      <c r="T7" s="662" t="s">
        <v>14</v>
      </c>
      <c r="U7" s="663">
        <f t="shared" ref="U7:U15" si="1">H7</f>
        <v>0</v>
      </c>
      <c r="V7" s="662" t="s">
        <v>14</v>
      </c>
      <c r="W7" s="663">
        <f t="shared" ref="W7:W15" si="2">J7</f>
        <v>0</v>
      </c>
      <c r="X7" s="664"/>
      <c r="Y7" s="3457" t="s">
        <v>1680</v>
      </c>
      <c r="Z7" s="3458"/>
      <c r="AA7" s="50" t="e">
        <f>D7/F7</f>
        <v>#DIV/0!</v>
      </c>
      <c r="AB7" s="50" t="e">
        <f>D7/H7</f>
        <v>#DIV/0!</v>
      </c>
      <c r="AC7" s="50" t="e">
        <f>D7/J7</f>
        <v>#DIV/0!</v>
      </c>
    </row>
    <row r="8" spans="1:29" s="102"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57" t="s">
        <v>1683</v>
      </c>
      <c r="Q8" s="3458"/>
      <c r="R8" s="662" t="s">
        <v>14</v>
      </c>
      <c r="S8" s="663">
        <f t="shared" si="0"/>
        <v>100</v>
      </c>
      <c r="T8" s="662" t="s">
        <v>14</v>
      </c>
      <c r="U8" s="663">
        <f t="shared" si="1"/>
        <v>100</v>
      </c>
      <c r="V8" s="662" t="s">
        <v>14</v>
      </c>
      <c r="W8" s="663">
        <f t="shared" si="2"/>
        <v>100</v>
      </c>
      <c r="X8" s="664"/>
      <c r="Y8" s="3457" t="s">
        <v>1683</v>
      </c>
      <c r="Z8" s="3458"/>
      <c r="AA8" s="50">
        <f t="shared" ref="AA8:AA46" si="3">D8/F8</f>
        <v>1</v>
      </c>
      <c r="AB8" s="50">
        <f t="shared" ref="AB8:AB46" si="4">D8/H8</f>
        <v>1</v>
      </c>
      <c r="AC8" s="50">
        <f t="shared" ref="AC8:AC46" si="5">D8/J8</f>
        <v>1</v>
      </c>
    </row>
    <row r="9" spans="1:29" s="102"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471" t="s">
        <v>1686</v>
      </c>
      <c r="Q9" s="528" t="str">
        <f t="shared" ref="Q9:Q15" si="6">B9</f>
        <v>用途</v>
      </c>
      <c r="R9" s="662" t="s">
        <v>14</v>
      </c>
      <c r="S9" s="663">
        <f t="shared" si="0"/>
        <v>100</v>
      </c>
      <c r="T9" s="662" t="s">
        <v>14</v>
      </c>
      <c r="U9" s="663">
        <f t="shared" si="1"/>
        <v>100</v>
      </c>
      <c r="V9" s="662" t="s">
        <v>14</v>
      </c>
      <c r="W9" s="663">
        <f t="shared" si="2"/>
        <v>100</v>
      </c>
      <c r="X9" s="664"/>
      <c r="Y9" s="3401" t="s">
        <v>1687</v>
      </c>
      <c r="Z9" s="50" t="str">
        <f t="shared" ref="Z9:Z15" si="7">Q9</f>
        <v>用途</v>
      </c>
      <c r="AA9" s="50">
        <f t="shared" si="3"/>
        <v>1</v>
      </c>
      <c r="AB9" s="50">
        <f t="shared" si="4"/>
        <v>1</v>
      </c>
      <c r="AC9" s="50">
        <f t="shared" si="5"/>
        <v>1</v>
      </c>
    </row>
    <row r="10" spans="1:29" s="364" customFormat="1" ht="27">
      <c r="A10" s="361"/>
      <c r="B10" s="362" t="s">
        <v>1688</v>
      </c>
      <c r="C10" s="3130"/>
      <c r="D10" s="117">
        <v>100</v>
      </c>
      <c r="E10" s="3131"/>
      <c r="F10" s="362">
        <f>SUMIF(65:65,E10,66:66)-SUMIF(65:65,C10,66:66)+100</f>
        <v>100</v>
      </c>
      <c r="G10" s="3130"/>
      <c r="H10" s="117">
        <f>SUMIF(65:65,G10,66:66)-SUMIF(65:65,C10,66:66)+100</f>
        <v>100</v>
      </c>
      <c r="I10" s="3130"/>
      <c r="J10" s="117">
        <f>SUMIF(65:65,I10,66:66)-SUMIF(65:65,C10,66:66)+100</f>
        <v>100</v>
      </c>
      <c r="K10" s="38"/>
      <c r="L10" s="2487"/>
      <c r="M10" s="2488"/>
      <c r="N10" s="2488"/>
      <c r="O10" s="2488"/>
      <c r="P10" s="3471"/>
      <c r="Q10" s="528"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471"/>
      <c r="Q11" s="528" t="str">
        <f t="shared" si="6"/>
        <v>容积率</v>
      </c>
      <c r="R11" s="662" t="s">
        <v>14</v>
      </c>
      <c r="S11" s="663" t="e">
        <f t="shared" si="0"/>
        <v>#N/A</v>
      </c>
      <c r="T11" s="662" t="s">
        <v>14</v>
      </c>
      <c r="U11" s="663" t="e">
        <f t="shared" si="1"/>
        <v>#N/A</v>
      </c>
      <c r="V11" s="662" t="s">
        <v>14</v>
      </c>
      <c r="W11" s="663" t="e">
        <f t="shared" si="2"/>
        <v>#N/A</v>
      </c>
      <c r="X11" s="664"/>
      <c r="Y11" s="3401"/>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471"/>
      <c r="Q12" s="528">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471"/>
      <c r="Q13" s="528">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471"/>
      <c r="Q14" s="528">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97" t="s">
        <v>1691</v>
      </c>
      <c r="Q15" s="1260" t="str">
        <f t="shared" si="6"/>
        <v>商业繁华度</v>
      </c>
      <c r="R15" s="665" t="s">
        <v>14</v>
      </c>
      <c r="S15" s="666">
        <f t="shared" si="0"/>
        <v>100</v>
      </c>
      <c r="T15" s="665" t="s">
        <v>14</v>
      </c>
      <c r="U15" s="666">
        <f t="shared" si="1"/>
        <v>100</v>
      </c>
      <c r="V15" s="665" t="s">
        <v>14</v>
      </c>
      <c r="W15" s="666">
        <f t="shared" si="2"/>
        <v>100</v>
      </c>
      <c r="X15" s="1262"/>
      <c r="Y15" s="3490"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98"/>
      <c r="Q16" s="1260"/>
      <c r="R16" s="665"/>
      <c r="S16" s="666"/>
      <c r="T16" s="665"/>
      <c r="U16" s="666"/>
      <c r="V16" s="665"/>
      <c r="W16" s="666"/>
      <c r="X16" s="1262"/>
      <c r="Y16" s="3491"/>
      <c r="Z16" s="1261"/>
      <c r="AA16" s="1261">
        <v>1</v>
      </c>
      <c r="AB16" s="1261">
        <v>1</v>
      </c>
      <c r="AC16" s="1261">
        <v>1</v>
      </c>
    </row>
    <row r="17" spans="1:29" ht="15">
      <c r="A17" s="365"/>
      <c r="B17" s="388" t="s">
        <v>1259</v>
      </c>
      <c r="C17" s="1751">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98"/>
      <c r="Q17" s="1260" t="str">
        <f>B17</f>
        <v>交通便捷度</v>
      </c>
      <c r="R17" s="665" t="s">
        <v>14</v>
      </c>
      <c r="S17" s="666">
        <f>F17</f>
        <v>100</v>
      </c>
      <c r="T17" s="665" t="s">
        <v>14</v>
      </c>
      <c r="U17" s="666">
        <f>H17</f>
        <v>100</v>
      </c>
      <c r="V17" s="665" t="s">
        <v>14</v>
      </c>
      <c r="W17" s="666">
        <f>J17</f>
        <v>100</v>
      </c>
      <c r="X17" s="1262"/>
      <c r="Y17" s="3491"/>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98"/>
      <c r="Q18" s="1260"/>
      <c r="R18" s="665"/>
      <c r="S18" s="666"/>
      <c r="T18" s="665"/>
      <c r="U18" s="666"/>
      <c r="V18" s="665"/>
      <c r="W18" s="666"/>
      <c r="X18" s="1262"/>
      <c r="Y18" s="3491"/>
      <c r="Z18" s="1261"/>
      <c r="AA18" s="1261">
        <v>1</v>
      </c>
      <c r="AB18" s="1261">
        <v>1</v>
      </c>
      <c r="AC18" s="1261">
        <v>1</v>
      </c>
    </row>
    <row r="19" spans="1:29" ht="15">
      <c r="A19" s="365"/>
      <c r="B19" s="388" t="s">
        <v>1778</v>
      </c>
      <c r="C19" s="1751">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98"/>
      <c r="Q19" s="1260" t="str">
        <f>B19</f>
        <v>公共配套设施</v>
      </c>
      <c r="R19" s="665" t="s">
        <v>14</v>
      </c>
      <c r="S19" s="666">
        <f>F19</f>
        <v>100</v>
      </c>
      <c r="T19" s="665" t="s">
        <v>14</v>
      </c>
      <c r="U19" s="666">
        <f>H19</f>
        <v>100</v>
      </c>
      <c r="V19" s="665" t="s">
        <v>14</v>
      </c>
      <c r="W19" s="666">
        <f>J19</f>
        <v>100</v>
      </c>
      <c r="X19" s="1262"/>
      <c r="Y19" s="3491"/>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98"/>
      <c r="Q20" s="1260"/>
      <c r="R20" s="665"/>
      <c r="S20" s="666"/>
      <c r="T20" s="665"/>
      <c r="U20" s="666"/>
      <c r="V20" s="665"/>
      <c r="W20" s="666"/>
      <c r="X20" s="1262"/>
      <c r="Y20" s="3491"/>
      <c r="Z20" s="1261"/>
      <c r="AA20" s="1261">
        <v>1</v>
      </c>
      <c r="AB20" s="1261">
        <v>1</v>
      </c>
      <c r="AC20" s="1261">
        <v>1</v>
      </c>
    </row>
    <row r="21" spans="1:29" ht="15">
      <c r="A21" s="365"/>
      <c r="B21" s="584" t="s">
        <v>1779</v>
      </c>
      <c r="C21" s="1751">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98"/>
      <c r="Q21" s="1260" t="str">
        <f>B21</f>
        <v>基础设施水平</v>
      </c>
      <c r="R21" s="665" t="s">
        <v>14</v>
      </c>
      <c r="S21" s="666">
        <f>F21</f>
        <v>100</v>
      </c>
      <c r="T21" s="665" t="s">
        <v>14</v>
      </c>
      <c r="U21" s="666">
        <f>H21</f>
        <v>100</v>
      </c>
      <c r="V21" s="665" t="s">
        <v>14</v>
      </c>
      <c r="W21" s="666">
        <f>J21</f>
        <v>100</v>
      </c>
      <c r="X21" s="1262"/>
      <c r="Y21" s="349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98"/>
      <c r="Q22" s="1260"/>
      <c r="R22" s="665"/>
      <c r="S22" s="666"/>
      <c r="T22" s="665"/>
      <c r="U22" s="666"/>
      <c r="V22" s="665"/>
      <c r="W22" s="666"/>
      <c r="X22" s="1262"/>
      <c r="Y22" s="3491"/>
      <c r="Z22" s="1261"/>
      <c r="AA22" s="1261">
        <v>1</v>
      </c>
      <c r="AB22" s="1261">
        <v>1</v>
      </c>
      <c r="AC22" s="1261">
        <v>1</v>
      </c>
    </row>
    <row r="23" spans="1:29" ht="15">
      <c r="A23" s="365"/>
      <c r="B23" s="388" t="s">
        <v>1261</v>
      </c>
      <c r="C23" s="1803">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98"/>
      <c r="Q23" s="1260" t="str">
        <f>B23</f>
        <v>自然及人文环境</v>
      </c>
      <c r="R23" s="665" t="s">
        <v>14</v>
      </c>
      <c r="S23" s="666">
        <f>F23</f>
        <v>100</v>
      </c>
      <c r="T23" s="665" t="s">
        <v>14</v>
      </c>
      <c r="U23" s="666">
        <f>H23</f>
        <v>100</v>
      </c>
      <c r="V23" s="665" t="s">
        <v>14</v>
      </c>
      <c r="W23" s="666">
        <f>J23</f>
        <v>100</v>
      </c>
      <c r="X23" s="1262"/>
      <c r="Y23" s="3491"/>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98"/>
      <c r="Q24" s="1260"/>
      <c r="R24" s="665"/>
      <c r="S24" s="666"/>
      <c r="T24" s="665"/>
      <c r="U24" s="666"/>
      <c r="V24" s="665"/>
      <c r="W24" s="666"/>
      <c r="X24" s="1262"/>
      <c r="Y24" s="3491"/>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98"/>
      <c r="Q25" s="1260" t="str">
        <f t="shared" ref="Q25:Q46" si="11">B25</f>
        <v>临街状况</v>
      </c>
      <c r="R25" s="665" t="s">
        <v>14</v>
      </c>
      <c r="S25" s="666">
        <f>F25</f>
        <v>100</v>
      </c>
      <c r="T25" s="665" t="s">
        <v>14</v>
      </c>
      <c r="U25" s="666">
        <f>H25</f>
        <v>100</v>
      </c>
      <c r="V25" s="665" t="s">
        <v>14</v>
      </c>
      <c r="W25" s="666">
        <f>J25</f>
        <v>100</v>
      </c>
      <c r="X25" s="1262"/>
      <c r="Y25" s="3491"/>
      <c r="Z25" s="1261" t="str">
        <f>Q25</f>
        <v>临街状况</v>
      </c>
      <c r="AA25" s="1261">
        <f t="shared" si="3"/>
        <v>1</v>
      </c>
      <c r="AB25" s="1261">
        <f t="shared" si="4"/>
        <v>1</v>
      </c>
      <c r="AC25" s="1261">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98"/>
      <c r="Q26" s="1260" t="str">
        <f t="shared" si="11"/>
        <v>平面位置/可视性</v>
      </c>
      <c r="R26" s="665" t="s">
        <v>14</v>
      </c>
      <c r="S26" s="666">
        <f>F26</f>
        <v>100</v>
      </c>
      <c r="T26" s="665" t="s">
        <v>14</v>
      </c>
      <c r="U26" s="666">
        <f>H26</f>
        <v>100</v>
      </c>
      <c r="V26" s="665" t="s">
        <v>14</v>
      </c>
      <c r="W26" s="666">
        <f>J26</f>
        <v>100</v>
      </c>
      <c r="X26" s="1262"/>
      <c r="Y26" s="3491"/>
      <c r="Z26" s="1261" t="str">
        <f>Q26</f>
        <v>平面位置/可视性</v>
      </c>
      <c r="AA26" s="1261">
        <f t="shared" si="3"/>
        <v>1</v>
      </c>
      <c r="AB26" s="1261">
        <f t="shared" si="4"/>
        <v>1</v>
      </c>
      <c r="AC26" s="1261">
        <f t="shared" si="5"/>
        <v>1</v>
      </c>
    </row>
    <row r="27" spans="1:29" s="102"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98"/>
      <c r="Q27" s="528" t="str">
        <f t="shared" si="11"/>
        <v>人流量</v>
      </c>
      <c r="R27" s="662" t="s">
        <v>14</v>
      </c>
      <c r="S27" s="663">
        <f>F27</f>
        <v>100</v>
      </c>
      <c r="T27" s="662" t="s">
        <v>14</v>
      </c>
      <c r="U27" s="663">
        <f>H27</f>
        <v>100</v>
      </c>
      <c r="V27" s="662" t="s">
        <v>14</v>
      </c>
      <c r="W27" s="663">
        <f>J27</f>
        <v>100</v>
      </c>
      <c r="X27" s="664"/>
      <c r="Y27" s="3491"/>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98"/>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91"/>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98"/>
      <c r="Q29" s="1260">
        <f t="shared" si="11"/>
        <v>111</v>
      </c>
      <c r="R29" s="665" t="s">
        <v>14</v>
      </c>
      <c r="S29" s="666">
        <f t="shared" si="12"/>
        <v>100</v>
      </c>
      <c r="T29" s="665" t="s">
        <v>14</v>
      </c>
      <c r="U29" s="666">
        <f t="shared" si="13"/>
        <v>100</v>
      </c>
      <c r="V29" s="665" t="s">
        <v>14</v>
      </c>
      <c r="W29" s="666">
        <f t="shared" si="14"/>
        <v>100</v>
      </c>
      <c r="X29" s="1262"/>
      <c r="Y29" s="3491"/>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98"/>
      <c r="Q30" s="1260">
        <f t="shared" si="11"/>
        <v>111</v>
      </c>
      <c r="R30" s="665" t="s">
        <v>14</v>
      </c>
      <c r="S30" s="666">
        <f t="shared" si="12"/>
        <v>100</v>
      </c>
      <c r="T30" s="665" t="s">
        <v>14</v>
      </c>
      <c r="U30" s="666">
        <f t="shared" si="13"/>
        <v>100</v>
      </c>
      <c r="V30" s="665" t="s">
        <v>14</v>
      </c>
      <c r="W30" s="666">
        <f t="shared" si="14"/>
        <v>100</v>
      </c>
      <c r="X30" s="1262"/>
      <c r="Y30" s="3491"/>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98"/>
      <c r="Q31" s="1260">
        <f t="shared" si="11"/>
        <v>111</v>
      </c>
      <c r="R31" s="665" t="s">
        <v>14</v>
      </c>
      <c r="S31" s="666">
        <f t="shared" si="12"/>
        <v>100</v>
      </c>
      <c r="T31" s="665" t="s">
        <v>14</v>
      </c>
      <c r="U31" s="666">
        <f t="shared" si="13"/>
        <v>100</v>
      </c>
      <c r="V31" s="665" t="s">
        <v>14</v>
      </c>
      <c r="W31" s="666">
        <f t="shared" si="14"/>
        <v>100</v>
      </c>
      <c r="X31" s="1262"/>
      <c r="Y31" s="3491"/>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92" t="s">
        <v>1696</v>
      </c>
      <c r="Q32" s="1260" t="str">
        <f t="shared" si="11"/>
        <v>商业类型</v>
      </c>
      <c r="R32" s="665" t="s">
        <v>14</v>
      </c>
      <c r="S32" s="666">
        <f t="shared" si="12"/>
        <v>100</v>
      </c>
      <c r="T32" s="665" t="s">
        <v>14</v>
      </c>
      <c r="U32" s="666">
        <f t="shared" si="13"/>
        <v>100</v>
      </c>
      <c r="V32" s="665" t="s">
        <v>14</v>
      </c>
      <c r="W32" s="666">
        <f t="shared" si="14"/>
        <v>100</v>
      </c>
      <c r="X32" s="1262"/>
      <c r="Y32" s="3495"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93"/>
      <c r="Q33" s="529" t="str">
        <f t="shared" si="11"/>
        <v>项目建筑规模</v>
      </c>
      <c r="R33" s="667" t="s">
        <v>14</v>
      </c>
      <c r="S33" s="668" t="e">
        <f t="shared" si="12"/>
        <v>#N/A</v>
      </c>
      <c r="T33" s="667" t="s">
        <v>14</v>
      </c>
      <c r="U33" s="668" t="e">
        <f t="shared" si="13"/>
        <v>#N/A</v>
      </c>
      <c r="V33" s="667" t="s">
        <v>14</v>
      </c>
      <c r="W33" s="668" t="e">
        <f t="shared" si="14"/>
        <v>#N/A</v>
      </c>
      <c r="X33" s="669"/>
      <c r="Y33" s="3495"/>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93"/>
      <c r="Q34" s="1260" t="str">
        <f t="shared" si="11"/>
        <v>建筑结构</v>
      </c>
      <c r="R34" s="665" t="s">
        <v>14</v>
      </c>
      <c r="S34" s="666">
        <f t="shared" si="12"/>
        <v>100</v>
      </c>
      <c r="T34" s="665" t="s">
        <v>14</v>
      </c>
      <c r="U34" s="666">
        <f t="shared" si="13"/>
        <v>100</v>
      </c>
      <c r="V34" s="665" t="s">
        <v>14</v>
      </c>
      <c r="W34" s="666">
        <f t="shared" si="14"/>
        <v>100</v>
      </c>
      <c r="X34" s="1262"/>
      <c r="Y34" s="3495"/>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93"/>
      <c r="Q35" s="1260" t="str">
        <f t="shared" si="11"/>
        <v>公共部分装修</v>
      </c>
      <c r="R35" s="665" t="s">
        <v>14</v>
      </c>
      <c r="S35" s="666">
        <f t="shared" si="12"/>
        <v>100</v>
      </c>
      <c r="T35" s="665" t="s">
        <v>14</v>
      </c>
      <c r="U35" s="666">
        <f t="shared" si="13"/>
        <v>100</v>
      </c>
      <c r="V35" s="665" t="s">
        <v>14</v>
      </c>
      <c r="W35" s="666">
        <f t="shared" si="14"/>
        <v>100</v>
      </c>
      <c r="X35" s="1262"/>
      <c r="Y35" s="3495"/>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93"/>
      <c r="Q36" s="1260" t="str">
        <f t="shared" si="11"/>
        <v>成新度</v>
      </c>
      <c r="R36" s="665" t="s">
        <v>14</v>
      </c>
      <c r="S36" s="666" t="e">
        <f t="shared" si="12"/>
        <v>#N/A</v>
      </c>
      <c r="T36" s="665" t="s">
        <v>14</v>
      </c>
      <c r="U36" s="666" t="e">
        <f t="shared" si="13"/>
        <v>#N/A</v>
      </c>
      <c r="V36" s="665" t="s">
        <v>14</v>
      </c>
      <c r="W36" s="666" t="e">
        <f t="shared" si="14"/>
        <v>#N/A</v>
      </c>
      <c r="X36" s="1262"/>
      <c r="Y36" s="3495"/>
      <c r="Z36" s="1261" t="str">
        <f t="shared" si="15"/>
        <v>成新度</v>
      </c>
      <c r="AA36" s="1261" t="e">
        <f t="shared" si="3"/>
        <v>#N/A</v>
      </c>
      <c r="AB36" s="1261" t="e">
        <f t="shared" si="4"/>
        <v>#N/A</v>
      </c>
      <c r="AC36" s="1261" t="e">
        <f t="shared" si="5"/>
        <v>#N/A</v>
      </c>
    </row>
    <row r="37" spans="1:29" s="102"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93"/>
      <c r="Q37" s="528" t="str">
        <f t="shared" si="11"/>
        <v>市政基础设施</v>
      </c>
      <c r="R37" s="662" t="s">
        <v>14</v>
      </c>
      <c r="S37" s="663">
        <f t="shared" si="12"/>
        <v>100</v>
      </c>
      <c r="T37" s="662" t="s">
        <v>14</v>
      </c>
      <c r="U37" s="663">
        <f t="shared" si="13"/>
        <v>100</v>
      </c>
      <c r="V37" s="662" t="s">
        <v>14</v>
      </c>
      <c r="W37" s="663">
        <f t="shared" si="14"/>
        <v>100</v>
      </c>
      <c r="X37" s="664"/>
      <c r="Y37" s="3495"/>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93" t="s">
        <v>1696</v>
      </c>
      <c r="Q38" s="1260" t="str">
        <f t="shared" si="11"/>
        <v>业态</v>
      </c>
      <c r="R38" s="665" t="s">
        <v>14</v>
      </c>
      <c r="S38" s="666">
        <f t="shared" si="12"/>
        <v>100</v>
      </c>
      <c r="T38" s="665" t="s">
        <v>14</v>
      </c>
      <c r="U38" s="666">
        <f t="shared" si="13"/>
        <v>100</v>
      </c>
      <c r="V38" s="665" t="s">
        <v>14</v>
      </c>
      <c r="W38" s="666">
        <f t="shared" si="14"/>
        <v>100</v>
      </c>
      <c r="X38" s="1262"/>
      <c r="Y38" s="3495"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93"/>
      <c r="Q39" s="1260" t="str">
        <f t="shared" si="11"/>
        <v>层高</v>
      </c>
      <c r="R39" s="665" t="s">
        <v>14</v>
      </c>
      <c r="S39" s="666">
        <f t="shared" si="12"/>
        <v>100</v>
      </c>
      <c r="T39" s="665" t="s">
        <v>14</v>
      </c>
      <c r="U39" s="666">
        <f t="shared" si="13"/>
        <v>100</v>
      </c>
      <c r="V39" s="665" t="s">
        <v>14</v>
      </c>
      <c r="W39" s="666">
        <f t="shared" si="14"/>
        <v>100</v>
      </c>
      <c r="X39" s="1262"/>
      <c r="Y39" s="3495"/>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93"/>
      <c r="Q40" s="1260" t="str">
        <f t="shared" si="11"/>
        <v>单套建筑面积</v>
      </c>
      <c r="R40" s="665" t="s">
        <v>14</v>
      </c>
      <c r="S40" s="666">
        <f t="shared" si="12"/>
        <v>100</v>
      </c>
      <c r="T40" s="665" t="s">
        <v>14</v>
      </c>
      <c r="U40" s="666">
        <f t="shared" si="13"/>
        <v>100</v>
      </c>
      <c r="V40" s="665" t="s">
        <v>14</v>
      </c>
      <c r="W40" s="666">
        <f t="shared" si="14"/>
        <v>100</v>
      </c>
      <c r="X40" s="1262"/>
      <c r="Y40" s="3495"/>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93"/>
      <c r="Q41" s="529" t="str">
        <f t="shared" si="11"/>
        <v>进深比</v>
      </c>
      <c r="R41" s="667" t="s">
        <v>14</v>
      </c>
      <c r="S41" s="668">
        <f t="shared" si="12"/>
        <v>100</v>
      </c>
      <c r="T41" s="667" t="s">
        <v>14</v>
      </c>
      <c r="U41" s="668">
        <f t="shared" si="13"/>
        <v>100</v>
      </c>
      <c r="V41" s="667" t="s">
        <v>14</v>
      </c>
      <c r="W41" s="668">
        <f t="shared" si="14"/>
        <v>100</v>
      </c>
      <c r="X41" s="669"/>
      <c r="Y41" s="3495"/>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93"/>
      <c r="Q42" s="1260" t="str">
        <f t="shared" si="11"/>
        <v>内部装修</v>
      </c>
      <c r="R42" s="665" t="s">
        <v>14</v>
      </c>
      <c r="S42" s="666">
        <f t="shared" si="12"/>
        <v>100</v>
      </c>
      <c r="T42" s="665" t="s">
        <v>14</v>
      </c>
      <c r="U42" s="666">
        <f t="shared" si="13"/>
        <v>100</v>
      </c>
      <c r="V42" s="665" t="s">
        <v>14</v>
      </c>
      <c r="W42" s="666">
        <f t="shared" si="14"/>
        <v>100</v>
      </c>
      <c r="X42" s="1262"/>
      <c r="Y42" s="3495"/>
      <c r="Z42" s="1261" t="str">
        <f t="shared" si="15"/>
        <v>内部装修</v>
      </c>
      <c r="AA42" s="1261">
        <f t="shared" si="3"/>
        <v>1</v>
      </c>
      <c r="AB42" s="1261">
        <f t="shared" si="4"/>
        <v>1</v>
      </c>
      <c r="AC42" s="1261">
        <f t="shared" si="5"/>
        <v>1</v>
      </c>
    </row>
    <row r="43" spans="1:29" ht="15">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93"/>
      <c r="Q43" s="1260" t="str">
        <f t="shared" si="11"/>
        <v>内部装修维护情况</v>
      </c>
      <c r="R43" s="665" t="s">
        <v>14</v>
      </c>
      <c r="S43" s="666">
        <f t="shared" si="12"/>
        <v>100</v>
      </c>
      <c r="T43" s="665" t="s">
        <v>14</v>
      </c>
      <c r="U43" s="666">
        <f t="shared" si="13"/>
        <v>100</v>
      </c>
      <c r="V43" s="665" t="s">
        <v>14</v>
      </c>
      <c r="W43" s="666">
        <f t="shared" si="14"/>
        <v>100</v>
      </c>
      <c r="X43" s="1262"/>
      <c r="Y43" s="3495"/>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93"/>
      <c r="Q44" s="528">
        <f t="shared" si="11"/>
        <v>111</v>
      </c>
      <c r="R44" s="662" t="s">
        <v>14</v>
      </c>
      <c r="S44" s="663">
        <f t="shared" si="12"/>
        <v>100</v>
      </c>
      <c r="T44" s="662" t="s">
        <v>14</v>
      </c>
      <c r="U44" s="663">
        <f t="shared" si="13"/>
        <v>100</v>
      </c>
      <c r="V44" s="662" t="s">
        <v>14</v>
      </c>
      <c r="W44" s="663">
        <f t="shared" si="14"/>
        <v>100</v>
      </c>
      <c r="X44" s="664"/>
      <c r="Y44" s="3495"/>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93"/>
      <c r="Q45" s="1260">
        <f t="shared" si="11"/>
        <v>111</v>
      </c>
      <c r="R45" s="665" t="s">
        <v>14</v>
      </c>
      <c r="S45" s="666">
        <f t="shared" si="12"/>
        <v>100</v>
      </c>
      <c r="T45" s="665" t="s">
        <v>14</v>
      </c>
      <c r="U45" s="666">
        <f t="shared" si="13"/>
        <v>100</v>
      </c>
      <c r="V45" s="665" t="s">
        <v>14</v>
      </c>
      <c r="W45" s="666">
        <f t="shared" si="14"/>
        <v>100</v>
      </c>
      <c r="X45" s="1262"/>
      <c r="Y45" s="3495"/>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94"/>
      <c r="Q46" s="1260">
        <f t="shared" si="11"/>
        <v>111</v>
      </c>
      <c r="R46" s="665" t="s">
        <v>14</v>
      </c>
      <c r="S46" s="666">
        <f t="shared" si="12"/>
        <v>100</v>
      </c>
      <c r="T46" s="665" t="s">
        <v>14</v>
      </c>
      <c r="U46" s="666">
        <f t="shared" si="13"/>
        <v>100</v>
      </c>
      <c r="V46" s="665" t="s">
        <v>14</v>
      </c>
      <c r="W46" s="666">
        <f t="shared" si="14"/>
        <v>100</v>
      </c>
      <c r="X46" s="1262"/>
      <c r="Y46" s="3496"/>
      <c r="Z46" s="1261">
        <f t="shared" si="15"/>
        <v>111</v>
      </c>
      <c r="AA46" s="1261">
        <f t="shared" si="3"/>
        <v>1</v>
      </c>
      <c r="AB46" s="1261">
        <f t="shared" si="4"/>
        <v>1</v>
      </c>
      <c r="AC46" s="1261">
        <f t="shared" si="5"/>
        <v>1</v>
      </c>
    </row>
    <row r="47" spans="1:29" ht="15">
      <c r="A47" s="414" t="s">
        <v>1708</v>
      </c>
      <c r="B47" s="415"/>
      <c r="C47" s="1079" t="s">
        <v>0</v>
      </c>
      <c r="D47" s="416"/>
      <c r="E47" s="417"/>
      <c r="F47" s="418"/>
      <c r="G47" s="419"/>
      <c r="H47" s="420"/>
      <c r="I47" s="417"/>
      <c r="J47" s="420"/>
      <c r="K47" s="672"/>
      <c r="L47" s="2492"/>
      <c r="M47" s="2485"/>
      <c r="N47" s="2485"/>
      <c r="O47" s="2485"/>
      <c r="P47" s="3489" t="str">
        <f>A47</f>
        <v>成交单价（元/平方米）</v>
      </c>
      <c r="Q47" s="3489"/>
      <c r="R47" s="3484">
        <f>E47</f>
        <v>0</v>
      </c>
      <c r="S47" s="3484"/>
      <c r="T47" s="3484">
        <f>G47</f>
        <v>0</v>
      </c>
      <c r="U47" s="3484"/>
      <c r="V47" s="3484">
        <f>I47</f>
        <v>0</v>
      </c>
      <c r="W47" s="3484"/>
      <c r="X47" s="383"/>
      <c r="Y47" s="671"/>
      <c r="Z47" s="383"/>
      <c r="AA47" s="383"/>
      <c r="AB47" s="383"/>
      <c r="AC47" s="383"/>
    </row>
    <row r="48" spans="1:29" ht="15.75" thickBot="1">
      <c r="A48" s="421" t="s">
        <v>1793</v>
      </c>
      <c r="B48" s="422"/>
      <c r="C48" s="1080" t="e">
        <f>R49</f>
        <v>#DIV/0!</v>
      </c>
      <c r="D48" s="2138" t="s">
        <v>2135</v>
      </c>
      <c r="E48" s="1081" t="e">
        <f>R48</f>
        <v>#DIV/0!</v>
      </c>
      <c r="F48" s="2139"/>
      <c r="G48" s="1080" t="e">
        <f>T48</f>
        <v>#DIV/0!</v>
      </c>
      <c r="H48" s="2139"/>
      <c r="I48" s="1081" t="e">
        <f>V48</f>
        <v>#DIV/0!</v>
      </c>
      <c r="J48" s="2139"/>
      <c r="K48" s="2141">
        <f>F48+H48+J48</f>
        <v>0</v>
      </c>
      <c r="L48" s="2492"/>
      <c r="M48" s="2485"/>
      <c r="N48" s="2485"/>
      <c r="O48" s="2485"/>
      <c r="P48" s="3489" t="str">
        <f>A48</f>
        <v>比较价值（元/平方米）</v>
      </c>
      <c r="Q48" s="348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92"/>
      <c r="M49" s="2485"/>
      <c r="N49" s="2485"/>
      <c r="O49" s="2485"/>
      <c r="P49" s="3486" t="str">
        <f>A49</f>
        <v>估价对象XX用房的比较价值（楼面单价，元/平方米）</v>
      </c>
      <c r="Q49" s="3487"/>
      <c r="R49" s="3488" t="e">
        <f>IF(F1="售价",ROUND(IF(D48="简单平均",AVERAGE(R48:V48),R48*F48+T48*H48+V48*J48),0),ROUND(IF(D48="简单平均",AVERAGE(R48:V48),R48*F48+T48*H48+V48*J48),1))</f>
        <v>#DIV/0!</v>
      </c>
      <c r="S49" s="3488"/>
      <c r="T49" s="3488"/>
      <c r="U49" s="3488"/>
      <c r="V49" s="3488"/>
      <c r="W49" s="3488"/>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1798</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5">
      <c r="A58" s="438" t="s">
        <v>1679</v>
      </c>
      <c r="B58" s="439"/>
      <c r="C58" s="1100" t="str">
        <f>YEAR(C7)&amp;"-"&amp;MONTH(C7)</f>
        <v>2025-11</v>
      </c>
      <c r="D58" s="1101">
        <f>EDATE(C58,-1)</f>
        <v>45931</v>
      </c>
      <c r="E58" s="1101">
        <f t="shared" ref="E58:N58" si="16">EDATE(D58,-1)</f>
        <v>45901</v>
      </c>
      <c r="F58" s="1101">
        <f t="shared" si="16"/>
        <v>45870</v>
      </c>
      <c r="G58" s="1101">
        <f t="shared" si="16"/>
        <v>45839</v>
      </c>
      <c r="H58" s="1101">
        <f t="shared" si="16"/>
        <v>45809</v>
      </c>
      <c r="I58" s="1101">
        <f t="shared" si="16"/>
        <v>45778</v>
      </c>
      <c r="J58" s="1101">
        <f t="shared" si="16"/>
        <v>45748</v>
      </c>
      <c r="K58" s="1101">
        <f t="shared" si="16"/>
        <v>45717</v>
      </c>
      <c r="L58" s="1101">
        <f t="shared" si="16"/>
        <v>45689</v>
      </c>
      <c r="M58" s="1101">
        <f t="shared" si="16"/>
        <v>45658</v>
      </c>
      <c r="N58" s="1101">
        <f t="shared" si="16"/>
        <v>45627</v>
      </c>
      <c r="O58" s="1101">
        <f>EDATE(N58,-1)</f>
        <v>45597</v>
      </c>
      <c r="P58" s="2507"/>
      <c r="Q58" s="2508"/>
      <c r="R58" s="2508"/>
      <c r="S58" s="2508"/>
      <c r="T58" s="2508"/>
      <c r="U58" s="2508"/>
      <c r="V58" s="2508"/>
      <c r="W58" s="2508"/>
      <c r="X58" s="2508"/>
      <c r="Y58" s="2508"/>
      <c r="Z58" s="2508"/>
      <c r="AA58" s="2508"/>
      <c r="AB58" s="2508"/>
      <c r="AC58" s="2508"/>
    </row>
    <row r="59" spans="1:29" s="102"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75" thickBot="1">
      <c r="A60" s="447" t="s">
        <v>1716</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5">
      <c r="A61" s="453" t="s">
        <v>1681</v>
      </c>
      <c r="B61" s="442"/>
      <c r="C61" s="454" t="s">
        <v>1776</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1719</v>
      </c>
      <c r="B63" s="458" t="s">
        <v>1685</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1688</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1690</v>
      </c>
      <c r="B76" s="458" t="s">
        <v>1720</v>
      </c>
      <c r="C76" s="502" t="s">
        <v>1721</v>
      </c>
      <c r="D76" s="502" t="s">
        <v>1722</v>
      </c>
      <c r="E76" s="502" t="s">
        <v>1723</v>
      </c>
      <c r="F76" s="502" t="s">
        <v>1724</v>
      </c>
      <c r="G76" s="502" t="s">
        <v>1725</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1726</v>
      </c>
      <c r="C78" s="507" t="s">
        <v>1721</v>
      </c>
      <c r="D78" s="507" t="s">
        <v>1722</v>
      </c>
      <c r="E78" s="507" t="s">
        <v>1723</v>
      </c>
      <c r="F78" s="507" t="s">
        <v>1724</v>
      </c>
      <c r="G78" s="507" t="s">
        <v>1725</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1727</v>
      </c>
      <c r="C80" s="507" t="s">
        <v>1721</v>
      </c>
      <c r="D80" s="507" t="s">
        <v>1722</v>
      </c>
      <c r="E80" s="507" t="s">
        <v>1723</v>
      </c>
      <c r="F80" s="507" t="s">
        <v>1724</v>
      </c>
      <c r="G80" s="507" t="s">
        <v>1725</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1779</v>
      </c>
      <c r="C82" s="579" t="s">
        <v>1799</v>
      </c>
      <c r="D82" s="579" t="s">
        <v>1800</v>
      </c>
      <c r="E82" s="579" t="s">
        <v>1801</v>
      </c>
      <c r="F82" s="579" t="s">
        <v>1802</v>
      </c>
      <c r="G82" s="579" t="s">
        <v>1803</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1733</v>
      </c>
      <c r="C84" s="507" t="s">
        <v>1721</v>
      </c>
      <c r="D84" s="507" t="s">
        <v>1722</v>
      </c>
      <c r="E84" s="507" t="s">
        <v>1723</v>
      </c>
      <c r="F84" s="507" t="s">
        <v>1724</v>
      </c>
      <c r="G84" s="507" t="s">
        <v>1725</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75" thickTop="1">
      <c r="A86" s="368"/>
      <c r="B86" s="467" t="s">
        <v>1804</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1694</v>
      </c>
      <c r="B100" s="458" t="s">
        <v>1805</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1738</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1740</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1742</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1806</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1807</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1808</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1809</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1744</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1232.79</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5">
      <c r="A4" s="343" t="s">
        <v>1769</v>
      </c>
      <c r="B4" s="344"/>
      <c r="C4" s="3472" t="s">
        <v>1770</v>
      </c>
      <c r="D4" s="3473"/>
      <c r="E4" s="3474" t="s">
        <v>1771</v>
      </c>
      <c r="F4" s="3475"/>
      <c r="G4" s="3472" t="s">
        <v>1772</v>
      </c>
      <c r="H4" s="3473"/>
      <c r="I4" s="3472" t="s">
        <v>1773</v>
      </c>
      <c r="J4" s="3473"/>
      <c r="K4" s="535" t="s">
        <v>1774</v>
      </c>
      <c r="L4" s="2484"/>
      <c r="M4" s="2485"/>
      <c r="N4" s="2485"/>
      <c r="O4" s="2485"/>
      <c r="P4" s="3505" t="s">
        <v>1775</v>
      </c>
      <c r="Q4" s="3506"/>
      <c r="R4" s="3500" t="s">
        <v>1771</v>
      </c>
      <c r="S4" s="3501"/>
      <c r="T4" s="3500" t="s">
        <v>1772</v>
      </c>
      <c r="U4" s="3501"/>
      <c r="V4" s="3509" t="s">
        <v>1773</v>
      </c>
      <c r="W4" s="3509"/>
      <c r="X4" s="1806"/>
      <c r="Y4" s="3500" t="s">
        <v>1775</v>
      </c>
      <c r="Z4" s="3501"/>
      <c r="AA4" s="3499" t="s">
        <v>1771</v>
      </c>
      <c r="AB4" s="3499" t="s">
        <v>1772</v>
      </c>
      <c r="AC4" s="3502" t="s">
        <v>1773</v>
      </c>
    </row>
    <row r="5" spans="1:29" ht="15">
      <c r="A5" s="346"/>
      <c r="B5" s="347"/>
      <c r="C5" s="3465" t="s">
        <v>1673</v>
      </c>
      <c r="D5" s="3466"/>
      <c r="E5" s="3463" t="s">
        <v>1674</v>
      </c>
      <c r="F5" s="3464"/>
      <c r="G5" s="3465" t="s">
        <v>1675</v>
      </c>
      <c r="H5" s="3466"/>
      <c r="I5" s="3465" t="s">
        <v>1676</v>
      </c>
      <c r="J5" s="3466"/>
      <c r="K5" s="535"/>
      <c r="L5" s="2484"/>
      <c r="M5" s="2485"/>
      <c r="N5" s="2485"/>
      <c r="O5" s="2485"/>
      <c r="P5" s="3507"/>
      <c r="Q5" s="3479"/>
      <c r="R5" s="3461"/>
      <c r="S5" s="3462"/>
      <c r="T5" s="3461"/>
      <c r="U5" s="3462"/>
      <c r="V5" s="3484"/>
      <c r="W5" s="3484"/>
      <c r="X5" s="1262"/>
      <c r="Y5" s="3461"/>
      <c r="Z5" s="3462"/>
      <c r="AA5" s="3455"/>
      <c r="AB5" s="3455"/>
      <c r="AC5" s="3503"/>
    </row>
    <row r="6" spans="1:29" ht="15.75" thickBot="1">
      <c r="A6" s="348"/>
      <c r="B6" s="349"/>
      <c r="C6" s="3467" t="s">
        <v>1677</v>
      </c>
      <c r="D6" s="3468"/>
      <c r="E6" s="3469" t="s">
        <v>1677</v>
      </c>
      <c r="F6" s="3470"/>
      <c r="G6" s="3467" t="s">
        <v>1677</v>
      </c>
      <c r="H6" s="3468"/>
      <c r="I6" s="3467" t="s">
        <v>1677</v>
      </c>
      <c r="J6" s="3468"/>
      <c r="K6" s="535" t="s">
        <v>1678</v>
      </c>
      <c r="L6" s="2484"/>
      <c r="M6" s="2485"/>
      <c r="N6" s="2485"/>
      <c r="O6" s="2485"/>
      <c r="P6" s="3508"/>
      <c r="Q6" s="3481"/>
      <c r="R6" s="3461"/>
      <c r="S6" s="3462"/>
      <c r="T6" s="3482"/>
      <c r="U6" s="3483"/>
      <c r="V6" s="3484"/>
      <c r="W6" s="3484"/>
      <c r="X6" s="1262"/>
      <c r="Y6" s="3482"/>
      <c r="Z6" s="3483"/>
      <c r="AA6" s="3456"/>
      <c r="AB6" s="3456"/>
      <c r="AC6" s="3504"/>
    </row>
    <row r="7" spans="1:29" s="102" customFormat="1" ht="15.75" thickBot="1">
      <c r="A7" s="350" t="s">
        <v>1679</v>
      </c>
      <c r="B7" s="351"/>
      <c r="C7" s="352">
        <f>'数据-取费表'!B2</f>
        <v>45986</v>
      </c>
      <c r="D7" s="353">
        <v>100</v>
      </c>
      <c r="E7" s="354"/>
      <c r="F7" s="355">
        <f>SUMIF(59:59,YEAR(E7)&amp;"-"&amp;MONTH(E7),60:60)</f>
        <v>0</v>
      </c>
      <c r="G7" s="354"/>
      <c r="H7" s="353">
        <f>SUMIF(59:59,YEAR(G7)&amp;"-"&amp;MONTH(G7),60:60)</f>
        <v>0</v>
      </c>
      <c r="I7" s="354"/>
      <c r="J7" s="353">
        <f>SUMIF(59:59,YEAR(I7)&amp;"-"&amp;MONTH(I7),60:60)</f>
        <v>0</v>
      </c>
      <c r="K7" s="38"/>
      <c r="L7" s="2486"/>
      <c r="M7" s="2437"/>
      <c r="N7" s="2437"/>
      <c r="O7" s="2437"/>
      <c r="P7" s="3510" t="s">
        <v>1680</v>
      </c>
      <c r="Q7" s="3485"/>
      <c r="R7" s="662" t="s">
        <v>14</v>
      </c>
      <c r="S7" s="663">
        <f t="shared" ref="S7:S15" si="0">F7</f>
        <v>0</v>
      </c>
      <c r="T7" s="662" t="s">
        <v>14</v>
      </c>
      <c r="U7" s="663">
        <f t="shared" ref="U7:U15" si="1">H7</f>
        <v>0</v>
      </c>
      <c r="V7" s="662" t="s">
        <v>14</v>
      </c>
      <c r="W7" s="663">
        <f t="shared" ref="W7:W15" si="2">J7</f>
        <v>0</v>
      </c>
      <c r="X7" s="664"/>
      <c r="Y7" s="3457" t="s">
        <v>1680</v>
      </c>
      <c r="Z7" s="3458"/>
      <c r="AA7" s="50" t="e">
        <f>D7/F7</f>
        <v>#DIV/0!</v>
      </c>
      <c r="AB7" s="50" t="e">
        <f>D7/H7</f>
        <v>#DIV/0!</v>
      </c>
      <c r="AC7" s="800" t="e">
        <f>D7/J7</f>
        <v>#DIV/0!</v>
      </c>
    </row>
    <row r="8" spans="1:29" s="102"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510" t="s">
        <v>1683</v>
      </c>
      <c r="Q8" s="3458"/>
      <c r="R8" s="662" t="s">
        <v>14</v>
      </c>
      <c r="S8" s="663">
        <f t="shared" si="0"/>
        <v>100</v>
      </c>
      <c r="T8" s="662" t="s">
        <v>14</v>
      </c>
      <c r="U8" s="663">
        <f t="shared" si="1"/>
        <v>100</v>
      </c>
      <c r="V8" s="662" t="s">
        <v>14</v>
      </c>
      <c r="W8" s="663">
        <f t="shared" si="2"/>
        <v>100</v>
      </c>
      <c r="X8" s="664"/>
      <c r="Y8" s="3457" t="s">
        <v>1683</v>
      </c>
      <c r="Z8" s="3458"/>
      <c r="AA8" s="50">
        <f t="shared" ref="AA8:AA47" si="3">D8/F8</f>
        <v>1</v>
      </c>
      <c r="AB8" s="50">
        <f t="shared" ref="AB8:AB47" si="4">D8/H8</f>
        <v>1</v>
      </c>
      <c r="AC8" s="800">
        <f t="shared" ref="AC8:AC47" si="5">D8/J8</f>
        <v>1</v>
      </c>
    </row>
    <row r="9" spans="1:29" s="102"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471" t="s">
        <v>1686</v>
      </c>
      <c r="Q9" s="528" t="str">
        <f t="shared" ref="Q9:Q15" si="6">B9</f>
        <v>用途</v>
      </c>
      <c r="R9" s="662" t="s">
        <v>14</v>
      </c>
      <c r="S9" s="663">
        <f t="shared" si="0"/>
        <v>100</v>
      </c>
      <c r="T9" s="662" t="s">
        <v>14</v>
      </c>
      <c r="U9" s="663">
        <f t="shared" si="1"/>
        <v>100</v>
      </c>
      <c r="V9" s="662" t="s">
        <v>14</v>
      </c>
      <c r="W9" s="663">
        <f t="shared" si="2"/>
        <v>100</v>
      </c>
      <c r="X9" s="664"/>
      <c r="Y9" s="3401" t="s">
        <v>1687</v>
      </c>
      <c r="Z9" s="50" t="str">
        <f t="shared" ref="Z9:Z15" si="7">Q9</f>
        <v>用途</v>
      </c>
      <c r="AA9" s="50">
        <f t="shared" si="3"/>
        <v>1</v>
      </c>
      <c r="AB9" s="50">
        <f t="shared" si="4"/>
        <v>1</v>
      </c>
      <c r="AC9" s="800">
        <f t="shared" si="5"/>
        <v>1</v>
      </c>
    </row>
    <row r="10" spans="1:29" s="364" customFormat="1" ht="27">
      <c r="A10" s="361"/>
      <c r="B10" s="362" t="s">
        <v>1688</v>
      </c>
      <c r="C10" s="3130"/>
      <c r="D10" s="117">
        <v>100</v>
      </c>
      <c r="E10" s="3130"/>
      <c r="F10" s="117">
        <f>SUMIF(66:66,E10,67:67)-SUMIF(66:66,C10,67:67)+100</f>
        <v>100</v>
      </c>
      <c r="G10" s="3131"/>
      <c r="H10" s="117">
        <f>SUMIF(66:66,G10,67:67)-SUMIF(66:66,C10,67:67)+100</f>
        <v>100</v>
      </c>
      <c r="I10" s="3130"/>
      <c r="J10" s="117">
        <f>SUMIF(66:66,I10,67:67)-SUMIF(66:66,C10,67:67)+100</f>
        <v>100</v>
      </c>
      <c r="K10" s="38"/>
      <c r="L10" s="2487"/>
      <c r="M10" s="2488"/>
      <c r="N10" s="2488"/>
      <c r="O10" s="2488"/>
      <c r="P10" s="3471"/>
      <c r="Q10" s="528"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471"/>
      <c r="Q11" s="528" t="str">
        <f t="shared" si="6"/>
        <v>容积率</v>
      </c>
      <c r="R11" s="662" t="s">
        <v>14</v>
      </c>
      <c r="S11" s="663">
        <f t="shared" si="0"/>
        <v>100</v>
      </c>
      <c r="T11" s="662" t="s">
        <v>14</v>
      </c>
      <c r="U11" s="663">
        <f t="shared" si="1"/>
        <v>100</v>
      </c>
      <c r="V11" s="662" t="s">
        <v>14</v>
      </c>
      <c r="W11" s="663">
        <f t="shared" si="2"/>
        <v>100</v>
      </c>
      <c r="X11" s="664"/>
      <c r="Y11" s="3401"/>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471"/>
      <c r="Q12" s="528">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471"/>
      <c r="Q13" s="528">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800">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471"/>
      <c r="Q14" s="528">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800">
        <f t="shared" si="5"/>
        <v>1</v>
      </c>
    </row>
    <row r="15" spans="1:29" ht="15">
      <c r="A15" s="377" t="s">
        <v>1690</v>
      </c>
      <c r="B15" s="552" t="s">
        <v>1811</v>
      </c>
      <c r="C15" s="1808">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97" t="s">
        <v>1691</v>
      </c>
      <c r="Q15" s="1260" t="str">
        <f t="shared" si="6"/>
        <v>办公集聚程度</v>
      </c>
      <c r="R15" s="665" t="s">
        <v>14</v>
      </c>
      <c r="S15" s="666">
        <f t="shared" si="0"/>
        <v>100</v>
      </c>
      <c r="T15" s="665" t="s">
        <v>14</v>
      </c>
      <c r="U15" s="666">
        <f t="shared" si="1"/>
        <v>100</v>
      </c>
      <c r="V15" s="665" t="s">
        <v>14</v>
      </c>
      <c r="W15" s="666">
        <f t="shared" si="2"/>
        <v>100</v>
      </c>
      <c r="X15" s="1262"/>
      <c r="Y15" s="3490"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98"/>
      <c r="Q16" s="1260"/>
      <c r="R16" s="665"/>
      <c r="S16" s="666"/>
      <c r="T16" s="665"/>
      <c r="U16" s="666"/>
      <c r="V16" s="665"/>
      <c r="W16" s="666"/>
      <c r="X16" s="1262"/>
      <c r="Y16" s="3491"/>
      <c r="Z16" s="1261"/>
      <c r="AA16" s="1261">
        <v>1</v>
      </c>
      <c r="AB16" s="1261">
        <v>1</v>
      </c>
      <c r="AC16" s="1809">
        <v>1</v>
      </c>
    </row>
    <row r="17" spans="1:29" ht="15">
      <c r="A17" s="365"/>
      <c r="B17" s="554" t="s">
        <v>1259</v>
      </c>
      <c r="C17" s="1810">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98"/>
      <c r="Q17" s="1260" t="str">
        <f>B17</f>
        <v>交通便捷度</v>
      </c>
      <c r="R17" s="665" t="s">
        <v>14</v>
      </c>
      <c r="S17" s="666">
        <f>F17</f>
        <v>100</v>
      </c>
      <c r="T17" s="665" t="s">
        <v>14</v>
      </c>
      <c r="U17" s="666">
        <f>H17</f>
        <v>100</v>
      </c>
      <c r="V17" s="665" t="s">
        <v>14</v>
      </c>
      <c r="W17" s="666">
        <f>J17</f>
        <v>100</v>
      </c>
      <c r="X17" s="1262"/>
      <c r="Y17" s="3491"/>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98"/>
      <c r="Q18" s="1260"/>
      <c r="R18" s="665"/>
      <c r="S18" s="666"/>
      <c r="T18" s="665"/>
      <c r="U18" s="666"/>
      <c r="V18" s="665"/>
      <c r="W18" s="666"/>
      <c r="X18" s="1262"/>
      <c r="Y18" s="3491"/>
      <c r="Z18" s="1261"/>
      <c r="AA18" s="1261">
        <v>1</v>
      </c>
      <c r="AB18" s="1261">
        <v>1</v>
      </c>
      <c r="AC18" s="1809">
        <v>1</v>
      </c>
    </row>
    <row r="19" spans="1:29" ht="15">
      <c r="A19" s="365"/>
      <c r="B19" s="554" t="s">
        <v>1812</v>
      </c>
      <c r="C19" s="1810">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98"/>
      <c r="Q19" s="1260" t="str">
        <f>B19</f>
        <v>公共配套设施</v>
      </c>
      <c r="R19" s="665" t="s">
        <v>14</v>
      </c>
      <c r="S19" s="666">
        <f>F19</f>
        <v>100</v>
      </c>
      <c r="T19" s="665" t="s">
        <v>14</v>
      </c>
      <c r="U19" s="666">
        <f>H19</f>
        <v>100</v>
      </c>
      <c r="V19" s="665" t="s">
        <v>14</v>
      </c>
      <c r="W19" s="666">
        <f>J19</f>
        <v>100</v>
      </c>
      <c r="X19" s="1262"/>
      <c r="Y19" s="3491"/>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98"/>
      <c r="Q20" s="1260"/>
      <c r="R20" s="665"/>
      <c r="S20" s="666"/>
      <c r="T20" s="665"/>
      <c r="U20" s="666"/>
      <c r="V20" s="665"/>
      <c r="W20" s="666"/>
      <c r="X20" s="1262"/>
      <c r="Y20" s="3491"/>
      <c r="Z20" s="1261"/>
      <c r="AA20" s="1261">
        <v>1</v>
      </c>
      <c r="AB20" s="1261">
        <v>1</v>
      </c>
      <c r="AC20" s="1809">
        <v>1</v>
      </c>
    </row>
    <row r="21" spans="1:29" ht="15">
      <c r="A21" s="365"/>
      <c r="B21" s="555" t="s">
        <v>1813</v>
      </c>
      <c r="C21" s="1810">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98"/>
      <c r="Q21" s="1260" t="str">
        <f>B21</f>
        <v>基础设施水平</v>
      </c>
      <c r="R21" s="665" t="s">
        <v>14</v>
      </c>
      <c r="S21" s="666">
        <f>F21</f>
        <v>100</v>
      </c>
      <c r="T21" s="665" t="s">
        <v>14</v>
      </c>
      <c r="U21" s="666">
        <f>H21</f>
        <v>100</v>
      </c>
      <c r="V21" s="665" t="s">
        <v>14</v>
      </c>
      <c r="W21" s="666">
        <f>J21</f>
        <v>100</v>
      </c>
      <c r="X21" s="1262"/>
      <c r="Y21" s="3491"/>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98"/>
      <c r="Q22" s="1260"/>
      <c r="R22" s="665"/>
      <c r="S22" s="666"/>
      <c r="T22" s="665"/>
      <c r="U22" s="666"/>
      <c r="V22" s="665"/>
      <c r="W22" s="666"/>
      <c r="X22" s="1262"/>
      <c r="Y22" s="3491"/>
      <c r="Z22" s="1261"/>
      <c r="AA22" s="1261">
        <v>1</v>
      </c>
      <c r="AB22" s="1261">
        <v>1</v>
      </c>
      <c r="AC22" s="1809">
        <v>1</v>
      </c>
    </row>
    <row r="23" spans="1:29" ht="15">
      <c r="A23" s="365"/>
      <c r="B23" s="554" t="s">
        <v>1814</v>
      </c>
      <c r="C23" s="1810">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98"/>
      <c r="Q23" s="1260" t="str">
        <f>B23</f>
        <v>环境质量</v>
      </c>
      <c r="R23" s="665" t="s">
        <v>14</v>
      </c>
      <c r="S23" s="666">
        <f>F23</f>
        <v>100</v>
      </c>
      <c r="T23" s="665" t="s">
        <v>14</v>
      </c>
      <c r="U23" s="666">
        <f>H23</f>
        <v>100</v>
      </c>
      <c r="V23" s="665" t="s">
        <v>14</v>
      </c>
      <c r="W23" s="666">
        <f>J23</f>
        <v>100</v>
      </c>
      <c r="X23" s="1262"/>
      <c r="Y23" s="3491"/>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98"/>
      <c r="Q24" s="1260"/>
      <c r="R24" s="665"/>
      <c r="S24" s="666"/>
      <c r="T24" s="665"/>
      <c r="U24" s="666"/>
      <c r="V24" s="665"/>
      <c r="W24" s="666"/>
      <c r="X24" s="1262"/>
      <c r="Y24" s="3491"/>
      <c r="Z24" s="1261"/>
      <c r="AA24" s="1261">
        <v>1</v>
      </c>
      <c r="AB24" s="1261">
        <v>1</v>
      </c>
      <c r="AC24" s="1809">
        <v>1</v>
      </c>
    </row>
    <row r="25" spans="1:29" ht="27">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98"/>
      <c r="Q25" s="1260" t="str">
        <f>B25</f>
        <v>毗邻道路的类型与等级</v>
      </c>
      <c r="R25" s="665" t="s">
        <v>14</v>
      </c>
      <c r="S25" s="666">
        <f>F25</f>
        <v>100</v>
      </c>
      <c r="T25" s="665" t="s">
        <v>14</v>
      </c>
      <c r="U25" s="666">
        <f>H25</f>
        <v>100</v>
      </c>
      <c r="V25" s="665" t="s">
        <v>14</v>
      </c>
      <c r="W25" s="666">
        <f>J25</f>
        <v>100</v>
      </c>
      <c r="X25" s="1262"/>
      <c r="Y25" s="3491"/>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98"/>
      <c r="Q26" s="1260"/>
      <c r="R26" s="665"/>
      <c r="S26" s="666"/>
      <c r="T26" s="665"/>
      <c r="U26" s="666"/>
      <c r="V26" s="665"/>
      <c r="W26" s="666"/>
      <c r="X26" s="1262"/>
      <c r="Y26" s="3491"/>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98"/>
      <c r="Q27" s="1260" t="str">
        <f t="shared" ref="Q27:Q47" si="11">B27</f>
        <v>楼层</v>
      </c>
      <c r="R27" s="665" t="s">
        <v>14</v>
      </c>
      <c r="S27" s="666">
        <f>F27</f>
        <v>100</v>
      </c>
      <c r="T27" s="665" t="s">
        <v>14</v>
      </c>
      <c r="U27" s="666">
        <f>H27</f>
        <v>100</v>
      </c>
      <c r="V27" s="665" t="s">
        <v>14</v>
      </c>
      <c r="W27" s="666">
        <f>J27</f>
        <v>100</v>
      </c>
      <c r="X27" s="1262"/>
      <c r="Y27" s="3491"/>
      <c r="Z27" s="1261" t="str">
        <f>Q27</f>
        <v>楼层</v>
      </c>
      <c r="AA27" s="1261">
        <f t="shared" si="3"/>
        <v>1</v>
      </c>
      <c r="AB27" s="1261">
        <f t="shared" si="4"/>
        <v>1</v>
      </c>
      <c r="AC27" s="1809">
        <f t="shared" si="5"/>
        <v>1</v>
      </c>
    </row>
    <row r="28" spans="1:29" s="102"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98"/>
      <c r="Q28" s="528" t="str">
        <f t="shared" si="11"/>
        <v>朝向</v>
      </c>
      <c r="R28" s="662" t="s">
        <v>14</v>
      </c>
      <c r="S28" s="663">
        <f>F28</f>
        <v>100</v>
      </c>
      <c r="T28" s="662" t="s">
        <v>14</v>
      </c>
      <c r="U28" s="663">
        <f>H28</f>
        <v>100</v>
      </c>
      <c r="V28" s="662" t="s">
        <v>14</v>
      </c>
      <c r="W28" s="663">
        <f>J28</f>
        <v>100</v>
      </c>
      <c r="X28" s="664"/>
      <c r="Y28" s="3491"/>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98"/>
      <c r="Q29" s="1260">
        <f t="shared" si="11"/>
        <v>111</v>
      </c>
      <c r="R29" s="665" t="s">
        <v>14</v>
      </c>
      <c r="S29" s="666">
        <f t="shared" ref="S29:S47" si="12">F29</f>
        <v>100</v>
      </c>
      <c r="T29" s="665" t="s">
        <v>14</v>
      </c>
      <c r="U29" s="666">
        <f t="shared" ref="U29:U47" si="13">H29</f>
        <v>100</v>
      </c>
      <c r="V29" s="665" t="s">
        <v>14</v>
      </c>
      <c r="W29" s="666">
        <f t="shared" ref="W29:W47" si="14">J29</f>
        <v>100</v>
      </c>
      <c r="X29" s="1262"/>
      <c r="Y29" s="3491"/>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98"/>
      <c r="Q30" s="1260">
        <f t="shared" si="11"/>
        <v>111</v>
      </c>
      <c r="R30" s="665" t="s">
        <v>14</v>
      </c>
      <c r="S30" s="666">
        <f t="shared" si="12"/>
        <v>100</v>
      </c>
      <c r="T30" s="665" t="s">
        <v>14</v>
      </c>
      <c r="U30" s="666">
        <f t="shared" si="13"/>
        <v>100</v>
      </c>
      <c r="V30" s="665" t="s">
        <v>14</v>
      </c>
      <c r="W30" s="666">
        <f t="shared" si="14"/>
        <v>100</v>
      </c>
      <c r="X30" s="1262"/>
      <c r="Y30" s="3491"/>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98"/>
      <c r="Q31" s="1260">
        <f t="shared" si="11"/>
        <v>111</v>
      </c>
      <c r="R31" s="665" t="s">
        <v>14</v>
      </c>
      <c r="S31" s="666">
        <f t="shared" si="12"/>
        <v>100</v>
      </c>
      <c r="T31" s="665" t="s">
        <v>14</v>
      </c>
      <c r="U31" s="666">
        <f t="shared" si="13"/>
        <v>100</v>
      </c>
      <c r="V31" s="665" t="s">
        <v>14</v>
      </c>
      <c r="W31" s="666">
        <f t="shared" si="14"/>
        <v>100</v>
      </c>
      <c r="X31" s="1262"/>
      <c r="Y31" s="3491"/>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98"/>
      <c r="Q32" s="1260">
        <f t="shared" si="11"/>
        <v>111</v>
      </c>
      <c r="R32" s="665" t="s">
        <v>14</v>
      </c>
      <c r="S32" s="666">
        <f t="shared" si="12"/>
        <v>100</v>
      </c>
      <c r="T32" s="665" t="s">
        <v>14</v>
      </c>
      <c r="U32" s="666">
        <f t="shared" si="13"/>
        <v>100</v>
      </c>
      <c r="V32" s="665" t="s">
        <v>14</v>
      </c>
      <c r="W32" s="666">
        <f t="shared" si="14"/>
        <v>100</v>
      </c>
      <c r="X32" s="1262"/>
      <c r="Y32" s="3491"/>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92" t="s">
        <v>1696</v>
      </c>
      <c r="Q33" s="1260" t="str">
        <f t="shared" si="11"/>
        <v>建筑类型</v>
      </c>
      <c r="R33" s="665" t="s">
        <v>14</v>
      </c>
      <c r="S33" s="666">
        <f t="shared" si="12"/>
        <v>100</v>
      </c>
      <c r="T33" s="665" t="s">
        <v>14</v>
      </c>
      <c r="U33" s="666">
        <f t="shared" si="13"/>
        <v>100</v>
      </c>
      <c r="V33" s="665" t="s">
        <v>14</v>
      </c>
      <c r="W33" s="666">
        <f t="shared" si="14"/>
        <v>100</v>
      </c>
      <c r="X33" s="1262"/>
      <c r="Y33" s="3495"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93"/>
      <c r="Q34" s="529" t="str">
        <f t="shared" si="11"/>
        <v>项目建筑规模</v>
      </c>
      <c r="R34" s="667" t="s">
        <v>14</v>
      </c>
      <c r="S34" s="668" t="e">
        <f t="shared" si="12"/>
        <v>#N/A</v>
      </c>
      <c r="T34" s="667" t="s">
        <v>14</v>
      </c>
      <c r="U34" s="668" t="e">
        <f t="shared" si="13"/>
        <v>#N/A</v>
      </c>
      <c r="V34" s="667" t="s">
        <v>14</v>
      </c>
      <c r="W34" s="668" t="e">
        <f t="shared" si="14"/>
        <v>#N/A</v>
      </c>
      <c r="X34" s="669"/>
      <c r="Y34" s="3495"/>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93"/>
      <c r="Q35" s="1260" t="str">
        <f t="shared" si="11"/>
        <v>建筑结构</v>
      </c>
      <c r="R35" s="665" t="s">
        <v>14</v>
      </c>
      <c r="S35" s="666">
        <f t="shared" si="12"/>
        <v>100</v>
      </c>
      <c r="T35" s="665" t="s">
        <v>14</v>
      </c>
      <c r="U35" s="666">
        <f t="shared" si="13"/>
        <v>100</v>
      </c>
      <c r="V35" s="665" t="s">
        <v>14</v>
      </c>
      <c r="W35" s="666">
        <f t="shared" si="14"/>
        <v>100</v>
      </c>
      <c r="X35" s="1262"/>
      <c r="Y35" s="3495"/>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93"/>
      <c r="Q36" s="1260" t="str">
        <f t="shared" si="11"/>
        <v>公共部分装修</v>
      </c>
      <c r="R36" s="665" t="s">
        <v>14</v>
      </c>
      <c r="S36" s="666">
        <f t="shared" si="12"/>
        <v>100</v>
      </c>
      <c r="T36" s="665" t="s">
        <v>14</v>
      </c>
      <c r="U36" s="666">
        <f t="shared" si="13"/>
        <v>100</v>
      </c>
      <c r="V36" s="665" t="s">
        <v>14</v>
      </c>
      <c r="W36" s="666">
        <f t="shared" si="14"/>
        <v>100</v>
      </c>
      <c r="X36" s="1262"/>
      <c r="Y36" s="3495"/>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93"/>
      <c r="Q37" s="1260" t="str">
        <f t="shared" si="11"/>
        <v>成新度</v>
      </c>
      <c r="R37" s="665" t="s">
        <v>14</v>
      </c>
      <c r="S37" s="666" t="e">
        <f t="shared" si="12"/>
        <v>#N/A</v>
      </c>
      <c r="T37" s="665" t="s">
        <v>14</v>
      </c>
      <c r="U37" s="666" t="e">
        <f t="shared" si="13"/>
        <v>#N/A</v>
      </c>
      <c r="V37" s="665" t="s">
        <v>14</v>
      </c>
      <c r="W37" s="666" t="e">
        <f t="shared" si="14"/>
        <v>#N/A</v>
      </c>
      <c r="X37" s="1262"/>
      <c r="Y37" s="3495"/>
      <c r="Z37" s="1261" t="str">
        <f t="shared" si="15"/>
        <v>成新度</v>
      </c>
      <c r="AA37" s="1261" t="e">
        <f t="shared" si="3"/>
        <v>#N/A</v>
      </c>
      <c r="AB37" s="1261" t="e">
        <f t="shared" si="4"/>
        <v>#N/A</v>
      </c>
      <c r="AC37" s="1809"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93"/>
      <c r="Q38" s="528" t="str">
        <f t="shared" si="11"/>
        <v>写字楼等级</v>
      </c>
      <c r="R38" s="662" t="s">
        <v>14</v>
      </c>
      <c r="S38" s="663">
        <f t="shared" si="12"/>
        <v>100</v>
      </c>
      <c r="T38" s="662" t="s">
        <v>14</v>
      </c>
      <c r="U38" s="663">
        <f t="shared" si="13"/>
        <v>100</v>
      </c>
      <c r="V38" s="662" t="s">
        <v>14</v>
      </c>
      <c r="W38" s="663">
        <f t="shared" si="14"/>
        <v>100</v>
      </c>
      <c r="X38" s="664"/>
      <c r="Y38" s="3495"/>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93" t="s">
        <v>1696</v>
      </c>
      <c r="Q39" s="1260" t="str">
        <f t="shared" si="11"/>
        <v>物业管理</v>
      </c>
      <c r="R39" s="665" t="s">
        <v>14</v>
      </c>
      <c r="S39" s="666">
        <f t="shared" si="12"/>
        <v>100</v>
      </c>
      <c r="T39" s="665" t="s">
        <v>14</v>
      </c>
      <c r="U39" s="666">
        <f t="shared" si="13"/>
        <v>100</v>
      </c>
      <c r="V39" s="665" t="s">
        <v>14</v>
      </c>
      <c r="W39" s="666">
        <f t="shared" si="14"/>
        <v>100</v>
      </c>
      <c r="X39" s="1262"/>
      <c r="Y39" s="3495"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93"/>
      <c r="Q40" s="1260" t="str">
        <f t="shared" si="11"/>
        <v>市政基础设施</v>
      </c>
      <c r="R40" s="665" t="s">
        <v>14</v>
      </c>
      <c r="S40" s="666">
        <f t="shared" si="12"/>
        <v>100</v>
      </c>
      <c r="T40" s="665" t="s">
        <v>14</v>
      </c>
      <c r="U40" s="666">
        <f t="shared" si="13"/>
        <v>100</v>
      </c>
      <c r="V40" s="665" t="s">
        <v>14</v>
      </c>
      <c r="W40" s="666">
        <f t="shared" si="14"/>
        <v>100</v>
      </c>
      <c r="X40" s="1262"/>
      <c r="Y40" s="3495"/>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93"/>
      <c r="Q41" s="1260" t="str">
        <f t="shared" si="11"/>
        <v>层高</v>
      </c>
      <c r="R41" s="665" t="s">
        <v>14</v>
      </c>
      <c r="S41" s="666">
        <f t="shared" si="12"/>
        <v>100</v>
      </c>
      <c r="T41" s="665" t="s">
        <v>14</v>
      </c>
      <c r="U41" s="666">
        <f t="shared" si="13"/>
        <v>100</v>
      </c>
      <c r="V41" s="665" t="s">
        <v>14</v>
      </c>
      <c r="W41" s="666">
        <f t="shared" si="14"/>
        <v>100</v>
      </c>
      <c r="X41" s="1262"/>
      <c r="Y41" s="3495"/>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93"/>
      <c r="Q42" s="529" t="str">
        <f t="shared" si="11"/>
        <v>单套建筑面积</v>
      </c>
      <c r="R42" s="667" t="s">
        <v>14</v>
      </c>
      <c r="S42" s="668">
        <f t="shared" si="12"/>
        <v>100</v>
      </c>
      <c r="T42" s="667" t="s">
        <v>14</v>
      </c>
      <c r="U42" s="668">
        <f t="shared" si="13"/>
        <v>100</v>
      </c>
      <c r="V42" s="667" t="s">
        <v>14</v>
      </c>
      <c r="W42" s="668">
        <f t="shared" si="14"/>
        <v>100</v>
      </c>
      <c r="X42" s="669"/>
      <c r="Y42" s="3495"/>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93"/>
      <c r="Q43" s="1260" t="str">
        <f t="shared" si="11"/>
        <v>内部装修</v>
      </c>
      <c r="R43" s="665" t="s">
        <v>14</v>
      </c>
      <c r="S43" s="666">
        <f t="shared" si="12"/>
        <v>100</v>
      </c>
      <c r="T43" s="665" t="s">
        <v>14</v>
      </c>
      <c r="U43" s="666">
        <f t="shared" si="13"/>
        <v>100</v>
      </c>
      <c r="V43" s="665" t="s">
        <v>14</v>
      </c>
      <c r="W43" s="666">
        <f t="shared" si="14"/>
        <v>100</v>
      </c>
      <c r="X43" s="1262"/>
      <c r="Y43" s="3495"/>
      <c r="Z43" s="1261" t="str">
        <f t="shared" si="15"/>
        <v>内部装修</v>
      </c>
      <c r="AA43" s="1261">
        <f t="shared" si="3"/>
        <v>1</v>
      </c>
      <c r="AB43" s="1261">
        <f t="shared" si="4"/>
        <v>1</v>
      </c>
      <c r="AC43" s="1809">
        <f t="shared" si="5"/>
        <v>1</v>
      </c>
    </row>
    <row r="44" spans="1:29" ht="15">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93"/>
      <c r="Q44" s="1260" t="str">
        <f t="shared" si="11"/>
        <v>内部装修维护情况</v>
      </c>
      <c r="R44" s="665" t="s">
        <v>14</v>
      </c>
      <c r="S44" s="666">
        <f t="shared" si="12"/>
        <v>100</v>
      </c>
      <c r="T44" s="665" t="s">
        <v>14</v>
      </c>
      <c r="U44" s="666">
        <f t="shared" si="13"/>
        <v>100</v>
      </c>
      <c r="V44" s="665" t="s">
        <v>14</v>
      </c>
      <c r="W44" s="666">
        <f t="shared" si="14"/>
        <v>100</v>
      </c>
      <c r="X44" s="1262"/>
      <c r="Y44" s="3495"/>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93"/>
      <c r="Q45" s="528">
        <f t="shared" si="11"/>
        <v>111</v>
      </c>
      <c r="R45" s="662" t="s">
        <v>14</v>
      </c>
      <c r="S45" s="663">
        <f t="shared" si="12"/>
        <v>100</v>
      </c>
      <c r="T45" s="662" t="s">
        <v>14</v>
      </c>
      <c r="U45" s="663">
        <f t="shared" si="13"/>
        <v>100</v>
      </c>
      <c r="V45" s="662" t="s">
        <v>14</v>
      </c>
      <c r="W45" s="663">
        <f t="shared" si="14"/>
        <v>100</v>
      </c>
      <c r="X45" s="664"/>
      <c r="Y45" s="3495"/>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93"/>
      <c r="Q46" s="1260">
        <f t="shared" si="11"/>
        <v>111</v>
      </c>
      <c r="R46" s="665" t="s">
        <v>14</v>
      </c>
      <c r="S46" s="666">
        <f t="shared" si="12"/>
        <v>100</v>
      </c>
      <c r="T46" s="665" t="s">
        <v>14</v>
      </c>
      <c r="U46" s="666">
        <f t="shared" si="13"/>
        <v>100</v>
      </c>
      <c r="V46" s="665" t="s">
        <v>14</v>
      </c>
      <c r="W46" s="666">
        <f t="shared" si="14"/>
        <v>100</v>
      </c>
      <c r="X46" s="1262"/>
      <c r="Y46" s="3495"/>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94"/>
      <c r="Q47" s="1260">
        <f t="shared" si="11"/>
        <v>111</v>
      </c>
      <c r="R47" s="665" t="s">
        <v>14</v>
      </c>
      <c r="S47" s="666">
        <f t="shared" si="12"/>
        <v>100</v>
      </c>
      <c r="T47" s="665" t="s">
        <v>14</v>
      </c>
      <c r="U47" s="666">
        <f t="shared" si="13"/>
        <v>100</v>
      </c>
      <c r="V47" s="665" t="s">
        <v>14</v>
      </c>
      <c r="W47" s="666">
        <f t="shared" si="14"/>
        <v>100</v>
      </c>
      <c r="X47" s="1262"/>
      <c r="Y47" s="3496"/>
      <c r="Z47" s="1261">
        <f t="shared" si="15"/>
        <v>111</v>
      </c>
      <c r="AA47" s="1261">
        <f t="shared" si="3"/>
        <v>1</v>
      </c>
      <c r="AB47" s="1261">
        <f t="shared" si="4"/>
        <v>1</v>
      </c>
      <c r="AC47" s="1809">
        <f t="shared" si="5"/>
        <v>1</v>
      </c>
    </row>
    <row r="48" spans="1:29" ht="15">
      <c r="A48" s="414" t="s">
        <v>1708</v>
      </c>
      <c r="B48" s="415"/>
      <c r="C48" s="1079" t="s">
        <v>0</v>
      </c>
      <c r="D48" s="416"/>
      <c r="E48" s="417"/>
      <c r="F48" s="418"/>
      <c r="G48" s="419"/>
      <c r="H48" s="420"/>
      <c r="I48" s="417"/>
      <c r="J48" s="420"/>
      <c r="K48" s="672"/>
      <c r="L48" s="2492"/>
      <c r="M48" s="2485"/>
      <c r="N48" s="2485"/>
      <c r="O48" s="2485"/>
      <c r="P48" s="3471" t="str">
        <f>A48</f>
        <v>成交单价（元/平方米）</v>
      </c>
      <c r="Q48" s="3489"/>
      <c r="R48" s="3484">
        <f>E48</f>
        <v>0</v>
      </c>
      <c r="S48" s="3484"/>
      <c r="T48" s="3484">
        <f>G48</f>
        <v>0</v>
      </c>
      <c r="U48" s="3484"/>
      <c r="V48" s="3484">
        <f>I48</f>
        <v>0</v>
      </c>
      <c r="W48" s="3484"/>
      <c r="X48" s="383"/>
      <c r="Y48" s="671"/>
      <c r="Z48" s="383"/>
      <c r="AA48" s="383"/>
      <c r="AB48" s="383"/>
      <c r="AC48" s="553"/>
    </row>
    <row r="49" spans="1:29" ht="15.75" thickBot="1">
      <c r="A49" s="421" t="s">
        <v>1793</v>
      </c>
      <c r="B49" s="422"/>
      <c r="C49" s="1080" t="e">
        <f>R50</f>
        <v>#DIV/0!</v>
      </c>
      <c r="D49" s="2138" t="s">
        <v>2135</v>
      </c>
      <c r="E49" s="1081" t="e">
        <f>R49</f>
        <v>#DIV/0!</v>
      </c>
      <c r="F49" s="2139"/>
      <c r="G49" s="1080" t="e">
        <f>T49</f>
        <v>#DIV/0!</v>
      </c>
      <c r="H49" s="2139"/>
      <c r="I49" s="1081" t="e">
        <f>V49</f>
        <v>#DIV/0!</v>
      </c>
      <c r="J49" s="2139"/>
      <c r="K49" s="2141">
        <f>F49+H49+J49</f>
        <v>0</v>
      </c>
      <c r="L49" s="2492"/>
      <c r="M49" s="2485"/>
      <c r="N49" s="2485"/>
      <c r="O49" s="2485"/>
      <c r="P49" s="3471" t="str">
        <f>A49</f>
        <v>比较价值（元/平方米）</v>
      </c>
      <c r="Q49" s="3489"/>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92"/>
      <c r="M50" s="2485"/>
      <c r="N50" s="2485"/>
      <c r="O50" s="2485"/>
      <c r="P50" s="3511" t="str">
        <f>A50</f>
        <v>估价对象XX用房的比较价值（楼面单价，元/平方米）</v>
      </c>
      <c r="Q50" s="3512"/>
      <c r="R50" s="3513" t="e">
        <f>IF(F1="售价",ROUND(IF(D49="简单平均",AVERAGE(R49:V49),R49*F49+T49*H49+V49*J49),0),ROUND(IF(D49="简单平均",AVERAGE(R49:V49),R49*F49+T49*H49+V49*J49),1))</f>
        <v>#DIV/0!</v>
      </c>
      <c r="S50" s="3513"/>
      <c r="T50" s="3513"/>
      <c r="U50" s="3513"/>
      <c r="V50" s="3513"/>
      <c r="W50" s="3513"/>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1798</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5">
      <c r="A59" s="438" t="s">
        <v>1679</v>
      </c>
      <c r="B59" s="439"/>
      <c r="C59" s="1100" t="str">
        <f>YEAR(C7)&amp;"-"&amp;MONTH(C7)</f>
        <v>2025-11</v>
      </c>
      <c r="D59" s="1101">
        <f>EDATE(C59,-1)</f>
        <v>45931</v>
      </c>
      <c r="E59" s="1101">
        <f>EDATE(D59,-1)</f>
        <v>45901</v>
      </c>
      <c r="F59" s="1101">
        <f t="shared" ref="F59:O59" si="16">EDATE(E59,-1)</f>
        <v>45870</v>
      </c>
      <c r="G59" s="1101">
        <f t="shared" si="16"/>
        <v>45839</v>
      </c>
      <c r="H59" s="1101">
        <f t="shared" si="16"/>
        <v>45809</v>
      </c>
      <c r="I59" s="1101">
        <f t="shared" si="16"/>
        <v>45778</v>
      </c>
      <c r="J59" s="1101">
        <f t="shared" si="16"/>
        <v>45748</v>
      </c>
      <c r="K59" s="1101">
        <f t="shared" si="16"/>
        <v>45717</v>
      </c>
      <c r="L59" s="1101">
        <f t="shared" si="16"/>
        <v>45689</v>
      </c>
      <c r="M59" s="1101">
        <f t="shared" si="16"/>
        <v>45658</v>
      </c>
      <c r="N59" s="1101">
        <f t="shared" si="16"/>
        <v>45627</v>
      </c>
      <c r="O59" s="1101">
        <f t="shared" si="16"/>
        <v>45597</v>
      </c>
      <c r="P59" s="2525"/>
      <c r="Q59" s="2508"/>
      <c r="R59" s="2508"/>
      <c r="S59" s="2508"/>
      <c r="T59" s="2508"/>
      <c r="U59" s="2508"/>
      <c r="V59" s="2508"/>
      <c r="W59" s="2508"/>
      <c r="X59" s="2508"/>
      <c r="Y59" s="2508"/>
      <c r="Z59" s="2508"/>
      <c r="AA59" s="2508"/>
      <c r="AB59" s="2508"/>
      <c r="AC59" s="2508"/>
    </row>
    <row r="60" spans="1:29" s="102"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75" thickBot="1">
      <c r="A61" s="447" t="s">
        <v>1716</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5">
      <c r="A62" s="453" t="s">
        <v>1681</v>
      </c>
      <c r="B62" s="442"/>
      <c r="C62" s="454" t="s">
        <v>1776</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1719</v>
      </c>
      <c r="B64" s="458" t="s">
        <v>1685</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1688</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1690</v>
      </c>
      <c r="B77" s="458" t="s">
        <v>1821</v>
      </c>
      <c r="C77" s="502" t="s">
        <v>1721</v>
      </c>
      <c r="D77" s="502" t="s">
        <v>1722</v>
      </c>
      <c r="E77" s="502" t="s">
        <v>1723</v>
      </c>
      <c r="F77" s="502" t="s">
        <v>1724</v>
      </c>
      <c r="G77" s="502" t="s">
        <v>1725</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1726</v>
      </c>
      <c r="C79" s="507" t="s">
        <v>1721</v>
      </c>
      <c r="D79" s="507" t="s">
        <v>1722</v>
      </c>
      <c r="E79" s="507" t="s">
        <v>1723</v>
      </c>
      <c r="F79" s="507" t="s">
        <v>1724</v>
      </c>
      <c r="G79" s="507" t="s">
        <v>1725</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1727</v>
      </c>
      <c r="C81" s="507" t="s">
        <v>1721</v>
      </c>
      <c r="D81" s="507" t="s">
        <v>1722</v>
      </c>
      <c r="E81" s="507" t="s">
        <v>1723</v>
      </c>
      <c r="F81" s="507" t="s">
        <v>1724</v>
      </c>
      <c r="G81" s="507" t="s">
        <v>1725</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1813</v>
      </c>
      <c r="C83" s="579" t="s">
        <v>1799</v>
      </c>
      <c r="D83" s="579" t="s">
        <v>1800</v>
      </c>
      <c r="E83" s="579" t="s">
        <v>1801</v>
      </c>
      <c r="F83" s="579" t="s">
        <v>1802</v>
      </c>
      <c r="G83" s="579" t="s">
        <v>1803</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1822</v>
      </c>
      <c r="C85" s="507" t="s">
        <v>1721</v>
      </c>
      <c r="D85" s="507" t="s">
        <v>1722</v>
      </c>
      <c r="E85" s="507" t="s">
        <v>1723</v>
      </c>
      <c r="F85" s="507" t="s">
        <v>1724</v>
      </c>
      <c r="G85" s="507" t="s">
        <v>1725</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7.75" thickTop="1">
      <c r="A87" s="368"/>
      <c r="B87" s="467" t="s">
        <v>1823</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1694</v>
      </c>
      <c r="B101" s="458" t="s">
        <v>1736</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1738</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1740</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1824</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1741</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1742</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1825</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1808</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1744</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估价对象为房地产，为所有。根据《国有土地使用证》[]，估价对象（分摊）出让国有建设用地使用权面积为891.05平方米，建筑面积为1232.79平方米。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估价对象为房地产,属开发建设的，该项目尚在开发建设中。根据《国有土地使用证》[]，估价对象（分摊）出让国有建设用地使用权面积为891.05平方米，规划建筑面积为1232.79平方米。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2025年11月25日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1232.79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1769</v>
      </c>
      <c r="B4" s="344"/>
      <c r="C4" s="3472" t="s">
        <v>1770</v>
      </c>
      <c r="D4" s="3473"/>
      <c r="E4" s="3474" t="s">
        <v>1771</v>
      </c>
      <c r="F4" s="3475"/>
      <c r="G4" s="3472" t="s">
        <v>1772</v>
      </c>
      <c r="H4" s="3473"/>
      <c r="I4" s="3472" t="s">
        <v>1773</v>
      </c>
      <c r="J4" s="3473"/>
      <c r="K4" s="535" t="s">
        <v>1774</v>
      </c>
      <c r="L4" s="858"/>
      <c r="M4" s="859"/>
      <c r="N4" s="859"/>
      <c r="O4" s="859"/>
      <c r="P4" s="3476" t="s">
        <v>1775</v>
      </c>
      <c r="Q4" s="3477"/>
      <c r="R4" s="3459" t="s">
        <v>1771</v>
      </c>
      <c r="S4" s="3460"/>
      <c r="T4" s="3459" t="s">
        <v>1772</v>
      </c>
      <c r="U4" s="3460"/>
      <c r="V4" s="3484" t="s">
        <v>1773</v>
      </c>
      <c r="W4" s="3484"/>
      <c r="X4" s="1262"/>
      <c r="Y4" s="3459" t="s">
        <v>1775</v>
      </c>
      <c r="Z4" s="3460"/>
      <c r="AA4" s="3454" t="s">
        <v>1771</v>
      </c>
      <c r="AB4" s="3455" t="s">
        <v>1772</v>
      </c>
      <c r="AC4" s="3454" t="s">
        <v>1773</v>
      </c>
    </row>
    <row r="5" spans="1:29" ht="15">
      <c r="A5" s="346"/>
      <c r="B5" s="347"/>
      <c r="C5" s="3465" t="s">
        <v>1673</v>
      </c>
      <c r="D5" s="3466"/>
      <c r="E5" s="3463" t="s">
        <v>1674</v>
      </c>
      <c r="F5" s="3464"/>
      <c r="G5" s="3465" t="s">
        <v>1675</v>
      </c>
      <c r="H5" s="3466"/>
      <c r="I5" s="3465" t="s">
        <v>1676</v>
      </c>
      <c r="J5" s="3466"/>
      <c r="K5" s="535"/>
      <c r="L5" s="858"/>
      <c r="M5" s="859"/>
      <c r="N5" s="859"/>
      <c r="O5" s="859"/>
      <c r="P5" s="3478"/>
      <c r="Q5" s="3479"/>
      <c r="R5" s="3461"/>
      <c r="S5" s="3462"/>
      <c r="T5" s="3461"/>
      <c r="U5" s="3462"/>
      <c r="V5" s="3484"/>
      <c r="W5" s="3484"/>
      <c r="X5" s="1262"/>
      <c r="Y5" s="3461"/>
      <c r="Z5" s="3462"/>
      <c r="AA5" s="3455"/>
      <c r="AB5" s="3455"/>
      <c r="AC5" s="3455"/>
    </row>
    <row r="6" spans="1:29" ht="15.75" thickBot="1">
      <c r="A6" s="348"/>
      <c r="B6" s="349"/>
      <c r="C6" s="3467" t="s">
        <v>1677</v>
      </c>
      <c r="D6" s="3468"/>
      <c r="E6" s="3469" t="s">
        <v>1677</v>
      </c>
      <c r="F6" s="3470"/>
      <c r="G6" s="3467" t="s">
        <v>1677</v>
      </c>
      <c r="H6" s="3468"/>
      <c r="I6" s="3467" t="s">
        <v>1677</v>
      </c>
      <c r="J6" s="3468"/>
      <c r="K6" s="535" t="s">
        <v>1678</v>
      </c>
      <c r="L6" s="858"/>
      <c r="M6" s="859"/>
      <c r="N6" s="859"/>
      <c r="O6" s="859"/>
      <c r="P6" s="3480"/>
      <c r="Q6" s="3481"/>
      <c r="R6" s="3461"/>
      <c r="S6" s="3462"/>
      <c r="T6" s="3482"/>
      <c r="U6" s="3483"/>
      <c r="V6" s="3484"/>
      <c r="W6" s="3484"/>
      <c r="X6" s="1262"/>
      <c r="Y6" s="3482"/>
      <c r="Z6" s="3483"/>
      <c r="AA6" s="3456"/>
      <c r="AB6" s="3456"/>
      <c r="AC6" s="3456"/>
    </row>
    <row r="7" spans="1:29" s="102" customFormat="1" ht="15.75" thickBot="1">
      <c r="A7" s="350" t="s">
        <v>1679</v>
      </c>
      <c r="B7" s="351"/>
      <c r="C7" s="352">
        <f>'数据-取费表'!B2</f>
        <v>45986</v>
      </c>
      <c r="D7" s="353">
        <v>100</v>
      </c>
      <c r="E7" s="354"/>
      <c r="F7" s="355">
        <f>SUMIF(52:52,YEAR(E7)&amp;"-"&amp;MONTH(E7),53:53)</f>
        <v>0</v>
      </c>
      <c r="G7" s="354"/>
      <c r="H7" s="353">
        <f>SUMIF(52:52,YEAR(G7)&amp;"-"&amp;MONTH(G7),53:53)</f>
        <v>0</v>
      </c>
      <c r="I7" s="354"/>
      <c r="J7" s="353">
        <f>SUMIF(52:52,YEAR(I7)&amp;"-"&amp;MONTH(I7),53:53)</f>
        <v>0</v>
      </c>
      <c r="K7" s="38"/>
      <c r="L7" s="860"/>
      <c r="M7" s="861"/>
      <c r="N7" s="861"/>
      <c r="O7" s="861"/>
      <c r="P7" s="3457" t="s">
        <v>1680</v>
      </c>
      <c r="Q7" s="3485"/>
      <c r="R7" s="662" t="s">
        <v>14</v>
      </c>
      <c r="S7" s="663">
        <f t="shared" ref="S7:S15" si="0">F7</f>
        <v>0</v>
      </c>
      <c r="T7" s="662" t="s">
        <v>14</v>
      </c>
      <c r="U7" s="663">
        <f t="shared" ref="U7:U15" si="1">H7</f>
        <v>0</v>
      </c>
      <c r="V7" s="662" t="s">
        <v>14</v>
      </c>
      <c r="W7" s="663">
        <f t="shared" ref="W7:W15" si="2">J7</f>
        <v>0</v>
      </c>
      <c r="X7" s="664"/>
      <c r="Y7" s="3457" t="s">
        <v>1680</v>
      </c>
      <c r="Z7" s="3458"/>
      <c r="AA7" s="50" t="e">
        <f>D7/F7</f>
        <v>#DIV/0!</v>
      </c>
      <c r="AB7" s="50" t="e">
        <f>D7/H7</f>
        <v>#DIV/0!</v>
      </c>
      <c r="AC7" s="50" t="e">
        <f>D7/J7</f>
        <v>#DIV/0!</v>
      </c>
    </row>
    <row r="8" spans="1:29" s="102"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57" t="s">
        <v>1683</v>
      </c>
      <c r="Q8" s="3458"/>
      <c r="R8" s="662" t="s">
        <v>14</v>
      </c>
      <c r="S8" s="663">
        <f t="shared" si="0"/>
        <v>100</v>
      </c>
      <c r="T8" s="662" t="s">
        <v>14</v>
      </c>
      <c r="U8" s="663">
        <f t="shared" si="1"/>
        <v>100</v>
      </c>
      <c r="V8" s="662" t="s">
        <v>14</v>
      </c>
      <c r="W8" s="663">
        <f t="shared" si="2"/>
        <v>100</v>
      </c>
      <c r="X8" s="664"/>
      <c r="Y8" s="3457" t="s">
        <v>1683</v>
      </c>
      <c r="Z8" s="3458"/>
      <c r="AA8" s="50">
        <f t="shared" ref="AA8:AA40" si="3">D8/F8</f>
        <v>1</v>
      </c>
      <c r="AB8" s="50">
        <f t="shared" ref="AB8:AB40" si="4">D8/H8</f>
        <v>1</v>
      </c>
      <c r="AC8" s="50">
        <f t="shared" ref="AC8:AC40" si="5">D8/J8</f>
        <v>1</v>
      </c>
    </row>
    <row r="9" spans="1:29" s="102"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89" t="s">
        <v>1686</v>
      </c>
      <c r="Q9" s="528" t="str">
        <f t="shared" ref="Q9:Q15" si="6">B9</f>
        <v>用途</v>
      </c>
      <c r="R9" s="662" t="s">
        <v>14</v>
      </c>
      <c r="S9" s="663">
        <f t="shared" si="0"/>
        <v>100</v>
      </c>
      <c r="T9" s="662" t="s">
        <v>14</v>
      </c>
      <c r="U9" s="663">
        <f t="shared" si="1"/>
        <v>100</v>
      </c>
      <c r="V9" s="662" t="s">
        <v>14</v>
      </c>
      <c r="W9" s="663">
        <f t="shared" si="2"/>
        <v>100</v>
      </c>
      <c r="X9" s="664"/>
      <c r="Y9" s="3401" t="s">
        <v>1687</v>
      </c>
      <c r="Z9" s="50" t="str">
        <f t="shared" ref="Z9:Z15" si="7">Q9</f>
        <v>用途</v>
      </c>
      <c r="AA9" s="50">
        <f t="shared" si="3"/>
        <v>1</v>
      </c>
      <c r="AB9" s="50">
        <f t="shared" si="4"/>
        <v>1</v>
      </c>
      <c r="AC9" s="50">
        <f t="shared" si="5"/>
        <v>1</v>
      </c>
    </row>
    <row r="10" spans="1:29" s="364" customFormat="1" ht="27">
      <c r="A10" s="361"/>
      <c r="B10" s="362" t="s">
        <v>1688</v>
      </c>
      <c r="C10" s="3130"/>
      <c r="D10" s="117">
        <v>100</v>
      </c>
      <c r="E10" s="3130"/>
      <c r="F10" s="117">
        <f>SUMIF(59:59,E10,60:60)-SUMIF(59:59,C10,60:60)+100</f>
        <v>100</v>
      </c>
      <c r="G10" s="3131"/>
      <c r="H10" s="117">
        <f>SUMIF(59:59,G10,60:60)-SUMIF(59:59,C10,60:60)+100</f>
        <v>100</v>
      </c>
      <c r="I10" s="3130"/>
      <c r="J10" s="117">
        <f>SUMIF(59:59,I10,60:60)-SUMIF(59:59,C10,60:60)+100</f>
        <v>100</v>
      </c>
      <c r="K10" s="38"/>
      <c r="L10" s="863"/>
      <c r="M10" s="864"/>
      <c r="N10" s="864"/>
      <c r="O10" s="865"/>
      <c r="P10" s="3489"/>
      <c r="Q10" s="528"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89"/>
      <c r="Q11" s="528" t="str">
        <f t="shared" si="6"/>
        <v>容积率</v>
      </c>
      <c r="R11" s="662" t="s">
        <v>14</v>
      </c>
      <c r="S11" s="663">
        <f t="shared" si="0"/>
        <v>100</v>
      </c>
      <c r="T11" s="662" t="s">
        <v>14</v>
      </c>
      <c r="U11" s="663">
        <f t="shared" si="1"/>
        <v>100</v>
      </c>
      <c r="V11" s="662" t="s">
        <v>14</v>
      </c>
      <c r="W11" s="663">
        <f t="shared" si="2"/>
        <v>100</v>
      </c>
      <c r="X11" s="664"/>
      <c r="Y11" s="3401"/>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489"/>
      <c r="Q12" s="528">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489"/>
      <c r="Q13" s="528">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489"/>
      <c r="Q14" s="528">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50">
        <f t="shared" si="5"/>
        <v>1</v>
      </c>
    </row>
    <row r="15" spans="1:29" ht="15">
      <c r="A15" s="377" t="s">
        <v>1690</v>
      </c>
      <c r="B15" s="58" t="s">
        <v>1827</v>
      </c>
      <c r="C15" s="1816">
        <f>估价对象房地状况!G3</f>
        <v>0</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90" t="s">
        <v>1691</v>
      </c>
      <c r="Q15" s="1260" t="str">
        <f t="shared" si="6"/>
        <v>产业集聚程度</v>
      </c>
      <c r="R15" s="665" t="s">
        <v>14</v>
      </c>
      <c r="S15" s="666">
        <f t="shared" si="0"/>
        <v>100</v>
      </c>
      <c r="T15" s="665" t="s">
        <v>14</v>
      </c>
      <c r="U15" s="666">
        <f t="shared" si="1"/>
        <v>100</v>
      </c>
      <c r="V15" s="665" t="s">
        <v>14</v>
      </c>
      <c r="W15" s="666">
        <f t="shared" si="2"/>
        <v>100</v>
      </c>
      <c r="X15" s="1262"/>
      <c r="Y15" s="3490"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91"/>
      <c r="Q16" s="1260"/>
      <c r="R16" s="665"/>
      <c r="S16" s="666"/>
      <c r="T16" s="665"/>
      <c r="U16" s="666"/>
      <c r="V16" s="665"/>
      <c r="W16" s="666"/>
      <c r="X16" s="1262"/>
      <c r="Y16" s="3491"/>
      <c r="Z16" s="1261"/>
      <c r="AA16" s="1261">
        <v>1</v>
      </c>
      <c r="AB16" s="1261">
        <v>1</v>
      </c>
      <c r="AC16" s="1261">
        <v>1</v>
      </c>
    </row>
    <row r="17" spans="1:29" ht="15">
      <c r="A17" s="365"/>
      <c r="B17" s="388" t="s">
        <v>1259</v>
      </c>
      <c r="C17" s="1751">
        <f>估价对象房地状况!G4</f>
        <v>0</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91"/>
      <c r="Q17" s="1260" t="str">
        <f>B17</f>
        <v>交通便捷度</v>
      </c>
      <c r="R17" s="665" t="s">
        <v>14</v>
      </c>
      <c r="S17" s="666">
        <f>F17</f>
        <v>100</v>
      </c>
      <c r="T17" s="665" t="s">
        <v>14</v>
      </c>
      <c r="U17" s="666">
        <f>H17</f>
        <v>100</v>
      </c>
      <c r="V17" s="665" t="s">
        <v>14</v>
      </c>
      <c r="W17" s="666">
        <f>J17</f>
        <v>100</v>
      </c>
      <c r="X17" s="1262"/>
      <c r="Y17" s="3491"/>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491"/>
      <c r="Q18" s="1260"/>
      <c r="R18" s="665"/>
      <c r="S18" s="666"/>
      <c r="T18" s="665"/>
      <c r="U18" s="666"/>
      <c r="V18" s="665"/>
      <c r="W18" s="666"/>
      <c r="X18" s="1262"/>
      <c r="Y18" s="3491"/>
      <c r="Z18" s="1261"/>
      <c r="AA18" s="1261">
        <v>1</v>
      </c>
      <c r="AB18" s="1261">
        <v>1</v>
      </c>
      <c r="AC18" s="1261">
        <v>1</v>
      </c>
    </row>
    <row r="19" spans="1:29" ht="15">
      <c r="A19" s="365"/>
      <c r="B19" s="388" t="s">
        <v>1812</v>
      </c>
      <c r="C19" s="1751">
        <f>估价对象房地状况!G5</f>
        <v>0</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91"/>
      <c r="Q19" s="1260" t="str">
        <f>B19</f>
        <v>公共配套设施</v>
      </c>
      <c r="R19" s="665" t="s">
        <v>14</v>
      </c>
      <c r="S19" s="666">
        <f>F19</f>
        <v>100</v>
      </c>
      <c r="T19" s="665" t="s">
        <v>14</v>
      </c>
      <c r="U19" s="666">
        <f>H19</f>
        <v>100</v>
      </c>
      <c r="V19" s="665" t="s">
        <v>14</v>
      </c>
      <c r="W19" s="666">
        <f>J19</f>
        <v>100</v>
      </c>
      <c r="X19" s="1262"/>
      <c r="Y19" s="3491"/>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491"/>
      <c r="Q20" s="1260"/>
      <c r="R20" s="665"/>
      <c r="S20" s="666"/>
      <c r="T20" s="665"/>
      <c r="U20" s="666"/>
      <c r="V20" s="665"/>
      <c r="W20" s="666"/>
      <c r="X20" s="1262"/>
      <c r="Y20" s="3491"/>
      <c r="Z20" s="1261"/>
      <c r="AA20" s="1261">
        <v>1</v>
      </c>
      <c r="AB20" s="1261">
        <v>1</v>
      </c>
      <c r="AC20" s="1261">
        <v>1</v>
      </c>
    </row>
    <row r="21" spans="1:29" ht="15">
      <c r="A21" s="365"/>
      <c r="B21" s="584" t="s">
        <v>1813</v>
      </c>
      <c r="C21" s="1751">
        <f>估价对象房地状况!G6</f>
        <v>0</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91"/>
      <c r="Q21" s="1260" t="str">
        <f>B21</f>
        <v>基础设施水平</v>
      </c>
      <c r="R21" s="665" t="s">
        <v>14</v>
      </c>
      <c r="S21" s="666">
        <f>F21</f>
        <v>100</v>
      </c>
      <c r="T21" s="665" t="s">
        <v>14</v>
      </c>
      <c r="U21" s="666">
        <f>H21</f>
        <v>100</v>
      </c>
      <c r="V21" s="665" t="s">
        <v>14</v>
      </c>
      <c r="W21" s="666">
        <f>J21</f>
        <v>100</v>
      </c>
      <c r="X21" s="1262"/>
      <c r="Y21" s="349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491"/>
      <c r="Q22" s="1260"/>
      <c r="R22" s="665"/>
      <c r="S22" s="666"/>
      <c r="T22" s="665"/>
      <c r="U22" s="666"/>
      <c r="V22" s="665"/>
      <c r="W22" s="666"/>
      <c r="X22" s="1262"/>
      <c r="Y22" s="3491"/>
      <c r="Z22" s="1261"/>
      <c r="AA22" s="1261">
        <v>1</v>
      </c>
      <c r="AB22" s="1261">
        <v>1</v>
      </c>
      <c r="AC22" s="1261">
        <v>1</v>
      </c>
    </row>
    <row r="23" spans="1:29" ht="15">
      <c r="A23" s="365"/>
      <c r="B23" s="388" t="s">
        <v>1814</v>
      </c>
      <c r="C23" s="1751">
        <f>估价对象房地状况!G7</f>
        <v>0</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91"/>
      <c r="Q23" s="1260" t="str">
        <f>B23</f>
        <v>环境质量</v>
      </c>
      <c r="R23" s="665" t="s">
        <v>14</v>
      </c>
      <c r="S23" s="666">
        <f>F23</f>
        <v>100</v>
      </c>
      <c r="T23" s="665" t="s">
        <v>14</v>
      </c>
      <c r="U23" s="666">
        <f>H23</f>
        <v>100</v>
      </c>
      <c r="V23" s="665" t="s">
        <v>14</v>
      </c>
      <c r="W23" s="666">
        <f>J23</f>
        <v>100</v>
      </c>
      <c r="X23" s="1262"/>
      <c r="Y23" s="3491"/>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491"/>
      <c r="Q24" s="1260"/>
      <c r="R24" s="665"/>
      <c r="S24" s="666"/>
      <c r="T24" s="665"/>
      <c r="U24" s="666"/>
      <c r="V24" s="665"/>
      <c r="W24" s="666"/>
      <c r="X24" s="1262"/>
      <c r="Y24" s="3491"/>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91"/>
      <c r="Q25" s="1260">
        <f>B25</f>
        <v>111</v>
      </c>
      <c r="R25" s="665" t="s">
        <v>14</v>
      </c>
      <c r="S25" s="666">
        <f>F25</f>
        <v>100</v>
      </c>
      <c r="T25" s="665" t="s">
        <v>14</v>
      </c>
      <c r="U25" s="666">
        <f>H25</f>
        <v>100</v>
      </c>
      <c r="V25" s="665" t="s">
        <v>14</v>
      </c>
      <c r="W25" s="666">
        <f>J25</f>
        <v>100</v>
      </c>
      <c r="X25" s="1262"/>
      <c r="Y25" s="3491"/>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91"/>
      <c r="Q26" s="1260">
        <f t="shared" ref="Q26:Q40" si="11">B26</f>
        <v>111</v>
      </c>
      <c r="R26" s="665" t="s">
        <v>14</v>
      </c>
      <c r="S26" s="666">
        <f>F26</f>
        <v>100</v>
      </c>
      <c r="T26" s="665" t="s">
        <v>14</v>
      </c>
      <c r="U26" s="666">
        <f>H26</f>
        <v>100</v>
      </c>
      <c r="V26" s="665" t="s">
        <v>14</v>
      </c>
      <c r="W26" s="666">
        <f>J26</f>
        <v>100</v>
      </c>
      <c r="X26" s="1262"/>
      <c r="Y26" s="3491"/>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91"/>
      <c r="Q27" s="528">
        <f t="shared" si="11"/>
        <v>111</v>
      </c>
      <c r="R27" s="662" t="s">
        <v>14</v>
      </c>
      <c r="S27" s="663">
        <f>F27</f>
        <v>100</v>
      </c>
      <c r="T27" s="662" t="s">
        <v>14</v>
      </c>
      <c r="U27" s="663">
        <f>H27</f>
        <v>100</v>
      </c>
      <c r="V27" s="662" t="s">
        <v>14</v>
      </c>
      <c r="W27" s="663">
        <f>J27</f>
        <v>100</v>
      </c>
      <c r="X27" s="664"/>
      <c r="Y27" s="3491"/>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91"/>
      <c r="Q28" s="1260">
        <f t="shared" si="11"/>
        <v>111</v>
      </c>
      <c r="R28" s="665" t="s">
        <v>14</v>
      </c>
      <c r="S28" s="666">
        <f t="shared" ref="S28:S40" si="12">F28</f>
        <v>100</v>
      </c>
      <c r="T28" s="665" t="s">
        <v>14</v>
      </c>
      <c r="U28" s="666">
        <f t="shared" ref="U28:U40" si="13">H28</f>
        <v>100</v>
      </c>
      <c r="V28" s="665" t="s">
        <v>14</v>
      </c>
      <c r="W28" s="666">
        <f t="shared" ref="W28:W40" si="14">J28</f>
        <v>100</v>
      </c>
      <c r="X28" s="1262"/>
      <c r="Y28" s="3491"/>
      <c r="Z28" s="1261">
        <f t="shared" ref="Z28:Z40" si="15">Q28</f>
        <v>111</v>
      </c>
      <c r="AA28" s="1261">
        <f t="shared" si="3"/>
        <v>1</v>
      </c>
      <c r="AB28" s="1261">
        <f t="shared" si="4"/>
        <v>1</v>
      </c>
      <c r="AC28" s="1261">
        <f t="shared" si="5"/>
        <v>1</v>
      </c>
    </row>
    <row r="29" spans="1:29" ht="28.5">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514" t="s">
        <v>1696</v>
      </c>
      <c r="Q29" s="1260" t="str">
        <f t="shared" si="11"/>
        <v>建筑类型</v>
      </c>
      <c r="R29" s="665" t="s">
        <v>14</v>
      </c>
      <c r="S29" s="666">
        <f t="shared" si="12"/>
        <v>100</v>
      </c>
      <c r="T29" s="665" t="s">
        <v>14</v>
      </c>
      <c r="U29" s="666">
        <f t="shared" si="13"/>
        <v>100</v>
      </c>
      <c r="V29" s="665" t="s">
        <v>14</v>
      </c>
      <c r="W29" s="666">
        <f t="shared" si="14"/>
        <v>100</v>
      </c>
      <c r="X29" s="1262"/>
      <c r="Y29" s="3495"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95"/>
      <c r="Q30" s="529" t="str">
        <f t="shared" si="11"/>
        <v>项目建筑规模</v>
      </c>
      <c r="R30" s="667" t="s">
        <v>14</v>
      </c>
      <c r="S30" s="668" t="e">
        <f t="shared" si="12"/>
        <v>#N/A</v>
      </c>
      <c r="T30" s="667" t="s">
        <v>14</v>
      </c>
      <c r="U30" s="668" t="e">
        <f t="shared" si="13"/>
        <v>#N/A</v>
      </c>
      <c r="V30" s="667" t="s">
        <v>14</v>
      </c>
      <c r="W30" s="668" t="e">
        <f t="shared" si="14"/>
        <v>#N/A</v>
      </c>
      <c r="X30" s="669"/>
      <c r="Y30" s="3495"/>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95"/>
      <c r="Q31" s="1260" t="str">
        <f t="shared" si="11"/>
        <v>建筑结构</v>
      </c>
      <c r="R31" s="665" t="s">
        <v>14</v>
      </c>
      <c r="S31" s="666">
        <f t="shared" si="12"/>
        <v>100</v>
      </c>
      <c r="T31" s="665" t="s">
        <v>14</v>
      </c>
      <c r="U31" s="666">
        <f t="shared" si="13"/>
        <v>100</v>
      </c>
      <c r="V31" s="665" t="s">
        <v>14</v>
      </c>
      <c r="W31" s="666">
        <f t="shared" si="14"/>
        <v>100</v>
      </c>
      <c r="X31" s="1262"/>
      <c r="Y31" s="3495"/>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95"/>
      <c r="Q32" s="1260" t="str">
        <f t="shared" si="11"/>
        <v>公共部分装修</v>
      </c>
      <c r="R32" s="665" t="s">
        <v>14</v>
      </c>
      <c r="S32" s="666">
        <f t="shared" si="12"/>
        <v>100</v>
      </c>
      <c r="T32" s="665" t="s">
        <v>14</v>
      </c>
      <c r="U32" s="666">
        <f t="shared" si="13"/>
        <v>100</v>
      </c>
      <c r="V32" s="665" t="s">
        <v>14</v>
      </c>
      <c r="W32" s="666">
        <f t="shared" si="14"/>
        <v>100</v>
      </c>
      <c r="X32" s="1262"/>
      <c r="Y32" s="3495"/>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95"/>
      <c r="Q33" s="1260" t="str">
        <f t="shared" si="11"/>
        <v>成新度</v>
      </c>
      <c r="R33" s="665" t="s">
        <v>14</v>
      </c>
      <c r="S33" s="666" t="e">
        <f t="shared" si="12"/>
        <v>#N/A</v>
      </c>
      <c r="T33" s="665" t="s">
        <v>14</v>
      </c>
      <c r="U33" s="666" t="e">
        <f t="shared" si="13"/>
        <v>#N/A</v>
      </c>
      <c r="V33" s="665" t="s">
        <v>14</v>
      </c>
      <c r="W33" s="666" t="e">
        <f t="shared" si="14"/>
        <v>#N/A</v>
      </c>
      <c r="X33" s="1262"/>
      <c r="Y33" s="3495"/>
      <c r="Z33" s="1261" t="str">
        <f t="shared" si="15"/>
        <v>成新度</v>
      </c>
      <c r="AA33" s="1261" t="e">
        <f t="shared" si="3"/>
        <v>#N/A</v>
      </c>
      <c r="AB33" s="1261" t="e">
        <f t="shared" si="4"/>
        <v>#N/A</v>
      </c>
      <c r="AC33" s="1261"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95"/>
      <c r="Q34" s="528" t="str">
        <f t="shared" si="11"/>
        <v>物业管理</v>
      </c>
      <c r="R34" s="662" t="s">
        <v>14</v>
      </c>
      <c r="S34" s="663">
        <f t="shared" si="12"/>
        <v>100</v>
      </c>
      <c r="T34" s="662" t="s">
        <v>14</v>
      </c>
      <c r="U34" s="663">
        <f t="shared" si="13"/>
        <v>100</v>
      </c>
      <c r="V34" s="662" t="s">
        <v>14</v>
      </c>
      <c r="W34" s="663">
        <f t="shared" si="14"/>
        <v>100</v>
      </c>
      <c r="X34" s="664"/>
      <c r="Y34" s="3495"/>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95" t="s">
        <v>1696</v>
      </c>
      <c r="Q35" s="1260" t="str">
        <f t="shared" si="11"/>
        <v>市政基础设施</v>
      </c>
      <c r="R35" s="665" t="s">
        <v>14</v>
      </c>
      <c r="S35" s="666">
        <f t="shared" si="12"/>
        <v>100</v>
      </c>
      <c r="T35" s="665" t="s">
        <v>14</v>
      </c>
      <c r="U35" s="666">
        <f t="shared" si="13"/>
        <v>100</v>
      </c>
      <c r="V35" s="665" t="s">
        <v>14</v>
      </c>
      <c r="W35" s="666">
        <f t="shared" si="14"/>
        <v>100</v>
      </c>
      <c r="X35" s="1262"/>
      <c r="Y35" s="3495"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95"/>
      <c r="Q36" s="1260" t="str">
        <f t="shared" si="11"/>
        <v>内部装修</v>
      </c>
      <c r="R36" s="665" t="s">
        <v>14</v>
      </c>
      <c r="S36" s="666">
        <f t="shared" si="12"/>
        <v>100</v>
      </c>
      <c r="T36" s="665" t="s">
        <v>14</v>
      </c>
      <c r="U36" s="666">
        <f t="shared" si="13"/>
        <v>100</v>
      </c>
      <c r="V36" s="665" t="s">
        <v>14</v>
      </c>
      <c r="W36" s="666">
        <f t="shared" si="14"/>
        <v>100</v>
      </c>
      <c r="X36" s="1262"/>
      <c r="Y36" s="3495"/>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95"/>
      <c r="Q37" s="1260" t="str">
        <f t="shared" si="11"/>
        <v>内部装修状况</v>
      </c>
      <c r="R37" s="665" t="s">
        <v>14</v>
      </c>
      <c r="S37" s="666">
        <f t="shared" si="12"/>
        <v>100</v>
      </c>
      <c r="T37" s="665" t="s">
        <v>14</v>
      </c>
      <c r="U37" s="666">
        <f t="shared" si="13"/>
        <v>100</v>
      </c>
      <c r="V37" s="665" t="s">
        <v>14</v>
      </c>
      <c r="W37" s="666">
        <f t="shared" si="14"/>
        <v>100</v>
      </c>
      <c r="X37" s="1262"/>
      <c r="Y37" s="3495"/>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95"/>
      <c r="Q38" s="529">
        <f t="shared" si="11"/>
        <v>111</v>
      </c>
      <c r="R38" s="667" t="s">
        <v>14</v>
      </c>
      <c r="S38" s="668">
        <f t="shared" si="12"/>
        <v>100</v>
      </c>
      <c r="T38" s="667" t="s">
        <v>14</v>
      </c>
      <c r="U38" s="668">
        <f t="shared" si="13"/>
        <v>100</v>
      </c>
      <c r="V38" s="667" t="s">
        <v>14</v>
      </c>
      <c r="W38" s="668">
        <f t="shared" si="14"/>
        <v>100</v>
      </c>
      <c r="X38" s="669"/>
      <c r="Y38" s="3495"/>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95"/>
      <c r="Q39" s="1260">
        <f t="shared" si="11"/>
        <v>111</v>
      </c>
      <c r="R39" s="665" t="s">
        <v>14</v>
      </c>
      <c r="S39" s="666">
        <f t="shared" si="12"/>
        <v>100</v>
      </c>
      <c r="T39" s="665" t="s">
        <v>14</v>
      </c>
      <c r="U39" s="666">
        <f t="shared" si="13"/>
        <v>100</v>
      </c>
      <c r="V39" s="665" t="s">
        <v>14</v>
      </c>
      <c r="W39" s="666">
        <f t="shared" si="14"/>
        <v>100</v>
      </c>
      <c r="X39" s="1262"/>
      <c r="Y39" s="3495"/>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96"/>
      <c r="Q40" s="1260">
        <f t="shared" si="11"/>
        <v>111</v>
      </c>
      <c r="R40" s="665" t="s">
        <v>14</v>
      </c>
      <c r="S40" s="666">
        <f t="shared" si="12"/>
        <v>100</v>
      </c>
      <c r="T40" s="665" t="s">
        <v>14</v>
      </c>
      <c r="U40" s="666">
        <f t="shared" si="13"/>
        <v>100</v>
      </c>
      <c r="V40" s="665" t="s">
        <v>14</v>
      </c>
      <c r="W40" s="666">
        <f t="shared" si="14"/>
        <v>100</v>
      </c>
      <c r="X40" s="1262"/>
      <c r="Y40" s="3496"/>
      <c r="Z40" s="1261">
        <f t="shared" si="15"/>
        <v>111</v>
      </c>
      <c r="AA40" s="1261">
        <f t="shared" si="3"/>
        <v>1</v>
      </c>
      <c r="AB40" s="1261">
        <f t="shared" si="4"/>
        <v>1</v>
      </c>
      <c r="AC40" s="1261">
        <f t="shared" si="5"/>
        <v>1</v>
      </c>
    </row>
    <row r="41" spans="1:29" ht="15">
      <c r="A41" s="414" t="s">
        <v>1708</v>
      </c>
      <c r="B41" s="415"/>
      <c r="C41" s="1079" t="s">
        <v>0</v>
      </c>
      <c r="D41" s="416"/>
      <c r="E41" s="417"/>
      <c r="F41" s="418"/>
      <c r="G41" s="419"/>
      <c r="H41" s="420"/>
      <c r="I41" s="417"/>
      <c r="J41" s="420"/>
      <c r="K41" s="672"/>
      <c r="L41" s="871"/>
      <c r="M41" s="859"/>
      <c r="N41" s="859"/>
      <c r="O41" s="859"/>
      <c r="P41" s="3489" t="str">
        <f>A41</f>
        <v>成交单价（元/平方米）</v>
      </c>
      <c r="Q41" s="3489"/>
      <c r="R41" s="3484">
        <f>E41</f>
        <v>0</v>
      </c>
      <c r="S41" s="3484"/>
      <c r="T41" s="3484">
        <f>G41</f>
        <v>0</v>
      </c>
      <c r="U41" s="3484"/>
      <c r="V41" s="3484">
        <f>I41</f>
        <v>0</v>
      </c>
      <c r="W41" s="3484"/>
      <c r="X41" s="383"/>
      <c r="Y41" s="671"/>
      <c r="Z41" s="383"/>
      <c r="AA41" s="383"/>
      <c r="AB41" s="383"/>
      <c r="AC41" s="383"/>
    </row>
    <row r="42" spans="1:29" ht="15.75" thickBot="1">
      <c r="A42" s="421" t="s">
        <v>1793</v>
      </c>
      <c r="B42" s="422"/>
      <c r="C42" s="1080" t="e">
        <f>R43</f>
        <v>#DIV/0!</v>
      </c>
      <c r="D42" s="2138" t="s">
        <v>2135</v>
      </c>
      <c r="E42" s="1081" t="e">
        <f>R42</f>
        <v>#DIV/0!</v>
      </c>
      <c r="F42" s="2139"/>
      <c r="G42" s="1080" t="e">
        <f>T42</f>
        <v>#DIV/0!</v>
      </c>
      <c r="H42" s="2139"/>
      <c r="I42" s="1081" t="e">
        <f>V42</f>
        <v>#DIV/0!</v>
      </c>
      <c r="J42" s="2139"/>
      <c r="K42" s="2141">
        <f>F42+H42+J42</f>
        <v>0</v>
      </c>
      <c r="L42" s="871"/>
      <c r="M42" s="859"/>
      <c r="N42" s="859"/>
      <c r="O42" s="859"/>
      <c r="P42" s="3489" t="str">
        <f>A42</f>
        <v>比较价值（元/平方米）</v>
      </c>
      <c r="Q42" s="348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1"/>
      <c r="M43" s="859"/>
      <c r="N43" s="859"/>
      <c r="O43" s="859"/>
      <c r="P43" s="3486" t="str">
        <f>A43</f>
        <v>估价对象XX用房的比较价值（楼面单价，元/平方米）</v>
      </c>
      <c r="Q43" s="3487"/>
      <c r="R43" s="3488" t="e">
        <f>IF(F1="售价",ROUND(IF(D42="简单平均",AVERAGE(R42:V42),R42*F42+T42*H42+V42*J42),0),ROUND(IF(D42="简单平均",AVERAGE(R42:V42),R42*F42+T42*H42+V42*J42),1))</f>
        <v>#DIV/0!</v>
      </c>
      <c r="S43" s="3488"/>
      <c r="T43" s="3488"/>
      <c r="U43" s="3488"/>
      <c r="V43" s="3488"/>
      <c r="W43" s="3488"/>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1798</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2025-11</v>
      </c>
      <c r="D52" s="1101">
        <f>EDATE(C52,-1)</f>
        <v>45931</v>
      </c>
      <c r="E52" s="1101">
        <f t="shared" ref="E52:O52" si="16">EDATE(D52,-1)</f>
        <v>45901</v>
      </c>
      <c r="F52" s="1101">
        <f t="shared" si="16"/>
        <v>45870</v>
      </c>
      <c r="G52" s="1101">
        <f t="shared" si="16"/>
        <v>45839</v>
      </c>
      <c r="H52" s="1101">
        <f t="shared" si="16"/>
        <v>45809</v>
      </c>
      <c r="I52" s="1101">
        <f t="shared" si="16"/>
        <v>45778</v>
      </c>
      <c r="J52" s="1101">
        <f t="shared" si="16"/>
        <v>45748</v>
      </c>
      <c r="K52" s="1101">
        <f t="shared" si="16"/>
        <v>45717</v>
      </c>
      <c r="L52" s="1101">
        <f t="shared" si="16"/>
        <v>45689</v>
      </c>
      <c r="M52" s="1101">
        <f t="shared" si="16"/>
        <v>45658</v>
      </c>
      <c r="N52" s="1101">
        <f t="shared" si="16"/>
        <v>45627</v>
      </c>
      <c r="O52" s="1101">
        <f t="shared" si="16"/>
        <v>45597</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6"/>
      <c r="O54" s="2537"/>
      <c r="P54" s="437"/>
      <c r="Q54" s="437"/>
    </row>
    <row r="55" spans="1:17" s="102" customFormat="1" ht="15">
      <c r="A55" s="453" t="s">
        <v>1681</v>
      </c>
      <c r="B55" s="442"/>
      <c r="C55" s="454" t="s">
        <v>1776</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1719</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1736</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3319</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5">
      <c r="A4" s="343" t="s">
        <v>1769</v>
      </c>
      <c r="B4" s="344"/>
      <c r="C4" s="3472" t="s">
        <v>1770</v>
      </c>
      <c r="D4" s="3473"/>
      <c r="E4" s="3474" t="s">
        <v>1771</v>
      </c>
      <c r="F4" s="3475"/>
      <c r="G4" s="3472" t="s">
        <v>1772</v>
      </c>
      <c r="H4" s="3473"/>
      <c r="I4" s="3472" t="s">
        <v>1773</v>
      </c>
      <c r="J4" s="3473"/>
      <c r="K4" s="535" t="s">
        <v>1774</v>
      </c>
      <c r="L4" s="2484"/>
      <c r="M4" s="2485"/>
      <c r="N4" s="2485"/>
      <c r="O4" s="2485"/>
      <c r="P4" s="3476" t="s">
        <v>1775</v>
      </c>
      <c r="Q4" s="3477"/>
      <c r="R4" s="3459" t="s">
        <v>1771</v>
      </c>
      <c r="S4" s="3460"/>
      <c r="T4" s="3459" t="s">
        <v>1772</v>
      </c>
      <c r="U4" s="3460"/>
      <c r="V4" s="3484" t="s">
        <v>1773</v>
      </c>
      <c r="W4" s="3484"/>
      <c r="X4" s="1262"/>
      <c r="Y4" s="3459" t="s">
        <v>1775</v>
      </c>
      <c r="Z4" s="3460"/>
      <c r="AA4" s="3454" t="s">
        <v>1771</v>
      </c>
      <c r="AB4" s="3455" t="s">
        <v>1772</v>
      </c>
      <c r="AC4" s="3454" t="s">
        <v>1773</v>
      </c>
    </row>
    <row r="5" spans="1:29" ht="15">
      <c r="A5" s="346"/>
      <c r="B5" s="347"/>
      <c r="C5" s="3465" t="s">
        <v>1673</v>
      </c>
      <c r="D5" s="3466"/>
      <c r="E5" s="3463" t="s">
        <v>1674</v>
      </c>
      <c r="F5" s="3464"/>
      <c r="G5" s="3465" t="s">
        <v>1675</v>
      </c>
      <c r="H5" s="3466"/>
      <c r="I5" s="3465" t="s">
        <v>1676</v>
      </c>
      <c r="J5" s="3466"/>
      <c r="K5" s="535"/>
      <c r="L5" s="2484"/>
      <c r="M5" s="2485"/>
      <c r="N5" s="2485"/>
      <c r="O5" s="2485"/>
      <c r="P5" s="3478"/>
      <c r="Q5" s="3479"/>
      <c r="R5" s="3461"/>
      <c r="S5" s="3462"/>
      <c r="T5" s="3461"/>
      <c r="U5" s="3462"/>
      <c r="V5" s="3484"/>
      <c r="W5" s="3484"/>
      <c r="X5" s="1262"/>
      <c r="Y5" s="3461"/>
      <c r="Z5" s="3462"/>
      <c r="AA5" s="3455"/>
      <c r="AB5" s="3455"/>
      <c r="AC5" s="3455"/>
    </row>
    <row r="6" spans="1:29" ht="15.75" thickBot="1">
      <c r="A6" s="348"/>
      <c r="B6" s="349"/>
      <c r="C6" s="3467" t="s">
        <v>1677</v>
      </c>
      <c r="D6" s="3468"/>
      <c r="E6" s="3469" t="s">
        <v>1677</v>
      </c>
      <c r="F6" s="3470"/>
      <c r="G6" s="3467" t="s">
        <v>1677</v>
      </c>
      <c r="H6" s="3468"/>
      <c r="I6" s="3467" t="s">
        <v>1677</v>
      </c>
      <c r="J6" s="3468"/>
      <c r="K6" s="535" t="s">
        <v>1678</v>
      </c>
      <c r="L6" s="2484"/>
      <c r="M6" s="2485"/>
      <c r="N6" s="2485"/>
      <c r="O6" s="2485"/>
      <c r="P6" s="3480"/>
      <c r="Q6" s="3481"/>
      <c r="R6" s="3461"/>
      <c r="S6" s="3462"/>
      <c r="T6" s="3482"/>
      <c r="U6" s="3483"/>
      <c r="V6" s="3484"/>
      <c r="W6" s="3484"/>
      <c r="X6" s="1262"/>
      <c r="Y6" s="3482"/>
      <c r="Z6" s="3483"/>
      <c r="AA6" s="3456"/>
      <c r="AB6" s="3456"/>
      <c r="AC6" s="3456"/>
    </row>
    <row r="7" spans="1:29" s="102" customFormat="1" ht="15.75" thickBot="1">
      <c r="A7" s="350" t="s">
        <v>1679</v>
      </c>
      <c r="B7" s="351"/>
      <c r="C7" s="352">
        <f>'数据-取费表'!B2</f>
        <v>45986</v>
      </c>
      <c r="D7" s="353">
        <v>100</v>
      </c>
      <c r="E7" s="354"/>
      <c r="F7" s="355">
        <f>SUMIF(48:48,YEAR(E7)&amp;"-"&amp;MONTH(E7),49:49)</f>
        <v>0</v>
      </c>
      <c r="G7" s="354"/>
      <c r="H7" s="353">
        <f>SUMIF(48:48,YEAR(G7)&amp;"-"&amp;MONTH(G7),49:49)</f>
        <v>0</v>
      </c>
      <c r="I7" s="354"/>
      <c r="J7" s="353">
        <f>SUMIF(48:48,YEAR(I7)&amp;"-"&amp;MONTH(I7),49:49)</f>
        <v>0</v>
      </c>
      <c r="K7" s="38"/>
      <c r="L7" s="2486"/>
      <c r="M7" s="2437"/>
      <c r="N7" s="2437"/>
      <c r="O7" s="2437"/>
      <c r="P7" s="3457" t="s">
        <v>1680</v>
      </c>
      <c r="Q7" s="3485"/>
      <c r="R7" s="662" t="s">
        <v>14</v>
      </c>
      <c r="S7" s="663">
        <f t="shared" ref="S7:S14" si="0">F7</f>
        <v>0</v>
      </c>
      <c r="T7" s="662" t="s">
        <v>14</v>
      </c>
      <c r="U7" s="663">
        <f t="shared" ref="U7:U14" si="1">H7</f>
        <v>0</v>
      </c>
      <c r="V7" s="662" t="s">
        <v>14</v>
      </c>
      <c r="W7" s="663">
        <f t="shared" ref="W7:W14" si="2">J7</f>
        <v>0</v>
      </c>
      <c r="X7" s="664"/>
      <c r="Y7" s="3457" t="s">
        <v>1680</v>
      </c>
      <c r="Z7" s="3458"/>
      <c r="AA7" s="50" t="e">
        <f>D7/F7</f>
        <v>#DIV/0!</v>
      </c>
      <c r="AB7" s="50" t="e">
        <f>D7/H7</f>
        <v>#DIV/0!</v>
      </c>
      <c r="AC7" s="50" t="e">
        <f>D7/J7</f>
        <v>#DIV/0!</v>
      </c>
    </row>
    <row r="8" spans="1:29" s="102"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57" t="s">
        <v>1683</v>
      </c>
      <c r="Q8" s="3458"/>
      <c r="R8" s="662" t="s">
        <v>14</v>
      </c>
      <c r="S8" s="663">
        <f t="shared" si="0"/>
        <v>100</v>
      </c>
      <c r="T8" s="662" t="s">
        <v>14</v>
      </c>
      <c r="U8" s="663">
        <f t="shared" si="1"/>
        <v>100</v>
      </c>
      <c r="V8" s="662" t="s">
        <v>14</v>
      </c>
      <c r="W8" s="663">
        <f t="shared" si="2"/>
        <v>100</v>
      </c>
      <c r="X8" s="664"/>
      <c r="Y8" s="3457" t="s">
        <v>1683</v>
      </c>
      <c r="Z8" s="3458"/>
      <c r="AA8" s="50">
        <f t="shared" ref="AA8:AA36" si="3">D8/F8</f>
        <v>1</v>
      </c>
      <c r="AB8" s="50">
        <f t="shared" ref="AB8:AB36" si="4">D8/H8</f>
        <v>1</v>
      </c>
      <c r="AC8" s="50">
        <f t="shared" ref="AC8:AC36" si="5">D8/J8</f>
        <v>1</v>
      </c>
    </row>
    <row r="9" spans="1:29" s="102"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489" t="s">
        <v>1686</v>
      </c>
      <c r="Q9" s="528" t="str">
        <f t="shared" ref="Q9:Q14" si="6">B9</f>
        <v>用途</v>
      </c>
      <c r="R9" s="662" t="s">
        <v>14</v>
      </c>
      <c r="S9" s="663">
        <f t="shared" si="0"/>
        <v>100</v>
      </c>
      <c r="T9" s="662" t="s">
        <v>14</v>
      </c>
      <c r="U9" s="663">
        <f t="shared" si="1"/>
        <v>100</v>
      </c>
      <c r="V9" s="662" t="s">
        <v>14</v>
      </c>
      <c r="W9" s="663">
        <f t="shared" si="2"/>
        <v>100</v>
      </c>
      <c r="X9" s="664"/>
      <c r="Y9" s="3401" t="s">
        <v>1687</v>
      </c>
      <c r="Z9" s="50" t="str">
        <f t="shared" ref="Z9:Z14" si="7">Q9</f>
        <v>用途</v>
      </c>
      <c r="AA9" s="50">
        <f t="shared" si="3"/>
        <v>1</v>
      </c>
      <c r="AB9" s="50">
        <f t="shared" si="4"/>
        <v>1</v>
      </c>
      <c r="AC9" s="50">
        <f t="shared" si="5"/>
        <v>1</v>
      </c>
    </row>
    <row r="10" spans="1:29" s="364" customFormat="1" ht="27">
      <c r="A10" s="563"/>
      <c r="B10" s="564" t="s">
        <v>1688</v>
      </c>
      <c r="C10" s="3130"/>
      <c r="D10" s="117">
        <v>100</v>
      </c>
      <c r="E10" s="3130"/>
      <c r="F10" s="117">
        <f>SUMIF(55:55,E10,56:56)-SUMIF(55:55,C10,56:56)+100</f>
        <v>100</v>
      </c>
      <c r="G10" s="3131"/>
      <c r="H10" s="117">
        <f>SUMIF(55:55,G10,56:56)-SUMIF(55:55,C10,56:56)+100</f>
        <v>100</v>
      </c>
      <c r="I10" s="3130"/>
      <c r="J10" s="117">
        <f>SUMIF(55:55,I10,56:56)-SUMIF(55:55,C10,56:56)+100</f>
        <v>100</v>
      </c>
      <c r="K10" s="38"/>
      <c r="L10" s="2487"/>
      <c r="M10" s="2488"/>
      <c r="N10" s="2488"/>
      <c r="O10" s="2488"/>
      <c r="P10" s="3489"/>
      <c r="Q10" s="528"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489"/>
      <c r="Q11" s="528">
        <f t="shared" si="6"/>
        <v>111</v>
      </c>
      <c r="R11" s="662" t="s">
        <v>14</v>
      </c>
      <c r="S11" s="663">
        <f t="shared" si="0"/>
        <v>100</v>
      </c>
      <c r="T11" s="662" t="s">
        <v>14</v>
      </c>
      <c r="U11" s="663">
        <f t="shared" si="1"/>
        <v>100</v>
      </c>
      <c r="V11" s="662" t="s">
        <v>14</v>
      </c>
      <c r="W11" s="663">
        <f t="shared" si="2"/>
        <v>100</v>
      </c>
      <c r="X11" s="664"/>
      <c r="Y11" s="3401"/>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489"/>
      <c r="Q12" s="528">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489"/>
      <c r="Q13" s="528">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
      <c r="A14" s="343" t="s">
        <v>1690</v>
      </c>
      <c r="B14" s="552" t="s">
        <v>1833</v>
      </c>
      <c r="C14" s="1816">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490" t="s">
        <v>1691</v>
      </c>
      <c r="Q14" s="1260" t="str">
        <f t="shared" si="6"/>
        <v>交通便捷度</v>
      </c>
      <c r="R14" s="665" t="s">
        <v>14</v>
      </c>
      <c r="S14" s="666">
        <f t="shared" si="0"/>
        <v>100</v>
      </c>
      <c r="T14" s="665" t="s">
        <v>14</v>
      </c>
      <c r="U14" s="666">
        <f t="shared" si="1"/>
        <v>100</v>
      </c>
      <c r="V14" s="665" t="s">
        <v>14</v>
      </c>
      <c r="W14" s="666">
        <f t="shared" si="2"/>
        <v>100</v>
      </c>
      <c r="X14" s="1262"/>
      <c r="Y14" s="3490"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491"/>
      <c r="Q15" s="1260"/>
      <c r="R15" s="665"/>
      <c r="S15" s="666"/>
      <c r="T15" s="665"/>
      <c r="U15" s="666"/>
      <c r="V15" s="665"/>
      <c r="W15" s="666"/>
      <c r="X15" s="1262"/>
      <c r="Y15" s="3491"/>
      <c r="Z15" s="1261"/>
      <c r="AA15" s="1261">
        <v>1</v>
      </c>
      <c r="AB15" s="1261">
        <v>1</v>
      </c>
      <c r="AC15" s="1261">
        <v>1</v>
      </c>
    </row>
    <row r="16" spans="1:29" ht="15">
      <c r="A16" s="346"/>
      <c r="B16" s="554" t="s">
        <v>1812</v>
      </c>
      <c r="C16" s="1751">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491"/>
      <c r="Q16" s="1260" t="str">
        <f>B16</f>
        <v>公共配套设施</v>
      </c>
      <c r="R16" s="665" t="s">
        <v>14</v>
      </c>
      <c r="S16" s="666">
        <f>F16</f>
        <v>100</v>
      </c>
      <c r="T16" s="665" t="s">
        <v>14</v>
      </c>
      <c r="U16" s="666">
        <f>H16</f>
        <v>100</v>
      </c>
      <c r="V16" s="665" t="s">
        <v>14</v>
      </c>
      <c r="W16" s="666">
        <f>J16</f>
        <v>100</v>
      </c>
      <c r="X16" s="1262"/>
      <c r="Y16" s="3491"/>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491"/>
      <c r="Q17" s="1260"/>
      <c r="R17" s="665"/>
      <c r="S17" s="666"/>
      <c r="T17" s="665"/>
      <c r="U17" s="666"/>
      <c r="V17" s="665"/>
      <c r="W17" s="666"/>
      <c r="X17" s="1262"/>
      <c r="Y17" s="3491"/>
      <c r="Z17" s="1261"/>
      <c r="AA17" s="1261">
        <v>1</v>
      </c>
      <c r="AB17" s="1261">
        <v>1</v>
      </c>
      <c r="AC17" s="1261">
        <v>1</v>
      </c>
    </row>
    <row r="18" spans="1:29" ht="15">
      <c r="A18" s="346"/>
      <c r="B18" s="555" t="s">
        <v>1813</v>
      </c>
      <c r="C18" s="1751">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491"/>
      <c r="Q18" s="1260" t="str">
        <f>B18</f>
        <v>基础设施水平</v>
      </c>
      <c r="R18" s="665" t="s">
        <v>14</v>
      </c>
      <c r="S18" s="666">
        <f>F18</f>
        <v>100</v>
      </c>
      <c r="T18" s="665" t="s">
        <v>14</v>
      </c>
      <c r="U18" s="666">
        <f>H18</f>
        <v>100</v>
      </c>
      <c r="V18" s="665" t="s">
        <v>14</v>
      </c>
      <c r="W18" s="666">
        <f>J18</f>
        <v>100</v>
      </c>
      <c r="X18" s="1262"/>
      <c r="Y18" s="3491"/>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491"/>
      <c r="Q19" s="1260"/>
      <c r="R19" s="665"/>
      <c r="S19" s="666"/>
      <c r="T19" s="665"/>
      <c r="U19" s="666"/>
      <c r="V19" s="665"/>
      <c r="W19" s="666"/>
      <c r="X19" s="1262"/>
      <c r="Y19" s="3491"/>
      <c r="Z19" s="1261"/>
      <c r="AA19" s="1261">
        <v>1</v>
      </c>
      <c r="AB19" s="1261">
        <v>1</v>
      </c>
      <c r="AC19" s="1261">
        <v>1</v>
      </c>
    </row>
    <row r="20" spans="1:29" ht="15">
      <c r="A20" s="346"/>
      <c r="B20" s="554" t="s">
        <v>1834</v>
      </c>
      <c r="C20" s="1751">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491"/>
      <c r="Q20" s="1260" t="str">
        <f>B20</f>
        <v>自然及人文环境</v>
      </c>
      <c r="R20" s="665" t="s">
        <v>14</v>
      </c>
      <c r="S20" s="666">
        <f>F20</f>
        <v>100</v>
      </c>
      <c r="T20" s="665" t="s">
        <v>14</v>
      </c>
      <c r="U20" s="666">
        <f>H20</f>
        <v>100</v>
      </c>
      <c r="V20" s="665" t="s">
        <v>14</v>
      </c>
      <c r="W20" s="666">
        <f>J20</f>
        <v>100</v>
      </c>
      <c r="X20" s="1262"/>
      <c r="Y20" s="3491"/>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491"/>
      <c r="Q21" s="1260"/>
      <c r="R21" s="665"/>
      <c r="S21" s="666"/>
      <c r="T21" s="665"/>
      <c r="U21" s="666"/>
      <c r="V21" s="665"/>
      <c r="W21" s="666"/>
      <c r="X21" s="1262"/>
      <c r="Y21" s="3491"/>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491"/>
      <c r="Q22" s="1260" t="str">
        <f>B22</f>
        <v>楼层</v>
      </c>
      <c r="R22" s="665" t="s">
        <v>14</v>
      </c>
      <c r="S22" s="666">
        <f>F22</f>
        <v>100</v>
      </c>
      <c r="T22" s="665" t="s">
        <v>14</v>
      </c>
      <c r="U22" s="666">
        <f>H22</f>
        <v>100</v>
      </c>
      <c r="V22" s="665" t="s">
        <v>14</v>
      </c>
      <c r="W22" s="666">
        <f>J22</f>
        <v>100</v>
      </c>
      <c r="X22" s="1262"/>
      <c r="Y22" s="3491"/>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491"/>
      <c r="Q23" s="1260">
        <f>B23</f>
        <v>111</v>
      </c>
      <c r="R23" s="665" t="s">
        <v>14</v>
      </c>
      <c r="S23" s="666">
        <f>F23</f>
        <v>100</v>
      </c>
      <c r="T23" s="665" t="s">
        <v>14</v>
      </c>
      <c r="U23" s="666">
        <f>H23</f>
        <v>100</v>
      </c>
      <c r="V23" s="665" t="s">
        <v>14</v>
      </c>
      <c r="W23" s="666">
        <f>J23</f>
        <v>100</v>
      </c>
      <c r="X23" s="1262"/>
      <c r="Y23" s="3491"/>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491"/>
      <c r="Q24" s="1260">
        <f t="shared" ref="Q24:Q36" si="11">B24</f>
        <v>111</v>
      </c>
      <c r="R24" s="665" t="s">
        <v>14</v>
      </c>
      <c r="S24" s="666">
        <f>F24</f>
        <v>100</v>
      </c>
      <c r="T24" s="665" t="s">
        <v>14</v>
      </c>
      <c r="U24" s="666">
        <f>H24</f>
        <v>100</v>
      </c>
      <c r="V24" s="665" t="s">
        <v>14</v>
      </c>
      <c r="W24" s="666">
        <f>J24</f>
        <v>100</v>
      </c>
      <c r="X24" s="1262"/>
      <c r="Y24" s="3491"/>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491"/>
      <c r="Q25" s="528">
        <f t="shared" si="11"/>
        <v>111</v>
      </c>
      <c r="R25" s="662" t="s">
        <v>14</v>
      </c>
      <c r="S25" s="663">
        <f>F25</f>
        <v>100</v>
      </c>
      <c r="T25" s="662" t="s">
        <v>14</v>
      </c>
      <c r="U25" s="663">
        <f>H25</f>
        <v>100</v>
      </c>
      <c r="V25" s="662" t="s">
        <v>14</v>
      </c>
      <c r="W25" s="663">
        <f>J25</f>
        <v>100</v>
      </c>
      <c r="X25" s="664"/>
      <c r="Y25" s="3491"/>
      <c r="Z25" s="50">
        <f>Q25</f>
        <v>111</v>
      </c>
      <c r="AA25" s="1261">
        <f>D25/F25</f>
        <v>1</v>
      </c>
      <c r="AB25" s="1261">
        <f>D25/H25</f>
        <v>1</v>
      </c>
      <c r="AC25" s="1261">
        <f>D25/J25</f>
        <v>1</v>
      </c>
    </row>
    <row r="26" spans="1:29" ht="28.5">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514"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95"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495"/>
      <c r="Q27" s="529" t="str">
        <f t="shared" si="11"/>
        <v>项目停车位配比</v>
      </c>
      <c r="R27" s="667" t="s">
        <v>14</v>
      </c>
      <c r="S27" s="668">
        <f t="shared" si="12"/>
        <v>100</v>
      </c>
      <c r="T27" s="667" t="s">
        <v>14</v>
      </c>
      <c r="U27" s="668">
        <f t="shared" si="13"/>
        <v>100</v>
      </c>
      <c r="V27" s="667" t="s">
        <v>14</v>
      </c>
      <c r="W27" s="668">
        <f t="shared" si="14"/>
        <v>100</v>
      </c>
      <c r="X27" s="669"/>
      <c r="Y27" s="3495"/>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495"/>
      <c r="Q28" s="1260" t="str">
        <f t="shared" si="11"/>
        <v>公共部分装修</v>
      </c>
      <c r="R28" s="665" t="s">
        <v>14</v>
      </c>
      <c r="S28" s="666">
        <f t="shared" si="12"/>
        <v>100</v>
      </c>
      <c r="T28" s="665" t="s">
        <v>14</v>
      </c>
      <c r="U28" s="666">
        <f t="shared" si="13"/>
        <v>100</v>
      </c>
      <c r="V28" s="665" t="s">
        <v>14</v>
      </c>
      <c r="W28" s="666">
        <f t="shared" si="14"/>
        <v>100</v>
      </c>
      <c r="X28" s="1262"/>
      <c r="Y28" s="3495"/>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495"/>
      <c r="Q29" s="1260" t="str">
        <f t="shared" si="11"/>
        <v>成新率</v>
      </c>
      <c r="R29" s="665" t="s">
        <v>14</v>
      </c>
      <c r="S29" s="666" t="e">
        <f t="shared" si="12"/>
        <v>#N/A</v>
      </c>
      <c r="T29" s="665" t="s">
        <v>14</v>
      </c>
      <c r="U29" s="666" t="e">
        <f t="shared" si="13"/>
        <v>#N/A</v>
      </c>
      <c r="V29" s="665" t="s">
        <v>14</v>
      </c>
      <c r="W29" s="666" t="e">
        <f t="shared" si="14"/>
        <v>#N/A</v>
      </c>
      <c r="X29" s="1262"/>
      <c r="Y29" s="3495"/>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495"/>
      <c r="Q30" s="1260" t="str">
        <f t="shared" si="11"/>
        <v>物业等级</v>
      </c>
      <c r="R30" s="665" t="s">
        <v>14</v>
      </c>
      <c r="S30" s="666">
        <f t="shared" si="12"/>
        <v>100</v>
      </c>
      <c r="T30" s="665" t="s">
        <v>14</v>
      </c>
      <c r="U30" s="666">
        <f t="shared" si="13"/>
        <v>100</v>
      </c>
      <c r="V30" s="665" t="s">
        <v>14</v>
      </c>
      <c r="W30" s="666">
        <f t="shared" si="14"/>
        <v>100</v>
      </c>
      <c r="X30" s="1262"/>
      <c r="Y30" s="3495"/>
      <c r="Z30" s="1261" t="str">
        <f t="shared" si="15"/>
        <v>物业等级</v>
      </c>
      <c r="AA30" s="1261">
        <f t="shared" si="3"/>
        <v>1</v>
      </c>
      <c r="AB30" s="1261">
        <f t="shared" si="4"/>
        <v>1</v>
      </c>
      <c r="AC30" s="1261">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495"/>
      <c r="Q31" s="528" t="str">
        <f t="shared" si="11"/>
        <v>停车位面积</v>
      </c>
      <c r="R31" s="662" t="s">
        <v>14</v>
      </c>
      <c r="S31" s="663" t="e">
        <f t="shared" si="12"/>
        <v>#N/A</v>
      </c>
      <c r="T31" s="662" t="s">
        <v>14</v>
      </c>
      <c r="U31" s="663" t="e">
        <f t="shared" si="13"/>
        <v>#N/A</v>
      </c>
      <c r="V31" s="662" t="s">
        <v>14</v>
      </c>
      <c r="W31" s="663" t="e">
        <f t="shared" si="14"/>
        <v>#N/A</v>
      </c>
      <c r="X31" s="664"/>
      <c r="Y31" s="3495"/>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495" t="s">
        <v>1696</v>
      </c>
      <c r="Q32" s="1260" t="str">
        <f t="shared" si="11"/>
        <v>车位类型</v>
      </c>
      <c r="R32" s="665" t="s">
        <v>14</v>
      </c>
      <c r="S32" s="666">
        <f t="shared" si="12"/>
        <v>100</v>
      </c>
      <c r="T32" s="665" t="s">
        <v>14</v>
      </c>
      <c r="U32" s="666">
        <f t="shared" si="13"/>
        <v>100</v>
      </c>
      <c r="V32" s="665" t="s">
        <v>14</v>
      </c>
      <c r="W32" s="666">
        <f t="shared" si="14"/>
        <v>100</v>
      </c>
      <c r="X32" s="1262"/>
      <c r="Y32" s="3495"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495"/>
      <c r="Q33" s="1260" t="str">
        <f t="shared" si="11"/>
        <v>是否直接入户</v>
      </c>
      <c r="R33" s="665" t="s">
        <v>14</v>
      </c>
      <c r="S33" s="666">
        <f t="shared" si="12"/>
        <v>100</v>
      </c>
      <c r="T33" s="665" t="s">
        <v>14</v>
      </c>
      <c r="U33" s="666">
        <f t="shared" si="13"/>
        <v>100</v>
      </c>
      <c r="V33" s="665" t="s">
        <v>14</v>
      </c>
      <c r="W33" s="666">
        <f t="shared" si="14"/>
        <v>100</v>
      </c>
      <c r="X33" s="1262"/>
      <c r="Y33" s="3495"/>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495"/>
      <c r="Q34" s="1260">
        <f t="shared" si="11"/>
        <v>111</v>
      </c>
      <c r="R34" s="665" t="s">
        <v>14</v>
      </c>
      <c r="S34" s="666">
        <f t="shared" si="12"/>
        <v>100</v>
      </c>
      <c r="T34" s="665" t="s">
        <v>14</v>
      </c>
      <c r="U34" s="666">
        <f t="shared" si="13"/>
        <v>100</v>
      </c>
      <c r="V34" s="665" t="s">
        <v>14</v>
      </c>
      <c r="W34" s="666">
        <f t="shared" si="14"/>
        <v>100</v>
      </c>
      <c r="X34" s="1262"/>
      <c r="Y34" s="3495"/>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495"/>
      <c r="Q35" s="529">
        <f t="shared" si="11"/>
        <v>111</v>
      </c>
      <c r="R35" s="667" t="s">
        <v>14</v>
      </c>
      <c r="S35" s="668">
        <f t="shared" si="12"/>
        <v>100</v>
      </c>
      <c r="T35" s="667" t="s">
        <v>14</v>
      </c>
      <c r="U35" s="668">
        <f t="shared" si="13"/>
        <v>100</v>
      </c>
      <c r="V35" s="667" t="s">
        <v>14</v>
      </c>
      <c r="W35" s="668">
        <f t="shared" si="14"/>
        <v>100</v>
      </c>
      <c r="X35" s="669"/>
      <c r="Y35" s="3495"/>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495"/>
      <c r="Q36" s="1260">
        <f t="shared" si="11"/>
        <v>111</v>
      </c>
      <c r="R36" s="665" t="s">
        <v>14</v>
      </c>
      <c r="S36" s="666">
        <f t="shared" si="12"/>
        <v>100</v>
      </c>
      <c r="T36" s="665" t="s">
        <v>14</v>
      </c>
      <c r="U36" s="666">
        <f t="shared" si="13"/>
        <v>100</v>
      </c>
      <c r="V36" s="665" t="s">
        <v>14</v>
      </c>
      <c r="W36" s="666">
        <f t="shared" si="14"/>
        <v>100</v>
      </c>
      <c r="X36" s="1262"/>
      <c r="Y36" s="3495"/>
      <c r="Z36" s="1261">
        <f t="shared" si="15"/>
        <v>111</v>
      </c>
      <c r="AA36" s="1261">
        <f t="shared" si="3"/>
        <v>1</v>
      </c>
      <c r="AB36" s="1261">
        <f t="shared" si="4"/>
        <v>1</v>
      </c>
      <c r="AC36" s="1261">
        <f t="shared" si="5"/>
        <v>1</v>
      </c>
    </row>
    <row r="37" spans="1:29" ht="15">
      <c r="A37" s="414" t="s">
        <v>1844</v>
      </c>
      <c r="B37" s="1818" t="s">
        <v>3340</v>
      </c>
      <c r="C37" s="1079" t="s">
        <v>0</v>
      </c>
      <c r="D37" s="416"/>
      <c r="E37" s="417"/>
      <c r="F37" s="418"/>
      <c r="G37" s="419"/>
      <c r="H37" s="420"/>
      <c r="I37" s="417"/>
      <c r="J37" s="420"/>
      <c r="K37" s="543"/>
      <c r="L37" s="2492"/>
      <c r="M37" s="2485"/>
      <c r="N37" s="2485"/>
      <c r="O37" s="2485"/>
      <c r="P37" s="3489" t="str">
        <f>A37</f>
        <v>成交单价</v>
      </c>
      <c r="Q37" s="3489"/>
      <c r="R37" s="3484">
        <f>E37</f>
        <v>0</v>
      </c>
      <c r="S37" s="3484"/>
      <c r="T37" s="3484">
        <f>G37</f>
        <v>0</v>
      </c>
      <c r="U37" s="3484"/>
      <c r="V37" s="3484">
        <f>I37</f>
        <v>0</v>
      </c>
      <c r="W37" s="3484"/>
      <c r="X37" s="383"/>
      <c r="Y37" s="671"/>
      <c r="Z37" s="383"/>
      <c r="AA37" s="383"/>
      <c r="AB37" s="383"/>
      <c r="AC37" s="383"/>
    </row>
    <row r="38" spans="1:29" ht="15.75" thickBot="1">
      <c r="A38" s="421" t="s">
        <v>1845</v>
      </c>
      <c r="B38" s="422" t="str">
        <f>B37</f>
        <v>元/平方米</v>
      </c>
      <c r="C38" s="1080" t="e">
        <f>R39</f>
        <v>#DIV/0!</v>
      </c>
      <c r="D38" s="2138" t="s">
        <v>2135</v>
      </c>
      <c r="E38" s="1081" t="e">
        <f>R38</f>
        <v>#DIV/0!</v>
      </c>
      <c r="F38" s="2139"/>
      <c r="G38" s="1080" t="e">
        <f>T38</f>
        <v>#DIV/0!</v>
      </c>
      <c r="H38" s="2139"/>
      <c r="I38" s="1081" t="e">
        <f>V38</f>
        <v>#DIV/0!</v>
      </c>
      <c r="J38" s="2139"/>
      <c r="K38" s="2141">
        <f>F38+H38+J38</f>
        <v>0</v>
      </c>
      <c r="L38" s="2492"/>
      <c r="M38" s="2485"/>
      <c r="N38" s="2485"/>
      <c r="O38" s="2485"/>
      <c r="P38" s="3489" t="str">
        <f>A38</f>
        <v>比较价值（元/平方米）</v>
      </c>
      <c r="Q38" s="348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2"/>
      <c r="M39" s="2485"/>
      <c r="N39" s="2485"/>
      <c r="O39" s="2485"/>
      <c r="P39" s="3486" t="str">
        <f>A39</f>
        <v>估价对象XX用房的比较价值（楼面单价，元/平方米）</v>
      </c>
      <c r="Q39" s="3487"/>
      <c r="R39" s="3515" t="e">
        <f>IF(F1="售价",ROUND(IF(D38="简单平均",AVERAGE(R38:W38),R38*F38+T38*H38+V38*J38),0),ROUND(IF(D38="简单平均",AVERAGE(R38:V38),R38*F38+T38*H38+V38*J38),1))</f>
        <v>#DIV/0!</v>
      </c>
      <c r="S39" s="3515"/>
      <c r="T39" s="3515"/>
      <c r="U39" s="3515"/>
      <c r="V39" s="3515"/>
      <c r="W39" s="3515"/>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5">
      <c r="A48" s="438" t="s">
        <v>1851</v>
      </c>
      <c r="B48" s="439"/>
      <c r="C48" s="1100" t="str">
        <f>YEAR(C7)&amp;"-"&amp;MONTH(C7)</f>
        <v>2025-11</v>
      </c>
      <c r="D48" s="1101">
        <f>EDATE(C48,-1)</f>
        <v>45931</v>
      </c>
      <c r="E48" s="1101">
        <f t="shared" ref="E48:O48" si="16">EDATE(D48,-1)</f>
        <v>45901</v>
      </c>
      <c r="F48" s="1101">
        <f t="shared" si="16"/>
        <v>45870</v>
      </c>
      <c r="G48" s="1101">
        <f t="shared" si="16"/>
        <v>45839</v>
      </c>
      <c r="H48" s="1101">
        <f t="shared" si="16"/>
        <v>45809</v>
      </c>
      <c r="I48" s="1101">
        <f t="shared" si="16"/>
        <v>45778</v>
      </c>
      <c r="J48" s="1101">
        <f t="shared" si="16"/>
        <v>45748</v>
      </c>
      <c r="K48" s="1101">
        <f t="shared" si="16"/>
        <v>45717</v>
      </c>
      <c r="L48" s="1101">
        <f t="shared" si="16"/>
        <v>45689</v>
      </c>
      <c r="M48" s="1101">
        <f t="shared" si="16"/>
        <v>45658</v>
      </c>
      <c r="N48" s="1101">
        <f t="shared" si="16"/>
        <v>45627</v>
      </c>
      <c r="O48" s="1101">
        <f t="shared" si="16"/>
        <v>45597</v>
      </c>
      <c r="P48" s="2525"/>
      <c r="Q48" s="2508"/>
      <c r="R48" s="2508"/>
      <c r="S48" s="2508"/>
      <c r="T48" s="2508"/>
      <c r="U48" s="2508"/>
      <c r="V48" s="2508"/>
      <c r="W48" s="2508"/>
      <c r="X48" s="2508"/>
      <c r="Y48" s="2508"/>
      <c r="Z48" s="2508"/>
      <c r="AA48" s="2508"/>
      <c r="AB48" s="2508"/>
      <c r="AC48" s="2508"/>
    </row>
    <row r="49" spans="1:29" s="102" customFormat="1" ht="15">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75" thickBot="1">
      <c r="A50" s="447" t="s">
        <v>1716</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5">
      <c r="A51" s="453" t="s">
        <v>1681</v>
      </c>
      <c r="B51" s="442"/>
      <c r="C51" s="454" t="s">
        <v>1776</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1719</v>
      </c>
      <c r="B53" s="458" t="s">
        <v>1685</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1688</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1727</v>
      </c>
      <c r="C65" s="507" t="s">
        <v>1721</v>
      </c>
      <c r="D65" s="507" t="s">
        <v>1722</v>
      </c>
      <c r="E65" s="507" t="s">
        <v>1723</v>
      </c>
      <c r="F65" s="507" t="s">
        <v>1724</v>
      </c>
      <c r="G65" s="507" t="s">
        <v>1725</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1813</v>
      </c>
      <c r="C67" s="579" t="s">
        <v>1799</v>
      </c>
      <c r="D67" s="579" t="s">
        <v>1800</v>
      </c>
      <c r="E67" s="579" t="s">
        <v>1801</v>
      </c>
      <c r="F67" s="579" t="s">
        <v>1802</v>
      </c>
      <c r="G67" s="579" t="s">
        <v>1803</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1733</v>
      </c>
      <c r="C69" s="507" t="s">
        <v>1721</v>
      </c>
      <c r="D69" s="507" t="s">
        <v>1722</v>
      </c>
      <c r="E69" s="507" t="s">
        <v>1723</v>
      </c>
      <c r="F69" s="507" t="s">
        <v>1724</v>
      </c>
      <c r="G69" s="507" t="s">
        <v>1725</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1852</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1694</v>
      </c>
      <c r="B79" s="458" t="s">
        <v>1853</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1854</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1740</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1856</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1858</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1859</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3320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1769</v>
      </c>
      <c r="B4" s="344"/>
      <c r="C4" s="3472" t="s">
        <v>1770</v>
      </c>
      <c r="D4" s="3473"/>
      <c r="E4" s="3474" t="s">
        <v>1771</v>
      </c>
      <c r="F4" s="3475"/>
      <c r="G4" s="3472" t="s">
        <v>1772</v>
      </c>
      <c r="H4" s="3473"/>
      <c r="I4" s="3472" t="s">
        <v>1773</v>
      </c>
      <c r="J4" s="3473"/>
      <c r="K4" s="535" t="s">
        <v>1774</v>
      </c>
      <c r="L4" s="2484"/>
      <c r="M4" s="2485"/>
      <c r="N4" s="2485"/>
      <c r="O4" s="2485"/>
      <c r="P4" s="3476" t="s">
        <v>1775</v>
      </c>
      <c r="Q4" s="3477"/>
      <c r="R4" s="3459" t="s">
        <v>1771</v>
      </c>
      <c r="S4" s="3460"/>
      <c r="T4" s="3459" t="s">
        <v>1772</v>
      </c>
      <c r="U4" s="3460"/>
      <c r="V4" s="3484" t="s">
        <v>1773</v>
      </c>
      <c r="W4" s="3484"/>
      <c r="X4" s="1262"/>
      <c r="Y4" s="3459" t="s">
        <v>1775</v>
      </c>
      <c r="Z4" s="3460"/>
      <c r="AA4" s="3454" t="s">
        <v>1771</v>
      </c>
      <c r="AB4" s="3455" t="s">
        <v>1772</v>
      </c>
      <c r="AC4" s="3454" t="s">
        <v>1773</v>
      </c>
    </row>
    <row r="5" spans="1:29" ht="15">
      <c r="A5" s="346"/>
      <c r="B5" s="347"/>
      <c r="C5" s="3465" t="s">
        <v>1673</v>
      </c>
      <c r="D5" s="3466"/>
      <c r="E5" s="3463" t="s">
        <v>1674</v>
      </c>
      <c r="F5" s="3464"/>
      <c r="G5" s="3465" t="s">
        <v>1675</v>
      </c>
      <c r="H5" s="3466"/>
      <c r="I5" s="3465" t="s">
        <v>1676</v>
      </c>
      <c r="J5" s="3466"/>
      <c r="K5" s="535"/>
      <c r="L5" s="2484"/>
      <c r="M5" s="2485"/>
      <c r="N5" s="2485"/>
      <c r="O5" s="2485"/>
      <c r="P5" s="3478"/>
      <c r="Q5" s="3479"/>
      <c r="R5" s="3461"/>
      <c r="S5" s="3462"/>
      <c r="T5" s="3461"/>
      <c r="U5" s="3462"/>
      <c r="V5" s="3484"/>
      <c r="W5" s="3484"/>
      <c r="X5" s="1262"/>
      <c r="Y5" s="3461"/>
      <c r="Z5" s="3462"/>
      <c r="AA5" s="3455"/>
      <c r="AB5" s="3455"/>
      <c r="AC5" s="3455"/>
    </row>
    <row r="6" spans="1:29" ht="15.75" thickBot="1">
      <c r="A6" s="348"/>
      <c r="B6" s="349"/>
      <c r="C6" s="3467" t="s">
        <v>1677</v>
      </c>
      <c r="D6" s="3468"/>
      <c r="E6" s="3469" t="s">
        <v>1677</v>
      </c>
      <c r="F6" s="3470"/>
      <c r="G6" s="3467" t="s">
        <v>1677</v>
      </c>
      <c r="H6" s="3468"/>
      <c r="I6" s="3467" t="s">
        <v>1677</v>
      </c>
      <c r="J6" s="3468"/>
      <c r="K6" s="535" t="s">
        <v>1678</v>
      </c>
      <c r="L6" s="2484"/>
      <c r="M6" s="2485"/>
      <c r="N6" s="2485"/>
      <c r="O6" s="2485"/>
      <c r="P6" s="3480"/>
      <c r="Q6" s="3481"/>
      <c r="R6" s="3461"/>
      <c r="S6" s="3462"/>
      <c r="T6" s="3482"/>
      <c r="U6" s="3483"/>
      <c r="V6" s="3484"/>
      <c r="W6" s="3484"/>
      <c r="X6" s="1262"/>
      <c r="Y6" s="3482"/>
      <c r="Z6" s="3483"/>
      <c r="AA6" s="3456"/>
      <c r="AB6" s="3456"/>
      <c r="AC6" s="3456"/>
    </row>
    <row r="7" spans="1:29" s="102" customFormat="1" ht="15.75" thickBot="1">
      <c r="A7" s="350" t="s">
        <v>1679</v>
      </c>
      <c r="B7" s="351"/>
      <c r="C7" s="352">
        <f>'数据-取费表'!B2</f>
        <v>45986</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57" t="s">
        <v>1680</v>
      </c>
      <c r="Q7" s="3485"/>
      <c r="R7" s="662" t="s">
        <v>14</v>
      </c>
      <c r="S7" s="663">
        <f t="shared" ref="S7:S14" si="0">F7</f>
        <v>0</v>
      </c>
      <c r="T7" s="662" t="s">
        <v>14</v>
      </c>
      <c r="U7" s="663">
        <f t="shared" ref="U7:U14" si="1">H7</f>
        <v>0</v>
      </c>
      <c r="V7" s="662" t="s">
        <v>14</v>
      </c>
      <c r="W7" s="663">
        <f t="shared" ref="W7:W14" si="2">J7</f>
        <v>0</v>
      </c>
      <c r="X7" s="664"/>
      <c r="Y7" s="3457" t="s">
        <v>1680</v>
      </c>
      <c r="Z7" s="3458"/>
      <c r="AA7" s="50" t="e">
        <f>D7/F7</f>
        <v>#DIV/0!</v>
      </c>
      <c r="AB7" s="50" t="e">
        <f>D7/H7</f>
        <v>#DIV/0!</v>
      </c>
      <c r="AC7" s="50" t="e">
        <f>D7/J7</f>
        <v>#DIV/0!</v>
      </c>
    </row>
    <row r="8" spans="1:29" s="102"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57" t="s">
        <v>1683</v>
      </c>
      <c r="Q8" s="3458"/>
      <c r="R8" s="662" t="s">
        <v>14</v>
      </c>
      <c r="S8" s="663">
        <f t="shared" si="0"/>
        <v>100</v>
      </c>
      <c r="T8" s="662" t="s">
        <v>14</v>
      </c>
      <c r="U8" s="663">
        <f t="shared" si="1"/>
        <v>100</v>
      </c>
      <c r="V8" s="662" t="s">
        <v>14</v>
      </c>
      <c r="W8" s="663">
        <f t="shared" si="2"/>
        <v>100</v>
      </c>
      <c r="X8" s="664"/>
      <c r="Y8" s="3457" t="s">
        <v>1683</v>
      </c>
      <c r="Z8" s="3458"/>
      <c r="AA8" s="50">
        <f t="shared" ref="AA8:AA34" si="3">D8/F8</f>
        <v>1</v>
      </c>
      <c r="AB8" s="50">
        <f t="shared" ref="AB8:AB34" si="4">D8/H8</f>
        <v>1</v>
      </c>
      <c r="AC8" s="50">
        <f t="shared" ref="AC8:AC34" si="5">D8/J8</f>
        <v>1</v>
      </c>
    </row>
    <row r="9" spans="1:29" s="102"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489" t="s">
        <v>1686</v>
      </c>
      <c r="Q9" s="528" t="str">
        <f t="shared" ref="Q9:Q14" si="6">B9</f>
        <v>用途</v>
      </c>
      <c r="R9" s="662" t="s">
        <v>14</v>
      </c>
      <c r="S9" s="663">
        <f t="shared" si="0"/>
        <v>100</v>
      </c>
      <c r="T9" s="662" t="s">
        <v>14</v>
      </c>
      <c r="U9" s="663">
        <f t="shared" si="1"/>
        <v>100</v>
      </c>
      <c r="V9" s="662" t="s">
        <v>14</v>
      </c>
      <c r="W9" s="663">
        <f t="shared" si="2"/>
        <v>100</v>
      </c>
      <c r="X9" s="664"/>
      <c r="Y9" s="3401" t="s">
        <v>1687</v>
      </c>
      <c r="Z9" s="50" t="str">
        <f t="shared" ref="Z9:Z14" si="7">Q9</f>
        <v>用途</v>
      </c>
      <c r="AA9" s="50">
        <f t="shared" si="3"/>
        <v>1</v>
      </c>
      <c r="AB9" s="50">
        <f t="shared" si="4"/>
        <v>1</v>
      </c>
      <c r="AC9" s="50">
        <f t="shared" si="5"/>
        <v>1</v>
      </c>
    </row>
    <row r="10" spans="1:29" s="364" customFormat="1" ht="27">
      <c r="A10" s="361"/>
      <c r="B10" s="362" t="s">
        <v>1688</v>
      </c>
      <c r="C10" s="3130"/>
      <c r="D10" s="117">
        <v>100</v>
      </c>
      <c r="E10" s="3130"/>
      <c r="F10" s="362">
        <f>SUMIF(53:53,E10,54:54)-SUMIF(53:53,C10,54:54)+100</f>
        <v>100</v>
      </c>
      <c r="G10" s="3130"/>
      <c r="H10" s="117">
        <f>SUMIF(53:53,G10,54:54)-SUMIF(53:53,C10,54:54)+100</f>
        <v>100</v>
      </c>
      <c r="I10" s="3130"/>
      <c r="J10" s="117">
        <f>SUMIF(53:53,I10,54:54)-SUMIF(53:53,C10,54:54)+100</f>
        <v>100</v>
      </c>
      <c r="K10" s="38"/>
      <c r="L10" s="2487"/>
      <c r="M10" s="2488"/>
      <c r="N10" s="2488"/>
      <c r="O10" s="2539"/>
      <c r="P10" s="3489"/>
      <c r="Q10" s="528" t="str">
        <f t="shared" si="6"/>
        <v>土地使用年限（年）</v>
      </c>
      <c r="R10" s="662" t="s">
        <v>14</v>
      </c>
      <c r="S10" s="663">
        <f t="shared" si="0"/>
        <v>100</v>
      </c>
      <c r="T10" s="662" t="s">
        <v>14</v>
      </c>
      <c r="U10" s="663">
        <f t="shared" si="1"/>
        <v>100</v>
      </c>
      <c r="V10" s="662" t="s">
        <v>14</v>
      </c>
      <c r="W10" s="663">
        <f t="shared" si="2"/>
        <v>100</v>
      </c>
      <c r="X10" s="664"/>
      <c r="Y10" s="3401"/>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489"/>
      <c r="Q11" s="528">
        <f t="shared" si="6"/>
        <v>111</v>
      </c>
      <c r="R11" s="662" t="s">
        <v>14</v>
      </c>
      <c r="S11" s="663">
        <f t="shared" si="0"/>
        <v>100</v>
      </c>
      <c r="T11" s="662" t="s">
        <v>14</v>
      </c>
      <c r="U11" s="663">
        <f t="shared" si="1"/>
        <v>100</v>
      </c>
      <c r="V11" s="662" t="s">
        <v>14</v>
      </c>
      <c r="W11" s="663">
        <f t="shared" si="2"/>
        <v>100</v>
      </c>
      <c r="X11" s="664"/>
      <c r="Y11" s="3401"/>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489"/>
      <c r="Q12" s="528">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489"/>
      <c r="Q13" s="528">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
      <c r="A14" s="377" t="s">
        <v>1690</v>
      </c>
      <c r="B14" s="58" t="s">
        <v>1833</v>
      </c>
      <c r="C14" s="1816">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490" t="s">
        <v>1691</v>
      </c>
      <c r="Q14" s="1260" t="str">
        <f t="shared" si="6"/>
        <v>交通便捷度</v>
      </c>
      <c r="R14" s="665" t="s">
        <v>14</v>
      </c>
      <c r="S14" s="666">
        <f t="shared" si="0"/>
        <v>100</v>
      </c>
      <c r="T14" s="665" t="s">
        <v>14</v>
      </c>
      <c r="U14" s="666">
        <f t="shared" si="1"/>
        <v>100</v>
      </c>
      <c r="V14" s="665" t="s">
        <v>14</v>
      </c>
      <c r="W14" s="666">
        <f t="shared" si="2"/>
        <v>100</v>
      </c>
      <c r="X14" s="1262"/>
      <c r="Y14" s="3490"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491"/>
      <c r="Q15" s="1260"/>
      <c r="R15" s="665"/>
      <c r="S15" s="666"/>
      <c r="T15" s="665"/>
      <c r="U15" s="666"/>
      <c r="V15" s="665"/>
      <c r="W15" s="666"/>
      <c r="X15" s="1262"/>
      <c r="Y15" s="3491"/>
      <c r="Z15" s="1261"/>
      <c r="AA15" s="1261">
        <v>1</v>
      </c>
      <c r="AB15" s="1261">
        <v>1</v>
      </c>
      <c r="AC15" s="1261">
        <v>1</v>
      </c>
    </row>
    <row r="16" spans="1:29" ht="15">
      <c r="A16" s="365"/>
      <c r="B16" s="388" t="s">
        <v>1812</v>
      </c>
      <c r="C16" s="1751">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491"/>
      <c r="Q16" s="1260" t="str">
        <f>B16</f>
        <v>公共配套设施</v>
      </c>
      <c r="R16" s="665" t="s">
        <v>14</v>
      </c>
      <c r="S16" s="666">
        <f>F16</f>
        <v>100</v>
      </c>
      <c r="T16" s="665" t="s">
        <v>14</v>
      </c>
      <c r="U16" s="666">
        <f>H16</f>
        <v>100</v>
      </c>
      <c r="V16" s="665" t="s">
        <v>14</v>
      </c>
      <c r="W16" s="666">
        <f>J16</f>
        <v>100</v>
      </c>
      <c r="X16" s="1262"/>
      <c r="Y16" s="3491"/>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491"/>
      <c r="Q17" s="1260"/>
      <c r="R17" s="665"/>
      <c r="S17" s="666"/>
      <c r="T17" s="665"/>
      <c r="U17" s="666"/>
      <c r="V17" s="665"/>
      <c r="W17" s="666"/>
      <c r="X17" s="1262"/>
      <c r="Y17" s="3491"/>
      <c r="Z17" s="1261"/>
      <c r="AA17" s="1261">
        <v>1</v>
      </c>
      <c r="AB17" s="1261">
        <v>1</v>
      </c>
      <c r="AC17" s="1261">
        <v>1</v>
      </c>
    </row>
    <row r="18" spans="1:29" ht="15">
      <c r="A18" s="365"/>
      <c r="B18" s="584" t="s">
        <v>1813</v>
      </c>
      <c r="C18" s="1751">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491"/>
      <c r="Q18" s="1260" t="str">
        <f>B18</f>
        <v>基础设施水平</v>
      </c>
      <c r="R18" s="665" t="s">
        <v>14</v>
      </c>
      <c r="S18" s="666">
        <f>F18</f>
        <v>100</v>
      </c>
      <c r="T18" s="665" t="s">
        <v>14</v>
      </c>
      <c r="U18" s="666">
        <f>H18</f>
        <v>100</v>
      </c>
      <c r="V18" s="665" t="s">
        <v>14</v>
      </c>
      <c r="W18" s="666">
        <f>J18</f>
        <v>100</v>
      </c>
      <c r="X18" s="1262"/>
      <c r="Y18" s="3491"/>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491"/>
      <c r="Q19" s="1260"/>
      <c r="R19" s="665"/>
      <c r="S19" s="666"/>
      <c r="T19" s="665"/>
      <c r="U19" s="666"/>
      <c r="V19" s="665"/>
      <c r="W19" s="666"/>
      <c r="X19" s="1262"/>
      <c r="Y19" s="3491"/>
      <c r="Z19" s="1261"/>
      <c r="AA19" s="1261">
        <v>1</v>
      </c>
      <c r="AB19" s="1261">
        <v>1</v>
      </c>
      <c r="AC19" s="1261">
        <v>1</v>
      </c>
    </row>
    <row r="20" spans="1:29" ht="15">
      <c r="A20" s="365"/>
      <c r="B20" s="388" t="s">
        <v>1834</v>
      </c>
      <c r="C20" s="1751">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491"/>
      <c r="Q20" s="1260" t="str">
        <f>B20</f>
        <v>自然及人文环境</v>
      </c>
      <c r="R20" s="665" t="s">
        <v>14</v>
      </c>
      <c r="S20" s="666">
        <f>F20</f>
        <v>100</v>
      </c>
      <c r="T20" s="665" t="s">
        <v>14</v>
      </c>
      <c r="U20" s="666">
        <f>H20</f>
        <v>100</v>
      </c>
      <c r="V20" s="665" t="s">
        <v>14</v>
      </c>
      <c r="W20" s="666">
        <f>J20</f>
        <v>100</v>
      </c>
      <c r="X20" s="1262"/>
      <c r="Y20" s="3491"/>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491"/>
      <c r="Q21" s="1260"/>
      <c r="R21" s="665"/>
      <c r="S21" s="666"/>
      <c r="T21" s="665"/>
      <c r="U21" s="666"/>
      <c r="V21" s="665"/>
      <c r="W21" s="666"/>
      <c r="X21" s="1262"/>
      <c r="Y21" s="3491"/>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491"/>
      <c r="Q22" s="1260" t="str">
        <f>B22</f>
        <v>楼层</v>
      </c>
      <c r="R22" s="665" t="s">
        <v>14</v>
      </c>
      <c r="S22" s="666">
        <f>F22</f>
        <v>100</v>
      </c>
      <c r="T22" s="665" t="s">
        <v>14</v>
      </c>
      <c r="U22" s="666">
        <f>H22</f>
        <v>100</v>
      </c>
      <c r="V22" s="665" t="s">
        <v>14</v>
      </c>
      <c r="W22" s="666">
        <f>J22</f>
        <v>100</v>
      </c>
      <c r="X22" s="1262"/>
      <c r="Y22" s="3491"/>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491"/>
      <c r="Q23" s="1260">
        <f>B23</f>
        <v>111</v>
      </c>
      <c r="R23" s="665" t="s">
        <v>14</v>
      </c>
      <c r="S23" s="666">
        <f>F23</f>
        <v>100</v>
      </c>
      <c r="T23" s="665" t="s">
        <v>14</v>
      </c>
      <c r="U23" s="666">
        <f>H23</f>
        <v>100</v>
      </c>
      <c r="V23" s="665" t="s">
        <v>14</v>
      </c>
      <c r="W23" s="666">
        <f>J23</f>
        <v>100</v>
      </c>
      <c r="X23" s="1262"/>
      <c r="Y23" s="3491"/>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491"/>
      <c r="Q24" s="1260">
        <f t="shared" ref="Q24:Q34" si="11">B24</f>
        <v>111</v>
      </c>
      <c r="R24" s="665" t="s">
        <v>14</v>
      </c>
      <c r="S24" s="666">
        <f>F24</f>
        <v>100</v>
      </c>
      <c r="T24" s="665" t="s">
        <v>14</v>
      </c>
      <c r="U24" s="666">
        <f>H24</f>
        <v>100</v>
      </c>
      <c r="V24" s="665" t="s">
        <v>14</v>
      </c>
      <c r="W24" s="666">
        <f>J24</f>
        <v>100</v>
      </c>
      <c r="X24" s="1262"/>
      <c r="Y24" s="3491"/>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491"/>
      <c r="Q25" s="528">
        <f t="shared" si="11"/>
        <v>111</v>
      </c>
      <c r="R25" s="662" t="s">
        <v>14</v>
      </c>
      <c r="S25" s="663">
        <f>F25</f>
        <v>100</v>
      </c>
      <c r="T25" s="662" t="s">
        <v>14</v>
      </c>
      <c r="U25" s="663">
        <f>H25</f>
        <v>100</v>
      </c>
      <c r="V25" s="662" t="s">
        <v>14</v>
      </c>
      <c r="W25" s="663">
        <f>J25</f>
        <v>100</v>
      </c>
      <c r="X25" s="664"/>
      <c r="Y25" s="3491"/>
      <c r="Z25" s="50">
        <f>Q25</f>
        <v>111</v>
      </c>
      <c r="AA25" s="1261">
        <f>D25/F25</f>
        <v>1</v>
      </c>
      <c r="AB25" s="1261">
        <f>D25/H25</f>
        <v>1</v>
      </c>
      <c r="AC25" s="1261">
        <f>D25/J25</f>
        <v>1</v>
      </c>
    </row>
    <row r="26" spans="1:29" ht="28.5">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514"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95"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495"/>
      <c r="Q27" s="529" t="str">
        <f t="shared" si="11"/>
        <v>成新率</v>
      </c>
      <c r="R27" s="667" t="s">
        <v>14</v>
      </c>
      <c r="S27" s="668" t="e">
        <f t="shared" si="12"/>
        <v>#N/A</v>
      </c>
      <c r="T27" s="667" t="s">
        <v>14</v>
      </c>
      <c r="U27" s="668" t="e">
        <f t="shared" si="13"/>
        <v>#N/A</v>
      </c>
      <c r="V27" s="667" t="s">
        <v>14</v>
      </c>
      <c r="W27" s="668" t="e">
        <f t="shared" si="14"/>
        <v>#N/A</v>
      </c>
      <c r="X27" s="669"/>
      <c r="Y27" s="3495"/>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495"/>
      <c r="Q28" s="1260" t="str">
        <f t="shared" si="11"/>
        <v>物业等级</v>
      </c>
      <c r="R28" s="665" t="s">
        <v>14</v>
      </c>
      <c r="S28" s="666">
        <f t="shared" si="12"/>
        <v>100</v>
      </c>
      <c r="T28" s="665" t="s">
        <v>14</v>
      </c>
      <c r="U28" s="666">
        <f t="shared" si="13"/>
        <v>100</v>
      </c>
      <c r="V28" s="665" t="s">
        <v>14</v>
      </c>
      <c r="W28" s="666">
        <f t="shared" si="14"/>
        <v>100</v>
      </c>
      <c r="X28" s="1262"/>
      <c r="Y28" s="3495"/>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495"/>
      <c r="Q29" s="1260" t="str">
        <f t="shared" si="11"/>
        <v>有无电梯</v>
      </c>
      <c r="R29" s="665" t="s">
        <v>14</v>
      </c>
      <c r="S29" s="666">
        <f t="shared" si="12"/>
        <v>100</v>
      </c>
      <c r="T29" s="665" t="s">
        <v>14</v>
      </c>
      <c r="U29" s="666">
        <f t="shared" si="13"/>
        <v>100</v>
      </c>
      <c r="V29" s="665" t="s">
        <v>14</v>
      </c>
      <c r="W29" s="666">
        <f t="shared" si="14"/>
        <v>100</v>
      </c>
      <c r="X29" s="1262"/>
      <c r="Y29" s="3495"/>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495"/>
      <c r="Q30" s="1260" t="str">
        <f t="shared" si="11"/>
        <v>建筑面积</v>
      </c>
      <c r="R30" s="665" t="s">
        <v>14</v>
      </c>
      <c r="S30" s="666" t="e">
        <f t="shared" si="12"/>
        <v>#N/A</v>
      </c>
      <c r="T30" s="665" t="s">
        <v>14</v>
      </c>
      <c r="U30" s="666" t="e">
        <f t="shared" si="13"/>
        <v>#N/A</v>
      </c>
      <c r="V30" s="665" t="s">
        <v>14</v>
      </c>
      <c r="W30" s="666" t="e">
        <f t="shared" si="14"/>
        <v>#N/A</v>
      </c>
      <c r="X30" s="1262"/>
      <c r="Y30" s="3495"/>
      <c r="Z30" s="1261" t="str">
        <f t="shared" si="15"/>
        <v>建筑面积</v>
      </c>
      <c r="AA30" s="1261" t="e">
        <f t="shared" si="3"/>
        <v>#N/A</v>
      </c>
      <c r="AB30" s="1261" t="e">
        <f t="shared" si="4"/>
        <v>#N/A</v>
      </c>
      <c r="AC30" s="1261"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495"/>
      <c r="Q31" s="528" t="str">
        <f t="shared" si="11"/>
        <v>是否封闭</v>
      </c>
      <c r="R31" s="662" t="s">
        <v>14</v>
      </c>
      <c r="S31" s="663">
        <f t="shared" si="12"/>
        <v>100</v>
      </c>
      <c r="T31" s="662" t="s">
        <v>14</v>
      </c>
      <c r="U31" s="663">
        <f t="shared" si="13"/>
        <v>100</v>
      </c>
      <c r="V31" s="662" t="s">
        <v>14</v>
      </c>
      <c r="W31" s="663">
        <f t="shared" si="14"/>
        <v>100</v>
      </c>
      <c r="X31" s="664"/>
      <c r="Y31" s="3495"/>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495" t="s">
        <v>1696</v>
      </c>
      <c r="Q32" s="1260">
        <f t="shared" si="11"/>
        <v>111</v>
      </c>
      <c r="R32" s="665" t="s">
        <v>14</v>
      </c>
      <c r="S32" s="666">
        <f t="shared" si="12"/>
        <v>100</v>
      </c>
      <c r="T32" s="665" t="s">
        <v>14</v>
      </c>
      <c r="U32" s="666">
        <f t="shared" si="13"/>
        <v>100</v>
      </c>
      <c r="V32" s="665" t="s">
        <v>14</v>
      </c>
      <c r="W32" s="666">
        <f t="shared" si="14"/>
        <v>100</v>
      </c>
      <c r="X32" s="1262"/>
      <c r="Y32" s="3495"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495"/>
      <c r="Q33" s="1260">
        <f t="shared" si="11"/>
        <v>111</v>
      </c>
      <c r="R33" s="665" t="s">
        <v>14</v>
      </c>
      <c r="S33" s="666">
        <f t="shared" si="12"/>
        <v>100</v>
      </c>
      <c r="T33" s="665" t="s">
        <v>14</v>
      </c>
      <c r="U33" s="666">
        <f t="shared" si="13"/>
        <v>100</v>
      </c>
      <c r="V33" s="665" t="s">
        <v>14</v>
      </c>
      <c r="W33" s="666">
        <f t="shared" si="14"/>
        <v>100</v>
      </c>
      <c r="X33" s="1262"/>
      <c r="Y33" s="3495"/>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495"/>
      <c r="Q34" s="1260">
        <f t="shared" si="11"/>
        <v>111</v>
      </c>
      <c r="R34" s="665" t="s">
        <v>14</v>
      </c>
      <c r="S34" s="666">
        <f t="shared" si="12"/>
        <v>100</v>
      </c>
      <c r="T34" s="665" t="s">
        <v>14</v>
      </c>
      <c r="U34" s="666">
        <f t="shared" si="13"/>
        <v>100</v>
      </c>
      <c r="V34" s="665" t="s">
        <v>14</v>
      </c>
      <c r="W34" s="666">
        <f t="shared" si="14"/>
        <v>100</v>
      </c>
      <c r="X34" s="1262"/>
      <c r="Y34" s="3495"/>
      <c r="Z34" s="1261">
        <f t="shared" si="15"/>
        <v>111</v>
      </c>
      <c r="AA34" s="1261">
        <f t="shared" si="3"/>
        <v>1</v>
      </c>
      <c r="AB34" s="1261">
        <f t="shared" si="4"/>
        <v>1</v>
      </c>
      <c r="AC34" s="1261">
        <f t="shared" si="5"/>
        <v>1</v>
      </c>
    </row>
    <row r="35" spans="1:30" ht="15">
      <c r="A35" s="414" t="s">
        <v>1708</v>
      </c>
      <c r="B35" s="415"/>
      <c r="C35" s="1079" t="s">
        <v>0</v>
      </c>
      <c r="D35" s="416"/>
      <c r="E35" s="417"/>
      <c r="F35" s="418"/>
      <c r="G35" s="419"/>
      <c r="H35" s="420"/>
      <c r="I35" s="417"/>
      <c r="J35" s="420"/>
      <c r="K35" s="672"/>
      <c r="L35" s="2492"/>
      <c r="M35" s="2485"/>
      <c r="N35" s="2485"/>
      <c r="O35" s="2485"/>
      <c r="P35" s="3489" t="str">
        <f>A35</f>
        <v>成交单价（元/平方米）</v>
      </c>
      <c r="Q35" s="3489"/>
      <c r="R35" s="3484">
        <f>E35</f>
        <v>0</v>
      </c>
      <c r="S35" s="3484"/>
      <c r="T35" s="3484">
        <f>G35</f>
        <v>0</v>
      </c>
      <c r="U35" s="3484"/>
      <c r="V35" s="3484">
        <f>I35</f>
        <v>0</v>
      </c>
      <c r="W35" s="3484"/>
      <c r="X35" s="383"/>
      <c r="Y35" s="671"/>
      <c r="Z35" s="383"/>
      <c r="AA35" s="383"/>
      <c r="AB35" s="383"/>
      <c r="AC35" s="383"/>
    </row>
    <row r="36" spans="1:30" ht="15.75" thickBot="1">
      <c r="A36" s="421" t="s">
        <v>1793</v>
      </c>
      <c r="B36" s="422"/>
      <c r="C36" s="1080" t="e">
        <f>R37</f>
        <v>#DIV/0!</v>
      </c>
      <c r="D36" s="2138" t="s">
        <v>2135</v>
      </c>
      <c r="E36" s="1081" t="e">
        <f>R36</f>
        <v>#DIV/0!</v>
      </c>
      <c r="F36" s="2139"/>
      <c r="G36" s="1080" t="e">
        <f>T36</f>
        <v>#DIV/0!</v>
      </c>
      <c r="H36" s="2139"/>
      <c r="I36" s="1081" t="e">
        <f>V36</f>
        <v>#DIV/0!</v>
      </c>
      <c r="J36" s="2139"/>
      <c r="K36" s="2141">
        <f>F36+H36+J36</f>
        <v>0</v>
      </c>
      <c r="L36" s="2492"/>
      <c r="M36" s="2485"/>
      <c r="N36" s="2485"/>
      <c r="O36" s="2485"/>
      <c r="P36" s="3489" t="str">
        <f>A36</f>
        <v>比较价值（元/平方米）</v>
      </c>
      <c r="Q36" s="348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92"/>
      <c r="M37" s="2485"/>
      <c r="N37" s="2485"/>
      <c r="O37" s="2485"/>
      <c r="P37" s="3486" t="str">
        <f>A37</f>
        <v>估价对象XX用房的比较价值（楼面单价，元/平方米）</v>
      </c>
      <c r="Q37" s="3487"/>
      <c r="R37" s="3515" t="e">
        <f>IF(F1="售价",ROUND(IF(D36="简单平均",AVERAGE(R36:W36),R36*F36+T36*H36+V36*J36),0),ROUND(IF(D36="简单平均",AVERAGE(R36:V36),R36*F36+T36*H36+V36*J36),1))</f>
        <v>#DIV/0!</v>
      </c>
      <c r="S37" s="3515"/>
      <c r="T37" s="3515"/>
      <c r="U37" s="3515"/>
      <c r="V37" s="3515"/>
      <c r="W37" s="3515"/>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1798</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1679</v>
      </c>
      <c r="B46" s="439"/>
      <c r="C46" s="1100" t="str">
        <f>YEAR(C7)&amp;"-"&amp;MONTH(C7)</f>
        <v>2025-11</v>
      </c>
      <c r="D46" s="1101">
        <f>EDATE(C46,-1)</f>
        <v>45931</v>
      </c>
      <c r="E46" s="1101">
        <f t="shared" ref="E46:O46" si="16">EDATE(D46,-1)</f>
        <v>45901</v>
      </c>
      <c r="F46" s="1101">
        <f t="shared" si="16"/>
        <v>45870</v>
      </c>
      <c r="G46" s="1101">
        <f t="shared" si="16"/>
        <v>45839</v>
      </c>
      <c r="H46" s="1101">
        <f t="shared" si="16"/>
        <v>45809</v>
      </c>
      <c r="I46" s="1101">
        <f t="shared" si="16"/>
        <v>45778</v>
      </c>
      <c r="J46" s="1101">
        <f t="shared" si="16"/>
        <v>45748</v>
      </c>
      <c r="K46" s="1101">
        <f t="shared" si="16"/>
        <v>45717</v>
      </c>
      <c r="L46" s="1101">
        <f t="shared" si="16"/>
        <v>45689</v>
      </c>
      <c r="M46" s="1101">
        <f t="shared" si="16"/>
        <v>45658</v>
      </c>
      <c r="N46" s="1101">
        <f t="shared" si="16"/>
        <v>45627</v>
      </c>
      <c r="O46" s="1101">
        <f t="shared" si="16"/>
        <v>45597</v>
      </c>
      <c r="P46" s="2508"/>
      <c r="Q46" s="2508"/>
      <c r="R46" s="2508"/>
      <c r="S46" s="2508"/>
      <c r="T46" s="2508"/>
      <c r="U46" s="2508"/>
      <c r="V46" s="2508"/>
      <c r="W46" s="2508"/>
      <c r="X46" s="2508"/>
      <c r="Y46" s="2508"/>
      <c r="Z46" s="2508"/>
      <c r="AA46" s="2508"/>
      <c r="AB46" s="2508"/>
      <c r="AC46" s="2508"/>
      <c r="AD46" s="2508"/>
    </row>
    <row r="47" spans="1:30" s="102"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75" thickBot="1">
      <c r="A48" s="447" t="s">
        <v>1716</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5">
      <c r="A49" s="453" t="s">
        <v>1681</v>
      </c>
      <c r="B49" s="442"/>
      <c r="C49" s="454" t="s">
        <v>1776</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1719</v>
      </c>
      <c r="B51" s="458" t="s">
        <v>1685</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1688</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1863</v>
      </c>
      <c r="C63" s="507" t="s">
        <v>1721</v>
      </c>
      <c r="D63" s="507" t="s">
        <v>1722</v>
      </c>
      <c r="E63" s="507" t="s">
        <v>1723</v>
      </c>
      <c r="F63" s="507" t="s">
        <v>1724</v>
      </c>
      <c r="G63" s="507" t="s">
        <v>1725</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1813</v>
      </c>
      <c r="C65" s="579" t="s">
        <v>1799</v>
      </c>
      <c r="D65" s="579" t="s">
        <v>1800</v>
      </c>
      <c r="E65" s="579" t="s">
        <v>1801</v>
      </c>
      <c r="F65" s="579" t="s">
        <v>1802</v>
      </c>
      <c r="G65" s="579" t="s">
        <v>1803</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1733</v>
      </c>
      <c r="C67" s="507" t="s">
        <v>1721</v>
      </c>
      <c r="D67" s="507" t="s">
        <v>1722</v>
      </c>
      <c r="E67" s="507" t="s">
        <v>1723</v>
      </c>
      <c r="F67" s="507" t="s">
        <v>1724</v>
      </c>
      <c r="G67" s="507" t="s">
        <v>1725</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1852</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1694</v>
      </c>
      <c r="B77" s="458" t="s">
        <v>1740</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1856</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1864</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1866</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CFE41-5AEF-40CB-88BA-6CB08461AD28}">
  <dimension ref="A1:AI59"/>
  <sheetViews>
    <sheetView zoomScale="85" zoomScaleNormal="85" workbookViewId="0">
      <pane xSplit="1" topLeftCell="H1" activePane="topRight" state="frozen"/>
      <selection pane="topRight" activeCell="R57" sqref="R57"/>
    </sheetView>
  </sheetViews>
  <sheetFormatPr defaultRowHeight="12.75"/>
  <cols>
    <col min="1" max="1" width="43" style="3202" customWidth="1"/>
    <col min="2" max="2" width="19" style="3213" customWidth="1"/>
    <col min="3" max="3" width="8.75" style="3213" bestFit="1" customWidth="1"/>
    <col min="4" max="4" width="19.375" style="3213" hidden="1" customWidth="1"/>
    <col min="5" max="5" width="71.375" style="3213" hidden="1" customWidth="1"/>
    <col min="6" max="6" width="13" style="3213" hidden="1" customWidth="1"/>
    <col min="7" max="7" width="16.75" style="3213" customWidth="1"/>
    <col min="8" max="8" width="17.5" style="3213" customWidth="1"/>
    <col min="9" max="11" width="10" style="3213" hidden="1" customWidth="1"/>
    <col min="12" max="12" width="10" style="3213" bestFit="1" customWidth="1"/>
    <col min="13" max="13" width="22.5" style="3213" customWidth="1"/>
    <col min="14" max="15" width="9.625" style="3213" bestFit="1" customWidth="1"/>
    <col min="16" max="16" width="6.75" style="3213" bestFit="1" customWidth="1"/>
    <col min="17" max="17" width="7.375" style="3213" customWidth="1"/>
    <col min="18" max="19" width="8" style="3213" bestFit="1" customWidth="1"/>
    <col min="20" max="20" width="6.375" style="3220" bestFit="1" customWidth="1"/>
    <col min="21" max="21" width="9.625" style="3220" bestFit="1" customWidth="1"/>
    <col min="22" max="22" width="10.5" style="3220" bestFit="1" customWidth="1"/>
    <col min="23" max="23" width="9.375" style="3220" bestFit="1" customWidth="1"/>
    <col min="24" max="24" width="10.5" style="3221" bestFit="1" customWidth="1"/>
    <col min="25" max="25" width="11.375" style="3222" bestFit="1" customWidth="1"/>
    <col min="26" max="26" width="8.5" style="3213" bestFit="1" customWidth="1"/>
    <col min="27" max="27" width="7.75" style="3213" bestFit="1" customWidth="1"/>
    <col min="28" max="28" width="7.75" style="3213" customWidth="1"/>
    <col min="29" max="29" width="6.375" style="3213" bestFit="1" customWidth="1"/>
    <col min="30" max="30" width="14" style="3213" customWidth="1"/>
    <col min="31" max="31" width="8" style="3213" bestFit="1" customWidth="1"/>
    <col min="32" max="32" width="27" style="3213" customWidth="1"/>
    <col min="33" max="33" width="26.625" style="3213" customWidth="1"/>
    <col min="34" max="34" width="33.75" style="3213" customWidth="1"/>
    <col min="35" max="35" width="26.625" style="3213" bestFit="1" customWidth="1"/>
    <col min="36" max="16384" width="9" style="3213"/>
  </cols>
  <sheetData>
    <row r="1" spans="1:35" s="3202" customFormat="1" ht="38.25">
      <c r="A1" s="3199" t="s">
        <v>3683</v>
      </c>
      <c r="B1" s="3199" t="s">
        <v>3680</v>
      </c>
      <c r="C1" s="3199" t="s">
        <v>3681</v>
      </c>
      <c r="D1" s="3199" t="s">
        <v>3691</v>
      </c>
      <c r="E1" s="3199" t="s">
        <v>3692</v>
      </c>
      <c r="F1" s="3199" t="s">
        <v>3677</v>
      </c>
      <c r="G1" s="3199" t="s">
        <v>3693</v>
      </c>
      <c r="H1" s="3199" t="s">
        <v>3676</v>
      </c>
      <c r="I1" s="3199" t="s">
        <v>3694</v>
      </c>
      <c r="J1" s="3199" t="s">
        <v>3695</v>
      </c>
      <c r="K1" s="3199" t="s">
        <v>3672</v>
      </c>
      <c r="L1" s="3199" t="s">
        <v>3671</v>
      </c>
      <c r="M1" s="3199" t="s">
        <v>3696</v>
      </c>
      <c r="N1" s="3199" t="s">
        <v>3679</v>
      </c>
      <c r="O1" s="3199" t="s">
        <v>3678</v>
      </c>
      <c r="P1" s="3199" t="s">
        <v>3697</v>
      </c>
      <c r="Q1" s="3199" t="s">
        <v>3674</v>
      </c>
      <c r="R1" s="3199" t="s">
        <v>3698</v>
      </c>
      <c r="S1" s="3199" t="s">
        <v>3673</v>
      </c>
      <c r="T1" s="3197" t="s">
        <v>3684</v>
      </c>
      <c r="U1" s="3197" t="s">
        <v>3685</v>
      </c>
      <c r="V1" s="3197" t="s">
        <v>3686</v>
      </c>
      <c r="W1" s="3197" t="s">
        <v>3667</v>
      </c>
      <c r="X1" s="3200" t="s">
        <v>3699</v>
      </c>
      <c r="Y1" s="3201" t="s">
        <v>4025</v>
      </c>
      <c r="Z1" s="3199" t="s">
        <v>3665</v>
      </c>
      <c r="AA1" s="3199" t="s">
        <v>3700</v>
      </c>
      <c r="AB1" s="3199" t="s">
        <v>3666</v>
      </c>
      <c r="AC1" s="3199" t="s">
        <v>3701</v>
      </c>
      <c r="AD1" s="3199" t="s">
        <v>3675</v>
      </c>
      <c r="AE1" s="3199" t="s">
        <v>3702</v>
      </c>
      <c r="AF1" s="3199" t="s">
        <v>3664</v>
      </c>
      <c r="AG1" s="3199" t="s">
        <v>3703</v>
      </c>
      <c r="AH1" s="3199" t="s">
        <v>3704</v>
      </c>
      <c r="AI1" s="3199" t="s">
        <v>3705</v>
      </c>
    </row>
    <row r="2" spans="1:35" s="3192" customFormat="1" ht="12" hidden="1" customHeight="1">
      <c r="A2" s="3199" t="s">
        <v>3663</v>
      </c>
      <c r="B2" s="3203"/>
      <c r="C2" s="3204" t="s">
        <v>3540</v>
      </c>
      <c r="D2" s="3204" t="s">
        <v>3662</v>
      </c>
      <c r="E2" s="3204">
        <v>11304.48</v>
      </c>
      <c r="F2" s="3204">
        <v>71783.47</v>
      </c>
      <c r="G2" s="3204" t="s">
        <v>3530</v>
      </c>
      <c r="H2" s="3204" t="s">
        <v>3556</v>
      </c>
      <c r="I2" s="3204" t="s">
        <v>3661</v>
      </c>
      <c r="J2" s="3204" t="s">
        <v>3660</v>
      </c>
      <c r="K2" s="3204" t="s">
        <v>3526</v>
      </c>
      <c r="L2" s="3204" t="s">
        <v>3659</v>
      </c>
      <c r="M2" s="3205"/>
      <c r="N2" s="3194">
        <v>11304.48</v>
      </c>
      <c r="O2" s="3194">
        <v>71783.47</v>
      </c>
      <c r="P2" s="3203"/>
      <c r="Q2" s="3194" t="s">
        <v>3660</v>
      </c>
      <c r="R2" s="3203"/>
      <c r="S2" s="3194" t="s">
        <v>3526</v>
      </c>
      <c r="T2" s="3205"/>
      <c r="U2" s="3203"/>
      <c r="V2" s="3203"/>
      <c r="W2" s="3197">
        <v>83108.639999999999</v>
      </c>
      <c r="X2" s="3205"/>
      <c r="Y2" s="3204">
        <v>0</v>
      </c>
      <c r="Z2" s="3204">
        <v>5540.58</v>
      </c>
      <c r="AA2" s="3204"/>
      <c r="AB2" s="3204">
        <v>13088</v>
      </c>
      <c r="AC2" s="3204"/>
      <c r="AD2" s="3204"/>
      <c r="AE2" s="3204"/>
      <c r="AF2" s="3204" t="s">
        <v>3658</v>
      </c>
      <c r="AG2" s="3204"/>
      <c r="AH2" s="3204"/>
      <c r="AI2" s="3204"/>
    </row>
    <row r="3" spans="1:35" s="3192" customFormat="1" ht="12" hidden="1" customHeight="1">
      <c r="A3" s="3199" t="s">
        <v>3657</v>
      </c>
      <c r="B3" s="3203"/>
      <c r="C3" s="3204" t="s">
        <v>3540</v>
      </c>
      <c r="D3" s="3204" t="s">
        <v>3656</v>
      </c>
      <c r="E3" s="3204">
        <v>10200.06</v>
      </c>
      <c r="F3" s="3204">
        <v>20400.12</v>
      </c>
      <c r="G3" s="3204" t="s">
        <v>3530</v>
      </c>
      <c r="H3" s="3204" t="s">
        <v>3529</v>
      </c>
      <c r="I3" s="3204" t="s">
        <v>3650</v>
      </c>
      <c r="J3" s="3204" t="s">
        <v>3655</v>
      </c>
      <c r="K3" s="3204" t="s">
        <v>3526</v>
      </c>
      <c r="L3" s="3204" t="s">
        <v>3654</v>
      </c>
      <c r="M3" s="3205"/>
      <c r="N3" s="3194">
        <v>10200.06</v>
      </c>
      <c r="O3" s="3194">
        <v>20400.12</v>
      </c>
      <c r="P3" s="3203"/>
      <c r="Q3" s="3194" t="s">
        <v>3655</v>
      </c>
      <c r="R3" s="3203"/>
      <c r="S3" s="3194" t="s">
        <v>3526</v>
      </c>
      <c r="T3" s="3205"/>
      <c r="U3" s="3203"/>
      <c r="V3" s="3203"/>
      <c r="W3" s="3197">
        <v>14509.71</v>
      </c>
      <c r="X3" s="3205"/>
      <c r="Y3" s="3204">
        <v>0</v>
      </c>
      <c r="Z3" s="3204">
        <v>967.31</v>
      </c>
      <c r="AA3" s="3204"/>
      <c r="AB3" s="3204">
        <v>7255</v>
      </c>
      <c r="AC3" s="3204"/>
      <c r="AD3" s="3204"/>
      <c r="AE3" s="3204"/>
      <c r="AF3" s="3204" t="s">
        <v>3653</v>
      </c>
      <c r="AG3" s="3204"/>
      <c r="AH3" s="3204"/>
      <c r="AI3" s="3204"/>
    </row>
    <row r="4" spans="1:35" s="3192" customFormat="1" ht="12" hidden="1" customHeight="1">
      <c r="A4" s="3199" t="s">
        <v>3652</v>
      </c>
      <c r="B4" s="3203"/>
      <c r="C4" s="3204" t="s">
        <v>3540</v>
      </c>
      <c r="D4" s="3204" t="s">
        <v>3651</v>
      </c>
      <c r="E4" s="3204">
        <v>21545.599999999999</v>
      </c>
      <c r="F4" s="3204">
        <v>40505.730000000003</v>
      </c>
      <c r="G4" s="3204" t="s">
        <v>3530</v>
      </c>
      <c r="H4" s="3204" t="s">
        <v>3556</v>
      </c>
      <c r="I4" s="3204" t="s">
        <v>3650</v>
      </c>
      <c r="J4" s="3204" t="s">
        <v>3649</v>
      </c>
      <c r="K4" s="3204" t="s">
        <v>3526</v>
      </c>
      <c r="L4" s="3204" t="s">
        <v>3648</v>
      </c>
      <c r="M4" s="3205"/>
      <c r="N4" s="3194">
        <v>21545.599999999999</v>
      </c>
      <c r="O4" s="3194">
        <v>40505.730000000003</v>
      </c>
      <c r="P4" s="3203"/>
      <c r="Q4" s="3194" t="s">
        <v>3649</v>
      </c>
      <c r="R4" s="3203"/>
      <c r="S4" s="3194" t="s">
        <v>3526</v>
      </c>
      <c r="T4" s="3205"/>
      <c r="U4" s="3203"/>
      <c r="V4" s="3203"/>
      <c r="W4" s="3197">
        <v>17404.939999999999</v>
      </c>
      <c r="X4" s="3205"/>
      <c r="Y4" s="3204">
        <v>0</v>
      </c>
      <c r="Z4" s="3204">
        <v>1160.33</v>
      </c>
      <c r="AA4" s="3204"/>
      <c r="AB4" s="3204">
        <v>9258</v>
      </c>
      <c r="AC4" s="3204"/>
      <c r="AD4" s="3204"/>
      <c r="AE4" s="3204"/>
      <c r="AF4" s="3204" t="s">
        <v>3647</v>
      </c>
      <c r="AG4" s="3204"/>
      <c r="AH4" s="3204"/>
      <c r="AI4" s="3204"/>
    </row>
    <row r="5" spans="1:35" s="3202" customFormat="1" ht="25.5" hidden="1">
      <c r="A5" s="3199" t="s">
        <v>3646</v>
      </c>
      <c r="B5" s="3204" t="s">
        <v>3645</v>
      </c>
      <c r="C5" s="3204" t="s">
        <v>3540</v>
      </c>
      <c r="D5" s="3199"/>
      <c r="E5" s="3199"/>
      <c r="F5" s="3199"/>
      <c r="G5" s="3204" t="s">
        <v>3706</v>
      </c>
      <c r="H5" s="3204" t="s">
        <v>3556</v>
      </c>
      <c r="I5" s="3199"/>
      <c r="J5" s="3199"/>
      <c r="K5" s="3199"/>
      <c r="L5" s="3204" t="s">
        <v>3639</v>
      </c>
      <c r="M5" s="3204" t="s">
        <v>3645</v>
      </c>
      <c r="N5" s="3204">
        <v>31330.48</v>
      </c>
      <c r="O5" s="3204">
        <v>122233</v>
      </c>
      <c r="P5" s="3204">
        <v>163410</v>
      </c>
      <c r="Q5" s="3204" t="s">
        <v>3644</v>
      </c>
      <c r="R5" s="3204">
        <v>7.5</v>
      </c>
      <c r="S5" s="3206" t="s">
        <v>3526</v>
      </c>
      <c r="T5" s="3200">
        <v>0</v>
      </c>
      <c r="U5" s="3200">
        <v>1.1382000000000001</v>
      </c>
      <c r="V5" s="3200">
        <v>1.2158</v>
      </c>
      <c r="W5" s="3197">
        <v>52156.88</v>
      </c>
      <c r="X5" s="3207">
        <f t="shared" ref="X5:X36" si="0">ROUND(AB5*V5/U5,0)</f>
        <v>14280</v>
      </c>
      <c r="Y5" s="3208">
        <f t="shared" ref="Y5:Y20" si="1">ROUND(X5*1.2302/V5,0)</f>
        <v>14449</v>
      </c>
      <c r="Z5" s="3204">
        <v>3477.13</v>
      </c>
      <c r="AA5" s="3204">
        <v>13369</v>
      </c>
      <c r="AB5" s="3204">
        <v>13369</v>
      </c>
      <c r="AC5" s="3204">
        <v>0</v>
      </c>
      <c r="AD5" s="3204" t="s">
        <v>3629</v>
      </c>
      <c r="AE5" s="3204" t="s">
        <v>3707</v>
      </c>
      <c r="AF5" s="3204" t="s">
        <v>3643</v>
      </c>
      <c r="AG5" s="3199"/>
      <c r="AH5" s="3199"/>
      <c r="AI5" s="3199"/>
    </row>
    <row r="6" spans="1:35" s="3231" customFormat="1" ht="25.5" hidden="1">
      <c r="A6" s="3227" t="s">
        <v>3642</v>
      </c>
      <c r="B6" s="3228" t="s">
        <v>3641</v>
      </c>
      <c r="C6" s="3228" t="s">
        <v>3540</v>
      </c>
      <c r="D6" s="3227"/>
      <c r="E6" s="3227"/>
      <c r="F6" s="3227"/>
      <c r="G6" s="3228" t="s">
        <v>3706</v>
      </c>
      <c r="H6" s="3228" t="s">
        <v>3556</v>
      </c>
      <c r="I6" s="3227"/>
      <c r="J6" s="3227"/>
      <c r="K6" s="3227"/>
      <c r="L6" s="3228" t="s">
        <v>3639</v>
      </c>
      <c r="M6" s="3228" t="s">
        <v>3641</v>
      </c>
      <c r="N6" s="3228">
        <v>4239.42</v>
      </c>
      <c r="O6" s="3228">
        <v>16957.66</v>
      </c>
      <c r="P6" s="3228">
        <v>22680</v>
      </c>
      <c r="Q6" s="3228" t="s">
        <v>3640</v>
      </c>
      <c r="R6" s="3228">
        <v>4</v>
      </c>
      <c r="S6" s="3229" t="s">
        <v>3526</v>
      </c>
      <c r="T6" s="3230">
        <v>6</v>
      </c>
      <c r="U6" s="3230">
        <v>0.91859999999999997</v>
      </c>
      <c r="V6" s="3230">
        <v>1.2158</v>
      </c>
      <c r="W6" s="3227">
        <v>53497.88</v>
      </c>
      <c r="X6" s="3229">
        <f t="shared" si="0"/>
        <v>17701</v>
      </c>
      <c r="Y6" s="3228">
        <f t="shared" si="1"/>
        <v>17911</v>
      </c>
      <c r="Z6" s="3228">
        <v>3566.53</v>
      </c>
      <c r="AA6" s="3228">
        <v>13374</v>
      </c>
      <c r="AB6" s="3228">
        <v>13374</v>
      </c>
      <c r="AC6" s="3228">
        <v>0</v>
      </c>
      <c r="AD6" s="3228" t="s">
        <v>3629</v>
      </c>
      <c r="AE6" s="3228" t="s">
        <v>3707</v>
      </c>
      <c r="AF6" s="3228" t="s">
        <v>3638</v>
      </c>
      <c r="AG6" s="3227"/>
      <c r="AH6" s="3227"/>
      <c r="AI6" s="3227"/>
    </row>
    <row r="7" spans="1:35" s="3202" customFormat="1" ht="25.5" hidden="1">
      <c r="A7" s="3199" t="s">
        <v>3637</v>
      </c>
      <c r="B7" s="3204" t="s">
        <v>3636</v>
      </c>
      <c r="C7" s="3204" t="s">
        <v>3607</v>
      </c>
      <c r="D7" s="3199"/>
      <c r="E7" s="3199"/>
      <c r="F7" s="3199"/>
      <c r="G7" s="3204" t="s">
        <v>3708</v>
      </c>
      <c r="H7" s="3204" t="s">
        <v>3635</v>
      </c>
      <c r="I7" s="3199"/>
      <c r="J7" s="3199"/>
      <c r="K7" s="3199"/>
      <c r="L7" s="3204" t="s">
        <v>3633</v>
      </c>
      <c r="M7" s="3204" t="s">
        <v>3636</v>
      </c>
      <c r="N7" s="3204">
        <v>54036.49</v>
      </c>
      <c r="O7" s="3204">
        <v>81054.740000000005</v>
      </c>
      <c r="P7" s="3204">
        <v>56400</v>
      </c>
      <c r="Q7" s="3204" t="s">
        <v>3604</v>
      </c>
      <c r="R7" s="3204">
        <v>1.5</v>
      </c>
      <c r="S7" s="3206" t="s">
        <v>3526</v>
      </c>
      <c r="T7" s="3200">
        <v>7</v>
      </c>
      <c r="U7" s="3200">
        <v>1.1214999999999999</v>
      </c>
      <c r="V7" s="3200">
        <v>1.2158</v>
      </c>
      <c r="W7" s="3197">
        <v>10437.39</v>
      </c>
      <c r="X7" s="3207">
        <f t="shared" si="0"/>
        <v>7543</v>
      </c>
      <c r="Y7" s="3208">
        <f t="shared" si="1"/>
        <v>7632</v>
      </c>
      <c r="Z7" s="3204">
        <v>695.83</v>
      </c>
      <c r="AA7" s="3204">
        <v>6958</v>
      </c>
      <c r="AB7" s="3204">
        <v>6958</v>
      </c>
      <c r="AC7" s="3204">
        <v>0</v>
      </c>
      <c r="AD7" s="3204" t="s">
        <v>3634</v>
      </c>
      <c r="AE7" s="3204" t="s">
        <v>3707</v>
      </c>
      <c r="AF7" s="3204" t="s">
        <v>3632</v>
      </c>
      <c r="AG7" s="3199"/>
      <c r="AH7" s="3199"/>
      <c r="AI7" s="3199"/>
    </row>
    <row r="8" spans="1:35" s="3231" customFormat="1" ht="25.5" hidden="1">
      <c r="A8" s="3227" t="s">
        <v>3631</v>
      </c>
      <c r="B8" s="3228" t="s">
        <v>3630</v>
      </c>
      <c r="C8" s="3228" t="s">
        <v>3540</v>
      </c>
      <c r="D8" s="3227"/>
      <c r="E8" s="3227"/>
      <c r="F8" s="3227"/>
      <c r="G8" s="3228" t="s">
        <v>3706</v>
      </c>
      <c r="H8" s="3228" t="s">
        <v>3556</v>
      </c>
      <c r="I8" s="3227"/>
      <c r="J8" s="3227"/>
      <c r="K8" s="3227"/>
      <c r="L8" s="3228" t="s">
        <v>3627</v>
      </c>
      <c r="M8" s="3228" t="s">
        <v>3630</v>
      </c>
      <c r="N8" s="3228">
        <v>5369.21</v>
      </c>
      <c r="O8" s="3228">
        <v>12886.11</v>
      </c>
      <c r="P8" s="3228">
        <v>17220</v>
      </c>
      <c r="Q8" s="3228" t="s">
        <v>3628</v>
      </c>
      <c r="R8" s="3228">
        <v>2.4</v>
      </c>
      <c r="S8" s="3229" t="s">
        <v>3526</v>
      </c>
      <c r="T8" s="3230">
        <v>6</v>
      </c>
      <c r="U8" s="3230">
        <v>1.0089999999999999</v>
      </c>
      <c r="V8" s="3230">
        <v>1.2158</v>
      </c>
      <c r="W8" s="3227">
        <v>32071.75</v>
      </c>
      <c r="X8" s="3229">
        <f t="shared" si="0"/>
        <v>16102</v>
      </c>
      <c r="Y8" s="3228">
        <f t="shared" si="1"/>
        <v>16293</v>
      </c>
      <c r="Z8" s="3228">
        <v>2138.12</v>
      </c>
      <c r="AA8" s="3228">
        <v>13363</v>
      </c>
      <c r="AB8" s="3228">
        <v>13363</v>
      </c>
      <c r="AC8" s="3228">
        <v>0</v>
      </c>
      <c r="AD8" s="3228" t="s">
        <v>3629</v>
      </c>
      <c r="AE8" s="3228" t="s">
        <v>3707</v>
      </c>
      <c r="AF8" s="3228" t="s">
        <v>3626</v>
      </c>
      <c r="AG8" s="3227"/>
      <c r="AH8" s="3227"/>
      <c r="AI8" s="3227"/>
    </row>
    <row r="9" spans="1:35" s="3202" customFormat="1" ht="25.5" hidden="1">
      <c r="A9" s="3199" t="s">
        <v>3625</v>
      </c>
      <c r="B9" s="3204" t="s">
        <v>3624</v>
      </c>
      <c r="C9" s="3204" t="s">
        <v>3558</v>
      </c>
      <c r="D9" s="3199"/>
      <c r="E9" s="3199"/>
      <c r="F9" s="3199"/>
      <c r="G9" s="3204" t="s">
        <v>3706</v>
      </c>
      <c r="H9" s="3204" t="s">
        <v>3556</v>
      </c>
      <c r="I9" s="3199"/>
      <c r="J9" s="3199"/>
      <c r="K9" s="3199"/>
      <c r="L9" s="3204" t="s">
        <v>3621</v>
      </c>
      <c r="M9" s="3204" t="s">
        <v>3624</v>
      </c>
      <c r="N9" s="3204">
        <v>51399.76</v>
      </c>
      <c r="O9" s="3204">
        <v>52941.75</v>
      </c>
      <c r="P9" s="3204">
        <v>121800</v>
      </c>
      <c r="Q9" s="3204" t="s">
        <v>3622</v>
      </c>
      <c r="R9" s="3204">
        <v>1.03</v>
      </c>
      <c r="S9" s="3206" t="s">
        <v>3526</v>
      </c>
      <c r="T9" s="3200">
        <v>3</v>
      </c>
      <c r="U9" s="3200">
        <f>1.2158+(1.1947-1.2158)*(1.03-1)/(1.1-1)</f>
        <v>1.20947</v>
      </c>
      <c r="V9" s="3200">
        <v>1.2158</v>
      </c>
      <c r="W9" s="3197">
        <v>23696.61</v>
      </c>
      <c r="X9" s="3207">
        <f t="shared" si="0"/>
        <v>23126</v>
      </c>
      <c r="Y9" s="3208">
        <f t="shared" si="1"/>
        <v>23400</v>
      </c>
      <c r="Z9" s="3204">
        <v>1579.77</v>
      </c>
      <c r="AA9" s="3204">
        <v>23006</v>
      </c>
      <c r="AB9" s="3204">
        <v>23006</v>
      </c>
      <c r="AC9" s="3204">
        <v>0</v>
      </c>
      <c r="AD9" s="3204" t="s">
        <v>3623</v>
      </c>
      <c r="AE9" s="3204" t="s">
        <v>3707</v>
      </c>
      <c r="AF9" s="3204" t="s">
        <v>3620</v>
      </c>
      <c r="AG9" s="3199"/>
      <c r="AH9" s="3199"/>
      <c r="AI9" s="3199"/>
    </row>
    <row r="10" spans="1:35" s="3202" customFormat="1" hidden="1">
      <c r="A10" s="3199" t="s">
        <v>3709</v>
      </c>
      <c r="B10" s="3204" t="s">
        <v>3710</v>
      </c>
      <c r="C10" s="3204" t="s">
        <v>3711</v>
      </c>
      <c r="D10" s="3199"/>
      <c r="E10" s="3199"/>
      <c r="F10" s="3199"/>
      <c r="G10" s="3204" t="s">
        <v>3706</v>
      </c>
      <c r="H10" s="3204" t="s">
        <v>3712</v>
      </c>
      <c r="I10" s="3199"/>
      <c r="J10" s="3199"/>
      <c r="K10" s="3199"/>
      <c r="L10" s="3204" t="s">
        <v>3713</v>
      </c>
      <c r="M10" s="3204" t="s">
        <v>3710</v>
      </c>
      <c r="N10" s="3204">
        <v>29689.18</v>
      </c>
      <c r="O10" s="3204">
        <v>29689.18</v>
      </c>
      <c r="P10" s="3204">
        <v>14250.88</v>
      </c>
      <c r="Q10" s="3204" t="s">
        <v>3592</v>
      </c>
      <c r="R10" s="3204">
        <v>1</v>
      </c>
      <c r="S10" s="3204" t="s">
        <v>3526</v>
      </c>
      <c r="T10" s="3197">
        <v>9</v>
      </c>
      <c r="U10" s="3197">
        <v>1.2302</v>
      </c>
      <c r="V10" s="3197">
        <v>1.2302</v>
      </c>
      <c r="W10" s="3197">
        <v>4800.0200000000004</v>
      </c>
      <c r="X10" s="3207">
        <f t="shared" si="0"/>
        <v>4800</v>
      </c>
      <c r="Y10" s="3208">
        <f t="shared" si="1"/>
        <v>4800</v>
      </c>
      <c r="Z10" s="3204">
        <v>320</v>
      </c>
      <c r="AA10" s="3204">
        <v>4800</v>
      </c>
      <c r="AB10" s="3204">
        <v>4800</v>
      </c>
      <c r="AC10" s="3204">
        <v>0</v>
      </c>
      <c r="AD10" s="3204">
        <v>40</v>
      </c>
      <c r="AE10" s="3204" t="s">
        <v>3714</v>
      </c>
      <c r="AF10" s="3204" t="s">
        <v>3715</v>
      </c>
      <c r="AG10" s="3199"/>
      <c r="AH10" s="3199"/>
      <c r="AI10" s="3199"/>
    </row>
    <row r="11" spans="1:35" s="3202" customFormat="1" ht="25.5" hidden="1">
      <c r="A11" s="3199" t="s">
        <v>3619</v>
      </c>
      <c r="B11" s="3204" t="s">
        <v>3618</v>
      </c>
      <c r="C11" s="3204" t="s">
        <v>3540</v>
      </c>
      <c r="D11" s="3199"/>
      <c r="E11" s="3199"/>
      <c r="F11" s="3199"/>
      <c r="G11" s="3204" t="s">
        <v>3706</v>
      </c>
      <c r="H11" s="3204" t="s">
        <v>3617</v>
      </c>
      <c r="I11" s="3199"/>
      <c r="J11" s="3199"/>
      <c r="K11" s="3199"/>
      <c r="L11" s="3204" t="s">
        <v>3614</v>
      </c>
      <c r="M11" s="3204" t="s">
        <v>3618</v>
      </c>
      <c r="N11" s="3204">
        <v>13348.31</v>
      </c>
      <c r="O11" s="3204">
        <v>17352.8</v>
      </c>
      <c r="P11" s="3204">
        <v>6823.12</v>
      </c>
      <c r="Q11" s="3204" t="s">
        <v>3615</v>
      </c>
      <c r="R11" s="3204">
        <v>1.3</v>
      </c>
      <c r="S11" s="3204" t="s">
        <v>3526</v>
      </c>
      <c r="T11" s="3197">
        <v>7</v>
      </c>
      <c r="U11" s="3197">
        <v>1.1559999999999999</v>
      </c>
      <c r="V11" s="3197">
        <v>1.2158</v>
      </c>
      <c r="W11" s="3197">
        <v>5111.59</v>
      </c>
      <c r="X11" s="3207">
        <f t="shared" si="0"/>
        <v>4135</v>
      </c>
      <c r="Y11" s="3208">
        <f t="shared" si="1"/>
        <v>4184</v>
      </c>
      <c r="Z11" s="3204">
        <v>340.77</v>
      </c>
      <c r="AA11" s="3204">
        <v>3932</v>
      </c>
      <c r="AB11" s="3204">
        <v>3932</v>
      </c>
      <c r="AC11" s="3204">
        <v>0</v>
      </c>
      <c r="AD11" s="3204" t="s">
        <v>3616</v>
      </c>
      <c r="AE11" s="3204" t="s">
        <v>3714</v>
      </c>
      <c r="AF11" s="3204" t="s">
        <v>3613</v>
      </c>
      <c r="AG11" s="3199"/>
      <c r="AH11" s="3199"/>
      <c r="AI11" s="3199"/>
    </row>
    <row r="12" spans="1:35" s="3202" customFormat="1" hidden="1">
      <c r="A12" s="3199" t="s">
        <v>3716</v>
      </c>
      <c r="B12" s="3204" t="s">
        <v>3717</v>
      </c>
      <c r="C12" s="3204" t="s">
        <v>3718</v>
      </c>
      <c r="D12" s="3199"/>
      <c r="E12" s="3199"/>
      <c r="F12" s="3199"/>
      <c r="G12" s="3204" t="s">
        <v>3708</v>
      </c>
      <c r="H12" s="3204" t="s">
        <v>3719</v>
      </c>
      <c r="I12" s="3199"/>
      <c r="J12" s="3199"/>
      <c r="K12" s="3199"/>
      <c r="L12" s="3204" t="s">
        <v>3720</v>
      </c>
      <c r="M12" s="3204" t="s">
        <v>3717</v>
      </c>
      <c r="N12" s="3204">
        <v>8322.9599999999991</v>
      </c>
      <c r="O12" s="3204">
        <v>9987.5499999999993</v>
      </c>
      <c r="P12" s="3204">
        <v>3100</v>
      </c>
      <c r="Q12" s="3204" t="s">
        <v>3721</v>
      </c>
      <c r="R12" s="3204">
        <v>1.2</v>
      </c>
      <c r="S12" s="3204" t="s">
        <v>3526</v>
      </c>
      <c r="T12" s="3197">
        <v>10</v>
      </c>
      <c r="U12" s="3197">
        <v>1.173</v>
      </c>
      <c r="V12" s="3197">
        <v>1.2302</v>
      </c>
      <c r="W12" s="3197">
        <v>3724.63</v>
      </c>
      <c r="X12" s="3207">
        <f t="shared" si="0"/>
        <v>3255</v>
      </c>
      <c r="Y12" s="3208">
        <f t="shared" si="1"/>
        <v>3255</v>
      </c>
      <c r="Z12" s="3204">
        <v>248.31</v>
      </c>
      <c r="AA12" s="3204">
        <v>3104</v>
      </c>
      <c r="AB12" s="3204">
        <v>3104</v>
      </c>
      <c r="AC12" s="3204">
        <v>0</v>
      </c>
      <c r="AD12" s="3204" t="s">
        <v>3722</v>
      </c>
      <c r="AE12" s="3204" t="s">
        <v>3714</v>
      </c>
      <c r="AF12" s="3204" t="s">
        <v>3723</v>
      </c>
      <c r="AG12" s="3199"/>
      <c r="AH12" s="3199"/>
      <c r="AI12" s="3199"/>
    </row>
    <row r="13" spans="1:35" s="3202" customFormat="1" ht="25.5" hidden="1">
      <c r="A13" s="3199" t="s">
        <v>3612</v>
      </c>
      <c r="B13" s="3204" t="s">
        <v>3611</v>
      </c>
      <c r="C13" s="3204" t="s">
        <v>3540</v>
      </c>
      <c r="D13" s="3199"/>
      <c r="E13" s="3199"/>
      <c r="F13" s="3199"/>
      <c r="G13" s="3204" t="s">
        <v>3706</v>
      </c>
      <c r="H13" s="3204" t="s">
        <v>3556</v>
      </c>
      <c r="I13" s="3199"/>
      <c r="J13" s="3199"/>
      <c r="K13" s="3199"/>
      <c r="L13" s="3204" t="s">
        <v>3610</v>
      </c>
      <c r="M13" s="3204" t="s">
        <v>3611</v>
      </c>
      <c r="N13" s="3204">
        <v>41129.769999999997</v>
      </c>
      <c r="O13" s="3204">
        <v>90485.49</v>
      </c>
      <c r="P13" s="3204">
        <v>80900</v>
      </c>
      <c r="Q13" s="3204" t="s">
        <v>3555</v>
      </c>
      <c r="R13" s="3204">
        <v>2.2000000000000002</v>
      </c>
      <c r="S13" s="3204" t="s">
        <v>3526</v>
      </c>
      <c r="T13" s="3197">
        <v>6</v>
      </c>
      <c r="U13" s="3197">
        <v>1.0287999999999999</v>
      </c>
      <c r="V13" s="3197">
        <v>1.2158</v>
      </c>
      <c r="W13" s="3197">
        <v>19669.45</v>
      </c>
      <c r="X13" s="3207">
        <f t="shared" si="0"/>
        <v>10566</v>
      </c>
      <c r="Y13" s="3208">
        <f t="shared" si="1"/>
        <v>10691</v>
      </c>
      <c r="Z13" s="3204">
        <v>1311.3</v>
      </c>
      <c r="AA13" s="3204">
        <v>8941</v>
      </c>
      <c r="AB13" s="3204">
        <v>8941</v>
      </c>
      <c r="AC13" s="3204">
        <v>0</v>
      </c>
      <c r="AD13" s="3204" t="s">
        <v>3575</v>
      </c>
      <c r="AE13" s="3204" t="s">
        <v>3714</v>
      </c>
      <c r="AF13" s="3204" t="s">
        <v>3609</v>
      </c>
      <c r="AG13" s="3199"/>
      <c r="AH13" s="3199"/>
      <c r="AI13" s="3199"/>
    </row>
    <row r="14" spans="1:35" s="3202" customFormat="1" ht="25.5" hidden="1">
      <c r="A14" s="3199" t="s">
        <v>3724</v>
      </c>
      <c r="B14" s="3204" t="s">
        <v>3725</v>
      </c>
      <c r="C14" s="3204" t="s">
        <v>3711</v>
      </c>
      <c r="D14" s="3199"/>
      <c r="E14" s="3199"/>
      <c r="F14" s="3199"/>
      <c r="G14" s="3204" t="s">
        <v>3706</v>
      </c>
      <c r="H14" s="3204" t="s">
        <v>3556</v>
      </c>
      <c r="I14" s="3199"/>
      <c r="J14" s="3199"/>
      <c r="K14" s="3199"/>
      <c r="L14" s="3204" t="s">
        <v>3726</v>
      </c>
      <c r="M14" s="3204" t="s">
        <v>3725</v>
      </c>
      <c r="N14" s="3204">
        <v>32423.18</v>
      </c>
      <c r="O14" s="3204">
        <v>42150</v>
      </c>
      <c r="P14" s="3204">
        <v>23500</v>
      </c>
      <c r="Q14" s="3204" t="s">
        <v>3615</v>
      </c>
      <c r="R14" s="3204">
        <v>1.3</v>
      </c>
      <c r="S14" s="3204" t="s">
        <v>3526</v>
      </c>
      <c r="T14" s="3197">
        <v>9</v>
      </c>
      <c r="U14" s="3197">
        <v>1.1468</v>
      </c>
      <c r="V14" s="3197">
        <v>1.2302</v>
      </c>
      <c r="W14" s="3197">
        <v>7247.9</v>
      </c>
      <c r="X14" s="3207">
        <f t="shared" si="0"/>
        <v>5980</v>
      </c>
      <c r="Y14" s="3208">
        <f t="shared" si="1"/>
        <v>5980</v>
      </c>
      <c r="Z14" s="3204">
        <v>483.19</v>
      </c>
      <c r="AA14" s="3204">
        <v>5575</v>
      </c>
      <c r="AB14" s="3204">
        <v>5575</v>
      </c>
      <c r="AC14" s="3204">
        <v>0</v>
      </c>
      <c r="AD14" s="3204" t="s">
        <v>3575</v>
      </c>
      <c r="AE14" s="3204" t="s">
        <v>3714</v>
      </c>
      <c r="AF14" s="3204" t="s">
        <v>3727</v>
      </c>
      <c r="AG14" s="3199"/>
      <c r="AH14" s="3199"/>
      <c r="AI14" s="3199"/>
    </row>
    <row r="15" spans="1:35" s="3202" customFormat="1" ht="25.5" hidden="1">
      <c r="A15" s="3199" t="s">
        <v>3728</v>
      </c>
      <c r="B15" s="3204" t="s">
        <v>3729</v>
      </c>
      <c r="C15" s="3204" t="s">
        <v>3711</v>
      </c>
      <c r="D15" s="3199"/>
      <c r="E15" s="3199"/>
      <c r="F15" s="3199"/>
      <c r="G15" s="3204" t="s">
        <v>3706</v>
      </c>
      <c r="H15" s="3204" t="s">
        <v>3550</v>
      </c>
      <c r="I15" s="3199"/>
      <c r="J15" s="3199"/>
      <c r="K15" s="3199"/>
      <c r="L15" s="3204" t="s">
        <v>3730</v>
      </c>
      <c r="M15" s="3204" t="s">
        <v>3729</v>
      </c>
      <c r="N15" s="3204">
        <v>48824.83</v>
      </c>
      <c r="O15" s="3204">
        <v>122062.08</v>
      </c>
      <c r="P15" s="3204">
        <v>93000</v>
      </c>
      <c r="Q15" s="3204" t="s">
        <v>3731</v>
      </c>
      <c r="R15" s="3204">
        <v>2.5</v>
      </c>
      <c r="S15" s="3204" t="s">
        <v>3526</v>
      </c>
      <c r="T15" s="3197">
        <v>8</v>
      </c>
      <c r="U15" s="3197">
        <v>0.9274</v>
      </c>
      <c r="V15" s="3197">
        <v>1.2302</v>
      </c>
      <c r="W15" s="3197">
        <v>19047.68</v>
      </c>
      <c r="X15" s="3207">
        <f t="shared" si="0"/>
        <v>10107</v>
      </c>
      <c r="Y15" s="3208">
        <f t="shared" si="1"/>
        <v>10107</v>
      </c>
      <c r="Z15" s="3204">
        <v>1269.8499999999999</v>
      </c>
      <c r="AA15" s="3204">
        <v>7619</v>
      </c>
      <c r="AB15" s="3204">
        <v>7619</v>
      </c>
      <c r="AC15" s="3204">
        <v>0</v>
      </c>
      <c r="AD15" s="3204" t="s">
        <v>3650</v>
      </c>
      <c r="AE15" s="3204" t="s">
        <v>3714</v>
      </c>
      <c r="AF15" s="3204" t="s">
        <v>3732</v>
      </c>
      <c r="AG15" s="3199"/>
      <c r="AH15" s="3199"/>
      <c r="AI15" s="3199"/>
    </row>
    <row r="16" spans="1:35" s="3202" customFormat="1" ht="25.5" hidden="1">
      <c r="A16" s="3199" t="s">
        <v>3608</v>
      </c>
      <c r="B16" s="3204" t="s">
        <v>3606</v>
      </c>
      <c r="C16" s="3204" t="s">
        <v>3607</v>
      </c>
      <c r="D16" s="3199"/>
      <c r="E16" s="3199"/>
      <c r="F16" s="3199"/>
      <c r="G16" s="3204" t="s">
        <v>3733</v>
      </c>
      <c r="H16" s="3204" t="s">
        <v>3605</v>
      </c>
      <c r="I16" s="3199"/>
      <c r="J16" s="3199"/>
      <c r="K16" s="3199"/>
      <c r="L16" s="3204" t="s">
        <v>3603</v>
      </c>
      <c r="M16" s="3204" t="s">
        <v>3606</v>
      </c>
      <c r="N16" s="3204">
        <v>21154.74</v>
      </c>
      <c r="O16" s="3204">
        <v>31732.11</v>
      </c>
      <c r="P16" s="3204">
        <v>29600</v>
      </c>
      <c r="Q16" s="3204" t="s">
        <v>3604</v>
      </c>
      <c r="R16" s="3204">
        <v>1.5</v>
      </c>
      <c r="S16" s="3204" t="s">
        <v>3526</v>
      </c>
      <c r="T16" s="3197">
        <v>6</v>
      </c>
      <c r="U16" s="3197">
        <v>1.1214999999999999</v>
      </c>
      <c r="V16" s="3197">
        <v>1.2158</v>
      </c>
      <c r="W16" s="3197">
        <v>13992.13</v>
      </c>
      <c r="X16" s="3207">
        <f t="shared" si="0"/>
        <v>10112</v>
      </c>
      <c r="Y16" s="3208">
        <f t="shared" si="1"/>
        <v>10232</v>
      </c>
      <c r="Z16" s="3204">
        <v>932.81</v>
      </c>
      <c r="AA16" s="3204">
        <v>9328</v>
      </c>
      <c r="AB16" s="3204">
        <v>9328</v>
      </c>
      <c r="AC16" s="3204">
        <v>0</v>
      </c>
      <c r="AD16" s="3204" t="s">
        <v>3575</v>
      </c>
      <c r="AE16" s="3204" t="s">
        <v>3714</v>
      </c>
      <c r="AF16" s="3204" t="s">
        <v>3602</v>
      </c>
      <c r="AG16" s="3199"/>
      <c r="AH16" s="3199"/>
      <c r="AI16" s="3199"/>
    </row>
    <row r="17" spans="1:35" s="3202" customFormat="1" ht="25.5" hidden="1">
      <c r="A17" s="3199" t="s">
        <v>3601</v>
      </c>
      <c r="B17" s="3204" t="s">
        <v>3600</v>
      </c>
      <c r="C17" s="3204" t="s">
        <v>3540</v>
      </c>
      <c r="D17" s="3199"/>
      <c r="E17" s="3199"/>
      <c r="F17" s="3199"/>
      <c r="G17" s="3204" t="s">
        <v>3734</v>
      </c>
      <c r="H17" s="3204" t="s">
        <v>3599</v>
      </c>
      <c r="I17" s="3199"/>
      <c r="J17" s="3199"/>
      <c r="K17" s="3199"/>
      <c r="L17" s="3204" t="s">
        <v>3597</v>
      </c>
      <c r="M17" s="3204" t="s">
        <v>3600</v>
      </c>
      <c r="N17" s="3204">
        <v>19810.400000000001</v>
      </c>
      <c r="O17" s="3204">
        <v>700</v>
      </c>
      <c r="P17" s="3204">
        <v>6600</v>
      </c>
      <c r="Q17" s="3204" t="s">
        <v>3598</v>
      </c>
      <c r="R17" s="3204">
        <v>0.74</v>
      </c>
      <c r="S17" s="3204" t="s">
        <v>3526</v>
      </c>
      <c r="T17" s="3197">
        <v>5</v>
      </c>
      <c r="U17" s="3197">
        <v>1.2158</v>
      </c>
      <c r="V17" s="3197">
        <v>1.2158</v>
      </c>
      <c r="W17" s="3197">
        <v>3331.58</v>
      </c>
      <c r="X17" s="3207">
        <f t="shared" si="0"/>
        <v>94286</v>
      </c>
      <c r="Y17" s="3208">
        <f t="shared" si="1"/>
        <v>95403</v>
      </c>
      <c r="Z17" s="3204">
        <v>222.11</v>
      </c>
      <c r="AA17" s="3204">
        <v>94286</v>
      </c>
      <c r="AB17" s="3204">
        <v>94286</v>
      </c>
      <c r="AC17" s="3204">
        <v>0</v>
      </c>
      <c r="AD17" s="3204" t="s">
        <v>3575</v>
      </c>
      <c r="AE17" s="3204" t="s">
        <v>3714</v>
      </c>
      <c r="AF17" s="3204" t="s">
        <v>3596</v>
      </c>
      <c r="AG17" s="3199"/>
      <c r="AH17" s="3199"/>
      <c r="AI17" s="3199"/>
    </row>
    <row r="18" spans="1:35" s="3202" customFormat="1">
      <c r="A18" s="3209" t="s">
        <v>3595</v>
      </c>
      <c r="B18" s="3210" t="s">
        <v>3594</v>
      </c>
      <c r="C18" s="3210" t="s">
        <v>3558</v>
      </c>
      <c r="D18" s="3209"/>
      <c r="E18" s="3209"/>
      <c r="F18" s="3209"/>
      <c r="G18" s="3210" t="s">
        <v>3708</v>
      </c>
      <c r="H18" s="3210" t="s">
        <v>3593</v>
      </c>
      <c r="I18" s="3209"/>
      <c r="J18" s="3209"/>
      <c r="K18" s="3209"/>
      <c r="L18" s="3210" t="s">
        <v>3586</v>
      </c>
      <c r="M18" s="3210" t="s">
        <v>3594</v>
      </c>
      <c r="N18" s="3210">
        <v>8286.49</v>
      </c>
      <c r="O18" s="3210">
        <v>8286.49</v>
      </c>
      <c r="P18" s="3210">
        <v>16000</v>
      </c>
      <c r="Q18" s="3210" t="s">
        <v>3592</v>
      </c>
      <c r="R18" s="3210">
        <v>1</v>
      </c>
      <c r="S18" s="3210" t="s">
        <v>3526</v>
      </c>
      <c r="T18" s="3209">
        <v>7</v>
      </c>
      <c r="U18" s="3209">
        <v>1.2302</v>
      </c>
      <c r="V18" s="3209">
        <v>1.2302</v>
      </c>
      <c r="W18" s="3209">
        <v>19308.53</v>
      </c>
      <c r="X18" s="3198">
        <f t="shared" si="0"/>
        <v>19309</v>
      </c>
      <c r="Y18" s="3210">
        <f t="shared" si="1"/>
        <v>19309</v>
      </c>
      <c r="Z18" s="3210">
        <v>1287.24</v>
      </c>
      <c r="AA18" s="3210">
        <v>19309</v>
      </c>
      <c r="AB18" s="3210">
        <v>19309</v>
      </c>
      <c r="AC18" s="3210">
        <v>0</v>
      </c>
      <c r="AD18" s="3210" t="s">
        <v>3575</v>
      </c>
      <c r="AE18" s="3210" t="s">
        <v>3714</v>
      </c>
      <c r="AF18" s="3210" t="s">
        <v>3591</v>
      </c>
      <c r="AG18" s="3209"/>
      <c r="AH18" s="3209"/>
      <c r="AI18" s="3209"/>
    </row>
    <row r="19" spans="1:35" s="3202" customFormat="1" ht="25.5" hidden="1">
      <c r="A19" s="3199" t="s">
        <v>3590</v>
      </c>
      <c r="B19" s="3204" t="s">
        <v>3589</v>
      </c>
      <c r="C19" s="3204" t="s">
        <v>3558</v>
      </c>
      <c r="D19" s="3199"/>
      <c r="E19" s="3199"/>
      <c r="F19" s="3199"/>
      <c r="G19" s="3204" t="s">
        <v>3733</v>
      </c>
      <c r="H19" s="3204" t="s">
        <v>3588</v>
      </c>
      <c r="I19" s="3199"/>
      <c r="J19" s="3199"/>
      <c r="K19" s="3199"/>
      <c r="L19" s="3204" t="s">
        <v>3586</v>
      </c>
      <c r="M19" s="3204" t="s">
        <v>3589</v>
      </c>
      <c r="N19" s="3204">
        <v>78101.460000000006</v>
      </c>
      <c r="O19" s="3204">
        <v>249924.67</v>
      </c>
      <c r="P19" s="3204">
        <v>423000</v>
      </c>
      <c r="Q19" s="3204" t="s">
        <v>3587</v>
      </c>
      <c r="R19" s="3204">
        <v>3.2</v>
      </c>
      <c r="S19" s="3204" t="s">
        <v>3526</v>
      </c>
      <c r="T19" s="3197">
        <v>5</v>
      </c>
      <c r="U19" s="3197">
        <v>0.9516</v>
      </c>
      <c r="V19" s="3197">
        <v>1.2158</v>
      </c>
      <c r="W19" s="3197">
        <v>54160.32</v>
      </c>
      <c r="X19" s="3207">
        <f t="shared" si="0"/>
        <v>21624</v>
      </c>
      <c r="Y19" s="3208">
        <f t="shared" si="1"/>
        <v>21880</v>
      </c>
      <c r="Z19" s="3204">
        <v>3610.69</v>
      </c>
      <c r="AA19" s="3204">
        <v>16925</v>
      </c>
      <c r="AB19" s="3204">
        <v>16925</v>
      </c>
      <c r="AC19" s="3204">
        <v>0</v>
      </c>
      <c r="AD19" s="3204" t="s">
        <v>3575</v>
      </c>
      <c r="AE19" s="3204" t="s">
        <v>3714</v>
      </c>
      <c r="AF19" s="3204" t="s">
        <v>3585</v>
      </c>
      <c r="AG19" s="3199"/>
      <c r="AH19" s="3199"/>
      <c r="AI19" s="3199"/>
    </row>
    <row r="20" spans="1:35" s="3202" customFormat="1" ht="25.5" hidden="1">
      <c r="A20" s="3199" t="s">
        <v>3584</v>
      </c>
      <c r="B20" s="3204" t="s">
        <v>3583</v>
      </c>
      <c r="C20" s="3204" t="s">
        <v>3558</v>
      </c>
      <c r="D20" s="3199"/>
      <c r="E20" s="3199"/>
      <c r="F20" s="3199"/>
      <c r="G20" s="3204" t="s">
        <v>3706</v>
      </c>
      <c r="H20" s="3204" t="s">
        <v>3582</v>
      </c>
      <c r="I20" s="3199"/>
      <c r="J20" s="3199"/>
      <c r="K20" s="3199"/>
      <c r="L20" s="3204" t="s">
        <v>3579</v>
      </c>
      <c r="M20" s="3204" t="s">
        <v>3583</v>
      </c>
      <c r="N20" s="3204">
        <v>37655.61</v>
      </c>
      <c r="O20" s="3204">
        <v>56108.97</v>
      </c>
      <c r="P20" s="3204">
        <v>74000</v>
      </c>
      <c r="Q20" s="3204" t="s">
        <v>3580</v>
      </c>
      <c r="R20" s="3204">
        <v>1.6</v>
      </c>
      <c r="S20" s="3204" t="s">
        <v>3526</v>
      </c>
      <c r="T20" s="3197">
        <v>7</v>
      </c>
      <c r="U20" s="3197">
        <v>1.1056999999999999</v>
      </c>
      <c r="V20" s="3197">
        <v>1.2158</v>
      </c>
      <c r="W20" s="3197">
        <v>19651.78</v>
      </c>
      <c r="X20" s="3207">
        <f t="shared" si="0"/>
        <v>14502</v>
      </c>
      <c r="Y20" s="3208">
        <f t="shared" si="1"/>
        <v>14674</v>
      </c>
      <c r="Z20" s="3204">
        <v>1310.1199999999999</v>
      </c>
      <c r="AA20" s="3204">
        <v>13189</v>
      </c>
      <c r="AB20" s="3204">
        <v>13189</v>
      </c>
      <c r="AC20" s="3204">
        <v>0</v>
      </c>
      <c r="AD20" s="3204" t="s">
        <v>3581</v>
      </c>
      <c r="AE20" s="3204" t="s">
        <v>3714</v>
      </c>
      <c r="AF20" s="3204" t="s">
        <v>3578</v>
      </c>
      <c r="AG20" s="3199"/>
      <c r="AH20" s="3199"/>
      <c r="AI20" s="3199"/>
    </row>
    <row r="21" spans="1:35" ht="25.5" hidden="1">
      <c r="A21" s="3199" t="s">
        <v>3735</v>
      </c>
      <c r="B21" s="3204" t="s">
        <v>3736</v>
      </c>
      <c r="C21" s="3204" t="s">
        <v>3737</v>
      </c>
      <c r="D21" s="3204" t="s">
        <v>3738</v>
      </c>
      <c r="E21" s="3204" t="s">
        <v>3739</v>
      </c>
      <c r="F21" s="3204" t="s">
        <v>3740</v>
      </c>
      <c r="G21" s="3204" t="s">
        <v>3741</v>
      </c>
      <c r="H21" s="3204" t="s">
        <v>3742</v>
      </c>
      <c r="I21" s="3211">
        <v>45296.000497685185</v>
      </c>
      <c r="J21" s="3211">
        <v>45316.000497685185</v>
      </c>
      <c r="K21" s="3211">
        <v>45329.000497685185</v>
      </c>
      <c r="L21" s="3211">
        <v>45329.000497685185</v>
      </c>
      <c r="M21" s="3204" t="s">
        <v>3743</v>
      </c>
      <c r="N21" s="3204">
        <v>17446.77</v>
      </c>
      <c r="O21" s="3204">
        <v>34893.550000000003</v>
      </c>
      <c r="P21" s="3204">
        <v>13000</v>
      </c>
      <c r="Q21" s="3204" t="s">
        <v>3744</v>
      </c>
      <c r="R21" s="3204">
        <v>2.2999999999999998</v>
      </c>
      <c r="S21" s="3204" t="s">
        <v>3745</v>
      </c>
      <c r="T21" s="3212">
        <v>10</v>
      </c>
      <c r="U21" s="3212">
        <v>0.95369999999999999</v>
      </c>
      <c r="V21" s="3212">
        <v>1.2302</v>
      </c>
      <c r="W21" s="3212">
        <v>7451.23</v>
      </c>
      <c r="X21" s="3207">
        <f t="shared" si="0"/>
        <v>4806</v>
      </c>
      <c r="Y21" s="3208">
        <f>ROUND(X21*1.2302/V21,0)</f>
        <v>4806</v>
      </c>
      <c r="Z21" s="3204">
        <v>496.75</v>
      </c>
      <c r="AA21" s="3204">
        <v>3726</v>
      </c>
      <c r="AB21" s="3204">
        <v>3726</v>
      </c>
      <c r="AC21" s="3204">
        <v>0</v>
      </c>
      <c r="AD21" s="3204" t="s">
        <v>3746</v>
      </c>
      <c r="AE21" s="3204" t="s">
        <v>3747</v>
      </c>
      <c r="AF21" s="3204" t="s">
        <v>3748</v>
      </c>
      <c r="AG21" s="3204" t="s">
        <v>3749</v>
      </c>
      <c r="AH21" s="3204" t="s">
        <v>3750</v>
      </c>
      <c r="AI21" s="3204" t="s">
        <v>3751</v>
      </c>
    </row>
    <row r="22" spans="1:35" ht="25.5" hidden="1">
      <c r="A22" s="3199" t="s">
        <v>3577</v>
      </c>
      <c r="B22" s="3204" t="s">
        <v>3576</v>
      </c>
      <c r="C22" s="3204" t="s">
        <v>3752</v>
      </c>
      <c r="D22" s="3204" t="s">
        <v>3753</v>
      </c>
      <c r="E22" s="3204" t="s">
        <v>3754</v>
      </c>
      <c r="F22" s="3204" t="s">
        <v>3740</v>
      </c>
      <c r="G22" s="3204" t="s">
        <v>3755</v>
      </c>
      <c r="H22" s="3204" t="s">
        <v>3756</v>
      </c>
      <c r="I22" s="3211">
        <v>45285.000497685185</v>
      </c>
      <c r="J22" s="3211">
        <v>45306.000497685185</v>
      </c>
      <c r="K22" s="3211">
        <v>45320.000497685185</v>
      </c>
      <c r="L22" s="3211">
        <v>45320.000497685185</v>
      </c>
      <c r="M22" s="3204" t="s">
        <v>3757</v>
      </c>
      <c r="N22" s="3204">
        <v>9999.98</v>
      </c>
      <c r="O22" s="3204">
        <v>17599.96</v>
      </c>
      <c r="P22" s="3204">
        <v>37700</v>
      </c>
      <c r="Q22" s="3204">
        <v>1.76</v>
      </c>
      <c r="R22" s="3204">
        <v>1.76</v>
      </c>
      <c r="S22" s="3204" t="s">
        <v>3745</v>
      </c>
      <c r="T22" s="3212">
        <v>4</v>
      </c>
      <c r="U22" s="3212">
        <f>1.0908+(1.0768-1.098)*(1.76-1.7)/(1.7-1.6)</f>
        <v>1.0780799999999999</v>
      </c>
      <c r="V22" s="3212">
        <v>1.2158</v>
      </c>
      <c r="W22" s="3212">
        <v>37700.07</v>
      </c>
      <c r="X22" s="3207">
        <f t="shared" si="0"/>
        <v>24157</v>
      </c>
      <c r="Y22" s="3208">
        <f t="shared" ref="Y22:Y59" si="2">ROUND(X22*1.2302/V22,0)</f>
        <v>24443</v>
      </c>
      <c r="Z22" s="3204">
        <v>2513.34</v>
      </c>
      <c r="AA22" s="3204">
        <v>21421</v>
      </c>
      <c r="AB22" s="3204">
        <v>21421</v>
      </c>
      <c r="AC22" s="3204">
        <v>0</v>
      </c>
      <c r="AD22" s="3204" t="s">
        <v>3746</v>
      </c>
      <c r="AE22" s="3204" t="s">
        <v>3747</v>
      </c>
      <c r="AF22" s="3204" t="s">
        <v>3758</v>
      </c>
      <c r="AG22" s="3204" t="s">
        <v>3759</v>
      </c>
      <c r="AH22" s="3204" t="s">
        <v>3760</v>
      </c>
      <c r="AI22" s="3204" t="s">
        <v>3761</v>
      </c>
    </row>
    <row r="23" spans="1:35" ht="25.5" hidden="1">
      <c r="A23" s="3199" t="s">
        <v>3571</v>
      </c>
      <c r="B23" s="3204" t="s">
        <v>3570</v>
      </c>
      <c r="C23" s="3204" t="s">
        <v>3762</v>
      </c>
      <c r="D23" s="3204" t="s">
        <v>3763</v>
      </c>
      <c r="E23" s="3204" t="s">
        <v>3764</v>
      </c>
      <c r="F23" s="3204" t="s">
        <v>3740</v>
      </c>
      <c r="G23" s="3204" t="s">
        <v>3755</v>
      </c>
      <c r="H23" s="3204" t="s">
        <v>3765</v>
      </c>
      <c r="I23" s="3211">
        <v>45279.000497685185</v>
      </c>
      <c r="J23" s="3211">
        <v>45300.000497685185</v>
      </c>
      <c r="K23" s="3211">
        <v>45314.000497685185</v>
      </c>
      <c r="L23" s="3211">
        <v>45314.000497685185</v>
      </c>
      <c r="M23" s="3204" t="s">
        <v>3766</v>
      </c>
      <c r="N23" s="3204">
        <v>70601.06</v>
      </c>
      <c r="O23" s="3204">
        <v>285523</v>
      </c>
      <c r="P23" s="3204">
        <v>642000</v>
      </c>
      <c r="Q23" s="3204">
        <v>4.04</v>
      </c>
      <c r="R23" s="3204">
        <v>4.04</v>
      </c>
      <c r="S23" s="3204" t="s">
        <v>3745</v>
      </c>
      <c r="T23" s="3212">
        <v>5</v>
      </c>
      <c r="U23" s="3212">
        <f>0.9186+(0.9156-0.9186)*(4.04-4)/(4.1-4)</f>
        <v>0.91739999999999999</v>
      </c>
      <c r="V23" s="3212">
        <v>1.2158</v>
      </c>
      <c r="W23" s="3212">
        <v>90933.48</v>
      </c>
      <c r="X23" s="3207">
        <f t="shared" si="0"/>
        <v>29799</v>
      </c>
      <c r="Y23" s="3208">
        <f t="shared" si="2"/>
        <v>30152</v>
      </c>
      <c r="Z23" s="3204">
        <v>6062.23</v>
      </c>
      <c r="AA23" s="3204">
        <v>22485</v>
      </c>
      <c r="AB23" s="3204">
        <v>22485</v>
      </c>
      <c r="AC23" s="3204">
        <v>0</v>
      </c>
      <c r="AD23" s="3204" t="s">
        <v>3767</v>
      </c>
      <c r="AE23" s="3204" t="s">
        <v>3747</v>
      </c>
      <c r="AF23" s="3204" t="s">
        <v>3768</v>
      </c>
      <c r="AG23" s="3204" t="s">
        <v>3769</v>
      </c>
      <c r="AH23" s="3204" t="s">
        <v>3761</v>
      </c>
      <c r="AI23" s="3204" t="s">
        <v>3761</v>
      </c>
    </row>
    <row r="24" spans="1:35" ht="25.5" hidden="1">
      <c r="A24" s="3199" t="s">
        <v>3770</v>
      </c>
      <c r="B24" s="3204" t="s">
        <v>3771</v>
      </c>
      <c r="C24" s="3204" t="s">
        <v>3772</v>
      </c>
      <c r="D24" s="3204" t="s">
        <v>3773</v>
      </c>
      <c r="E24" s="3204" t="s">
        <v>3774</v>
      </c>
      <c r="F24" s="3204" t="s">
        <v>3740</v>
      </c>
      <c r="G24" s="3204" t="s">
        <v>3741</v>
      </c>
      <c r="H24" s="3204" t="s">
        <v>3775</v>
      </c>
      <c r="I24" s="3211">
        <v>45274.000497685185</v>
      </c>
      <c r="J24" s="3211">
        <v>45294.000497685185</v>
      </c>
      <c r="K24" s="3211">
        <v>45308.000497685185</v>
      </c>
      <c r="L24" s="3211">
        <v>45308.000497685185</v>
      </c>
      <c r="M24" s="3204" t="s">
        <v>3776</v>
      </c>
      <c r="N24" s="3204">
        <v>32636.74</v>
      </c>
      <c r="O24" s="3204">
        <v>78328</v>
      </c>
      <c r="P24" s="3204">
        <v>65000</v>
      </c>
      <c r="Q24" s="3204">
        <v>2.4</v>
      </c>
      <c r="R24" s="3204">
        <v>2.4</v>
      </c>
      <c r="S24" s="3204" t="s">
        <v>3745</v>
      </c>
      <c r="T24" s="3212">
        <v>6</v>
      </c>
      <c r="U24" s="3212">
        <v>1.0089999999999999</v>
      </c>
      <c r="V24" s="3212">
        <v>1.2158</v>
      </c>
      <c r="W24" s="3212">
        <v>19916.2</v>
      </c>
      <c r="X24" s="3207">
        <f t="shared" si="0"/>
        <v>9999</v>
      </c>
      <c r="Y24" s="3208">
        <f t="shared" si="2"/>
        <v>10117</v>
      </c>
      <c r="Z24" s="3204">
        <v>1327.75</v>
      </c>
      <c r="AA24" s="3204">
        <v>8298</v>
      </c>
      <c r="AB24" s="3204">
        <v>8298</v>
      </c>
      <c r="AC24" s="3204">
        <v>0</v>
      </c>
      <c r="AD24" s="3204">
        <v>20</v>
      </c>
      <c r="AE24" s="3204" t="s">
        <v>3747</v>
      </c>
      <c r="AF24" s="3204" t="s">
        <v>3777</v>
      </c>
      <c r="AG24" s="3204" t="s">
        <v>3778</v>
      </c>
      <c r="AH24" s="3204" t="s">
        <v>3760</v>
      </c>
      <c r="AI24" s="3204" t="s">
        <v>3779</v>
      </c>
    </row>
    <row r="25" spans="1:35" ht="25.5" hidden="1">
      <c r="A25" s="3199" t="s">
        <v>3780</v>
      </c>
      <c r="B25" s="3204" t="s">
        <v>3781</v>
      </c>
      <c r="C25" s="3204" t="s">
        <v>3782</v>
      </c>
      <c r="D25" s="3204" t="s">
        <v>3783</v>
      </c>
      <c r="E25" s="3204" t="s">
        <v>3784</v>
      </c>
      <c r="F25" s="3204" t="s">
        <v>3740</v>
      </c>
      <c r="G25" s="3204" t="s">
        <v>3755</v>
      </c>
      <c r="H25" s="3204" t="s">
        <v>3756</v>
      </c>
      <c r="I25" s="3211">
        <v>45254.000497685185</v>
      </c>
      <c r="J25" s="3211">
        <v>45274.000497685185</v>
      </c>
      <c r="K25" s="3211">
        <v>45288.000497685185</v>
      </c>
      <c r="L25" s="3211">
        <v>45288.000497685185</v>
      </c>
      <c r="M25" s="3204" t="s">
        <v>3785</v>
      </c>
      <c r="N25" s="3204">
        <v>7467</v>
      </c>
      <c r="O25" s="3204">
        <v>52000</v>
      </c>
      <c r="P25" s="3204">
        <v>118000</v>
      </c>
      <c r="Q25" s="3204" t="s">
        <v>3786</v>
      </c>
      <c r="R25" s="3204">
        <v>7</v>
      </c>
      <c r="S25" s="3204" t="s">
        <v>3745</v>
      </c>
      <c r="T25" s="3212">
        <v>3</v>
      </c>
      <c r="U25" s="3212">
        <v>0.85019999999999996</v>
      </c>
      <c r="V25" s="3212">
        <v>1.2158</v>
      </c>
      <c r="W25" s="3212">
        <v>158028.66</v>
      </c>
      <c r="X25" s="3207">
        <f t="shared" si="0"/>
        <v>32450</v>
      </c>
      <c r="Y25" s="3208">
        <f t="shared" si="2"/>
        <v>32834</v>
      </c>
      <c r="Z25" s="3204">
        <v>10535.24</v>
      </c>
      <c r="AA25" s="3204">
        <v>22692</v>
      </c>
      <c r="AB25" s="3204">
        <v>22692</v>
      </c>
      <c r="AC25" s="3204">
        <v>0</v>
      </c>
      <c r="AD25" s="3204" t="s">
        <v>3787</v>
      </c>
      <c r="AE25" s="3204" t="s">
        <v>3747</v>
      </c>
      <c r="AF25" s="3204" t="s">
        <v>3788</v>
      </c>
      <c r="AG25" s="3204" t="s">
        <v>3789</v>
      </c>
      <c r="AH25" s="3204" t="s">
        <v>3761</v>
      </c>
      <c r="AI25" s="3204" t="s">
        <v>3761</v>
      </c>
    </row>
    <row r="26" spans="1:35" ht="25.5" hidden="1">
      <c r="A26" s="3199" t="s">
        <v>3790</v>
      </c>
      <c r="B26" s="3204" t="s">
        <v>3791</v>
      </c>
      <c r="C26" s="3204" t="s">
        <v>3737</v>
      </c>
      <c r="D26" s="3204" t="s">
        <v>3738</v>
      </c>
      <c r="E26" s="3204" t="s">
        <v>3739</v>
      </c>
      <c r="F26" s="3204" t="s">
        <v>3740</v>
      </c>
      <c r="G26" s="3204" t="s">
        <v>3792</v>
      </c>
      <c r="H26" s="3204" t="s">
        <v>3742</v>
      </c>
      <c r="I26" s="3211">
        <v>45167.000497685185</v>
      </c>
      <c r="J26" s="3211">
        <v>45187.000497685185</v>
      </c>
      <c r="K26" s="3211">
        <v>45207.000497685185</v>
      </c>
      <c r="L26" s="3211">
        <v>45207.000497685185</v>
      </c>
      <c r="M26" s="3204" t="s">
        <v>3793</v>
      </c>
      <c r="N26" s="3204">
        <v>29963.72</v>
      </c>
      <c r="O26" s="3204">
        <v>68916.56</v>
      </c>
      <c r="P26" s="3204">
        <v>25700</v>
      </c>
      <c r="Q26" s="3204">
        <v>2.2999999999999998</v>
      </c>
      <c r="R26" s="3204">
        <v>2.2999999999999998</v>
      </c>
      <c r="S26" s="3204" t="s">
        <v>3745</v>
      </c>
      <c r="T26" s="3212">
        <v>10</v>
      </c>
      <c r="U26" s="3212">
        <v>0.95369999999999999</v>
      </c>
      <c r="V26" s="3212">
        <v>1.2302</v>
      </c>
      <c r="W26" s="3212">
        <v>8577.0300000000007</v>
      </c>
      <c r="X26" s="3207">
        <f t="shared" si="0"/>
        <v>4810</v>
      </c>
      <c r="Y26" s="3208">
        <f t="shared" si="2"/>
        <v>4810</v>
      </c>
      <c r="Z26" s="3204">
        <v>571.79999999999995</v>
      </c>
      <c r="AA26" s="3204">
        <v>3729</v>
      </c>
      <c r="AB26" s="3204">
        <v>3729</v>
      </c>
      <c r="AC26" s="3204">
        <v>0</v>
      </c>
      <c r="AD26" s="3204" t="s">
        <v>3794</v>
      </c>
      <c r="AE26" s="3204" t="s">
        <v>3747</v>
      </c>
      <c r="AF26" s="3204" t="s">
        <v>3795</v>
      </c>
      <c r="AG26" s="3204" t="s">
        <v>3796</v>
      </c>
      <c r="AH26" s="3204" t="s">
        <v>3761</v>
      </c>
      <c r="AI26" s="3204" t="s">
        <v>3761</v>
      </c>
    </row>
    <row r="27" spans="1:35" ht="25.5" hidden="1">
      <c r="A27" s="3199" t="s">
        <v>3564</v>
      </c>
      <c r="B27" s="3204" t="s">
        <v>3563</v>
      </c>
      <c r="C27" s="3204" t="s">
        <v>3797</v>
      </c>
      <c r="D27" s="3204" t="s">
        <v>3798</v>
      </c>
      <c r="E27" s="3204" t="s">
        <v>3799</v>
      </c>
      <c r="F27" s="3204" t="s">
        <v>3740</v>
      </c>
      <c r="G27" s="3204" t="s">
        <v>3792</v>
      </c>
      <c r="H27" s="3204" t="s">
        <v>3742</v>
      </c>
      <c r="I27" s="3211">
        <v>45155.000497685185</v>
      </c>
      <c r="J27" s="3211">
        <v>45175.000497685185</v>
      </c>
      <c r="K27" s="3211">
        <v>45189.000497685185</v>
      </c>
      <c r="L27" s="3211">
        <v>45189.000497685185</v>
      </c>
      <c r="M27" s="3204" t="s">
        <v>3800</v>
      </c>
      <c r="N27" s="3204">
        <v>9632.01</v>
      </c>
      <c r="O27" s="3204">
        <v>15025.93</v>
      </c>
      <c r="P27" s="3204">
        <v>13700</v>
      </c>
      <c r="Q27" s="3204">
        <v>1.56</v>
      </c>
      <c r="R27" s="3204">
        <v>1.56</v>
      </c>
      <c r="S27" s="3204" t="s">
        <v>3745</v>
      </c>
      <c r="T27" s="3212">
        <v>5</v>
      </c>
      <c r="U27" s="3212">
        <f>1.1215+(1.1057-1.1215)*(1.56-1.5)/(1.6-1.5)</f>
        <v>1.11202</v>
      </c>
      <c r="V27" s="3212">
        <v>1.2158</v>
      </c>
      <c r="W27" s="3212">
        <v>14223.4</v>
      </c>
      <c r="X27" s="3207">
        <f t="shared" si="0"/>
        <v>9969</v>
      </c>
      <c r="Y27" s="3208">
        <f t="shared" si="2"/>
        <v>10087</v>
      </c>
      <c r="Z27" s="3204">
        <v>948.23</v>
      </c>
      <c r="AA27" s="3204">
        <v>9118</v>
      </c>
      <c r="AB27" s="3204">
        <v>9118</v>
      </c>
      <c r="AC27" s="3204">
        <v>0</v>
      </c>
      <c r="AD27" s="3204" t="s">
        <v>3801</v>
      </c>
      <c r="AE27" s="3204" t="s">
        <v>3747</v>
      </c>
      <c r="AF27" s="3204" t="s">
        <v>3802</v>
      </c>
      <c r="AG27" s="3204" t="s">
        <v>3803</v>
      </c>
      <c r="AH27" s="3204" t="s">
        <v>3760</v>
      </c>
      <c r="AI27" s="3204" t="s">
        <v>3779</v>
      </c>
    </row>
    <row r="28" spans="1:35" ht="25.5" hidden="1">
      <c r="A28" s="3199" t="s">
        <v>3559</v>
      </c>
      <c r="B28" s="3204" t="s">
        <v>3557</v>
      </c>
      <c r="C28" s="3204" t="s">
        <v>3762</v>
      </c>
      <c r="D28" s="3204" t="s">
        <v>3773</v>
      </c>
      <c r="E28" s="3204" t="s">
        <v>3804</v>
      </c>
      <c r="F28" s="3204" t="s">
        <v>3740</v>
      </c>
      <c r="G28" s="3204" t="s">
        <v>3792</v>
      </c>
      <c r="H28" s="3204" t="s">
        <v>3742</v>
      </c>
      <c r="I28" s="3211">
        <v>45107.000497685185</v>
      </c>
      <c r="J28" s="3211">
        <v>45127.000497685185</v>
      </c>
      <c r="K28" s="3211">
        <v>45141.000497685185</v>
      </c>
      <c r="L28" s="3211">
        <v>45141.000497685185</v>
      </c>
      <c r="M28" s="3204" t="s">
        <v>3805</v>
      </c>
      <c r="N28" s="3204">
        <v>49900.54</v>
      </c>
      <c r="O28" s="3204">
        <v>109781.19</v>
      </c>
      <c r="P28" s="3204">
        <v>227000</v>
      </c>
      <c r="Q28" s="3204">
        <v>2.2000000000000002</v>
      </c>
      <c r="R28" s="3204">
        <v>2.2000000000000002</v>
      </c>
      <c r="S28" s="3204" t="s">
        <v>3745</v>
      </c>
      <c r="T28" s="3212">
        <v>6</v>
      </c>
      <c r="U28" s="3212">
        <v>1.0287999999999999</v>
      </c>
      <c r="V28" s="3212">
        <v>1.2158</v>
      </c>
      <c r="W28" s="3212">
        <v>45490.49</v>
      </c>
      <c r="X28" s="3207">
        <f t="shared" si="0"/>
        <v>24435</v>
      </c>
      <c r="Y28" s="3208">
        <f t="shared" si="2"/>
        <v>24724</v>
      </c>
      <c r="Z28" s="3204">
        <v>3032.7</v>
      </c>
      <c r="AA28" s="3204">
        <v>20677</v>
      </c>
      <c r="AB28" s="3204">
        <v>20677</v>
      </c>
      <c r="AC28" s="3204">
        <v>0</v>
      </c>
      <c r="AD28" s="3204" t="s">
        <v>3794</v>
      </c>
      <c r="AE28" s="3204" t="s">
        <v>3747</v>
      </c>
      <c r="AF28" s="3204" t="s">
        <v>3806</v>
      </c>
      <c r="AG28" s="3204" t="s">
        <v>3807</v>
      </c>
      <c r="AH28" s="3204" t="s">
        <v>3761</v>
      </c>
      <c r="AI28" s="3204" t="s">
        <v>3761</v>
      </c>
    </row>
    <row r="29" spans="1:35" ht="25.5" hidden="1">
      <c r="A29" s="3199" t="s">
        <v>3552</v>
      </c>
      <c r="B29" s="3204" t="s">
        <v>3551</v>
      </c>
      <c r="C29" s="3204" t="s">
        <v>3797</v>
      </c>
      <c r="D29" s="3204" t="s">
        <v>3798</v>
      </c>
      <c r="E29" s="3204" t="s">
        <v>3808</v>
      </c>
      <c r="F29" s="3204" t="s">
        <v>3740</v>
      </c>
      <c r="G29" s="3204" t="s">
        <v>3792</v>
      </c>
      <c r="H29" s="3204" t="s">
        <v>3809</v>
      </c>
      <c r="I29" s="3211">
        <v>45079.000497685185</v>
      </c>
      <c r="J29" s="3211">
        <v>45102.000497685185</v>
      </c>
      <c r="K29" s="3211">
        <v>45114.000497685185</v>
      </c>
      <c r="L29" s="3211">
        <v>45114.000497685185</v>
      </c>
      <c r="M29" s="3204" t="s">
        <v>3810</v>
      </c>
      <c r="N29" s="3204">
        <v>15459.22</v>
      </c>
      <c r="O29" s="3204">
        <v>52599.12</v>
      </c>
      <c r="P29" s="3204">
        <v>53100</v>
      </c>
      <c r="Q29" s="3204" t="s">
        <v>3811</v>
      </c>
      <c r="R29" s="3204">
        <v>3.82</v>
      </c>
      <c r="S29" s="3204" t="s">
        <v>3745</v>
      </c>
      <c r="T29" s="3212">
        <v>5</v>
      </c>
      <c r="U29" s="3212">
        <f>0.9252+(0.9218-0.9252)*(3.82-3.8)/(3.9-3.8)</f>
        <v>0.92452000000000001</v>
      </c>
      <c r="V29" s="3212">
        <v>1.2158</v>
      </c>
      <c r="W29" s="3212">
        <v>34348.43</v>
      </c>
      <c r="X29" s="3207">
        <f t="shared" si="0"/>
        <v>13276</v>
      </c>
      <c r="Y29" s="3208">
        <f t="shared" si="2"/>
        <v>13433</v>
      </c>
      <c r="Z29" s="3204">
        <v>2289.9</v>
      </c>
      <c r="AA29" s="3204">
        <v>10095</v>
      </c>
      <c r="AB29" s="3204">
        <v>10095</v>
      </c>
      <c r="AC29" s="3204">
        <v>0</v>
      </c>
      <c r="AD29" s="3204" t="s">
        <v>3812</v>
      </c>
      <c r="AE29" s="3204" t="s">
        <v>3747</v>
      </c>
      <c r="AF29" s="3204" t="s">
        <v>3802</v>
      </c>
      <c r="AG29" s="3204" t="s">
        <v>3803</v>
      </c>
      <c r="AH29" s="3204" t="s">
        <v>3760</v>
      </c>
      <c r="AI29" s="3204" t="s">
        <v>3779</v>
      </c>
    </row>
    <row r="30" spans="1:35" ht="25.5" hidden="1">
      <c r="A30" s="3199" t="s">
        <v>3546</v>
      </c>
      <c r="B30" s="3204" t="s">
        <v>3545</v>
      </c>
      <c r="C30" s="3204" t="s">
        <v>3752</v>
      </c>
      <c r="D30" s="3204" t="s">
        <v>3813</v>
      </c>
      <c r="E30" s="3204" t="s">
        <v>3814</v>
      </c>
      <c r="F30" s="3204" t="s">
        <v>3740</v>
      </c>
      <c r="G30" s="3204" t="s">
        <v>3755</v>
      </c>
      <c r="H30" s="3204" t="s">
        <v>3756</v>
      </c>
      <c r="I30" s="3211">
        <v>45079.000497685185</v>
      </c>
      <c r="J30" s="3211">
        <v>45102.000497685185</v>
      </c>
      <c r="K30" s="3211">
        <v>45114.000497685185</v>
      </c>
      <c r="L30" s="3211">
        <v>45114.000497685185</v>
      </c>
      <c r="M30" s="3204" t="s">
        <v>3815</v>
      </c>
      <c r="N30" s="3204">
        <v>10610.35</v>
      </c>
      <c r="O30" s="3204">
        <v>47747</v>
      </c>
      <c r="P30" s="3204">
        <v>134000</v>
      </c>
      <c r="Q30" s="3204">
        <v>4.5</v>
      </c>
      <c r="R30" s="3204">
        <v>4.5</v>
      </c>
      <c r="S30" s="3204" t="s">
        <v>3745</v>
      </c>
      <c r="T30" s="3212">
        <v>2</v>
      </c>
      <c r="U30" s="3212">
        <v>0.9708</v>
      </c>
      <c r="V30" s="3212">
        <v>1.2501</v>
      </c>
      <c r="W30" s="3212">
        <v>126291.78</v>
      </c>
      <c r="X30" s="3207">
        <f t="shared" si="0"/>
        <v>36139</v>
      </c>
      <c r="Y30" s="3208">
        <f t="shared" si="2"/>
        <v>35564</v>
      </c>
      <c r="Z30" s="3204">
        <v>8419.4500000000007</v>
      </c>
      <c r="AA30" s="3204">
        <v>28065</v>
      </c>
      <c r="AB30" s="3204">
        <v>28065</v>
      </c>
      <c r="AC30" s="3204">
        <v>0</v>
      </c>
      <c r="AD30" s="3204" t="s">
        <v>3794</v>
      </c>
      <c r="AE30" s="3204" t="s">
        <v>3747</v>
      </c>
      <c r="AF30" s="3204" t="s">
        <v>3816</v>
      </c>
      <c r="AG30" s="3204" t="s">
        <v>3817</v>
      </c>
      <c r="AH30" s="3204" t="s">
        <v>3818</v>
      </c>
      <c r="AI30" s="3204" t="s">
        <v>3761</v>
      </c>
    </row>
    <row r="31" spans="1:35" ht="25.5" hidden="1">
      <c r="A31" s="3199" t="s">
        <v>3819</v>
      </c>
      <c r="B31" s="3204" t="s">
        <v>3820</v>
      </c>
      <c r="C31" s="3204" t="s">
        <v>3782</v>
      </c>
      <c r="D31" s="3204" t="s">
        <v>3821</v>
      </c>
      <c r="E31" s="3204" t="s">
        <v>3784</v>
      </c>
      <c r="F31" s="3204" t="s">
        <v>3740</v>
      </c>
      <c r="G31" s="3204" t="s">
        <v>3822</v>
      </c>
      <c r="H31" s="3204" t="s">
        <v>3823</v>
      </c>
      <c r="I31" s="3211">
        <v>45056.000497685185</v>
      </c>
      <c r="J31" s="3211">
        <v>45076.000497685185</v>
      </c>
      <c r="K31" s="3211">
        <v>45090.000497685185</v>
      </c>
      <c r="L31" s="3211">
        <v>45090.000497685185</v>
      </c>
      <c r="M31" s="3204" t="s">
        <v>3824</v>
      </c>
      <c r="N31" s="3204">
        <v>67829.210000000006</v>
      </c>
      <c r="O31" s="3204">
        <v>298100</v>
      </c>
      <c r="P31" s="3204">
        <v>680000</v>
      </c>
      <c r="Q31" s="3204">
        <v>4.4000000000000004</v>
      </c>
      <c r="R31" s="3204">
        <v>4.4000000000000004</v>
      </c>
      <c r="S31" s="3204" t="s">
        <v>3745</v>
      </c>
      <c r="T31" s="3212">
        <v>3</v>
      </c>
      <c r="U31" s="3212">
        <v>0.90720000000000001</v>
      </c>
      <c r="V31" s="3212">
        <v>1.2158</v>
      </c>
      <c r="W31" s="3212">
        <v>100251.8</v>
      </c>
      <c r="X31" s="3207">
        <f t="shared" si="0"/>
        <v>30571</v>
      </c>
      <c r="Y31" s="3208">
        <f t="shared" si="2"/>
        <v>30933</v>
      </c>
      <c r="Z31" s="3204">
        <v>6683.45</v>
      </c>
      <c r="AA31" s="3204">
        <v>22811</v>
      </c>
      <c r="AB31" s="3204">
        <v>22811</v>
      </c>
      <c r="AC31" s="3204">
        <v>0</v>
      </c>
      <c r="AD31" s="3204" t="s">
        <v>3794</v>
      </c>
      <c r="AE31" s="3204" t="s">
        <v>3747</v>
      </c>
      <c r="AF31" s="3204" t="s">
        <v>3825</v>
      </c>
      <c r="AG31" s="3204" t="s">
        <v>3826</v>
      </c>
      <c r="AH31" s="3204" t="s">
        <v>3827</v>
      </c>
      <c r="AI31" s="3204" t="s">
        <v>3828</v>
      </c>
    </row>
    <row r="32" spans="1:35" ht="25.5" hidden="1">
      <c r="A32" s="3199" t="s">
        <v>3829</v>
      </c>
      <c r="B32" s="3204" t="s">
        <v>3830</v>
      </c>
      <c r="C32" s="3204" t="s">
        <v>3831</v>
      </c>
      <c r="D32" s="3204" t="s">
        <v>3832</v>
      </c>
      <c r="E32" s="3204" t="s">
        <v>3833</v>
      </c>
      <c r="F32" s="3204" t="s">
        <v>3740</v>
      </c>
      <c r="G32" s="3204" t="s">
        <v>3792</v>
      </c>
      <c r="H32" s="3204" t="s">
        <v>3742</v>
      </c>
      <c r="I32" s="3211">
        <v>45054.000497685185</v>
      </c>
      <c r="J32" s="3211">
        <v>45075.000497685185</v>
      </c>
      <c r="K32" s="3211">
        <v>45089.000497685185</v>
      </c>
      <c r="L32" s="3211">
        <v>45089.000497685185</v>
      </c>
      <c r="M32" s="3204" t="s">
        <v>3834</v>
      </c>
      <c r="N32" s="3204">
        <v>101190.07</v>
      </c>
      <c r="O32" s="3204">
        <v>198291</v>
      </c>
      <c r="P32" s="3204">
        <v>100000</v>
      </c>
      <c r="Q32" s="3204" t="s">
        <v>3835</v>
      </c>
      <c r="R32" s="3204">
        <v>2.5</v>
      </c>
      <c r="S32" s="3204" t="s">
        <v>3745</v>
      </c>
      <c r="T32" s="3212">
        <v>10</v>
      </c>
      <c r="U32" s="3212">
        <v>0.9274</v>
      </c>
      <c r="V32" s="3212">
        <v>1.2302</v>
      </c>
      <c r="W32" s="3212">
        <v>9882.39</v>
      </c>
      <c r="X32" s="3207">
        <f t="shared" si="0"/>
        <v>6690</v>
      </c>
      <c r="Y32" s="3208">
        <f t="shared" si="2"/>
        <v>6690</v>
      </c>
      <c r="Z32" s="3204">
        <v>658.83</v>
      </c>
      <c r="AA32" s="3204">
        <v>5043</v>
      </c>
      <c r="AB32" s="3204">
        <v>5043</v>
      </c>
      <c r="AC32" s="3204">
        <v>0</v>
      </c>
      <c r="AD32" s="3204" t="s">
        <v>3794</v>
      </c>
      <c r="AE32" s="3204" t="s">
        <v>3747</v>
      </c>
      <c r="AF32" s="3204" t="s">
        <v>3836</v>
      </c>
      <c r="AG32" s="3204" t="s">
        <v>3837</v>
      </c>
      <c r="AH32" s="3204" t="s">
        <v>3760</v>
      </c>
      <c r="AI32" s="3204" t="s">
        <v>3761</v>
      </c>
    </row>
    <row r="33" spans="1:35" ht="25.5" hidden="1">
      <c r="A33" s="3199" t="s">
        <v>3541</v>
      </c>
      <c r="B33" s="3204" t="s">
        <v>3539</v>
      </c>
      <c r="C33" s="3204" t="s">
        <v>3797</v>
      </c>
      <c r="D33" s="3204" t="s">
        <v>3838</v>
      </c>
      <c r="E33" s="3204" t="s">
        <v>3839</v>
      </c>
      <c r="F33" s="3204" t="s">
        <v>3740</v>
      </c>
      <c r="G33" s="3204" t="s">
        <v>3792</v>
      </c>
      <c r="H33" s="3204" t="s">
        <v>3756</v>
      </c>
      <c r="I33" s="3211">
        <v>44995.000497685185</v>
      </c>
      <c r="J33" s="3211">
        <v>45015.000497685185</v>
      </c>
      <c r="K33" s="3211">
        <v>45030.000497685185</v>
      </c>
      <c r="L33" s="3211">
        <v>45030.000497685185</v>
      </c>
      <c r="M33" s="3204" t="s">
        <v>3840</v>
      </c>
      <c r="N33" s="3204">
        <v>5500.65</v>
      </c>
      <c r="O33" s="3204">
        <v>15401.81</v>
      </c>
      <c r="P33" s="3204">
        <v>17000</v>
      </c>
      <c r="Q33" s="3204" t="s">
        <v>3841</v>
      </c>
      <c r="R33" s="3204">
        <v>2.8</v>
      </c>
      <c r="S33" s="3204" t="s">
        <v>3745</v>
      </c>
      <c r="T33" s="3212">
        <v>6</v>
      </c>
      <c r="U33" s="3212">
        <v>0.97640000000000005</v>
      </c>
      <c r="V33" s="3212">
        <v>1.2158</v>
      </c>
      <c r="W33" s="3212">
        <v>30905.43</v>
      </c>
      <c r="X33" s="3207">
        <f t="shared" si="0"/>
        <v>13744</v>
      </c>
      <c r="Y33" s="3208">
        <f t="shared" si="2"/>
        <v>13907</v>
      </c>
      <c r="Z33" s="3204">
        <v>2060.36</v>
      </c>
      <c r="AA33" s="3204">
        <v>11038</v>
      </c>
      <c r="AB33" s="3204">
        <v>11038</v>
      </c>
      <c r="AC33" s="3204">
        <v>0</v>
      </c>
      <c r="AD33" s="3204" t="s">
        <v>3842</v>
      </c>
      <c r="AE33" s="3204" t="s">
        <v>3747</v>
      </c>
      <c r="AF33" s="3204" t="s">
        <v>3843</v>
      </c>
      <c r="AG33" s="3204" t="s">
        <v>3844</v>
      </c>
      <c r="AH33" s="3204" t="s">
        <v>3761</v>
      </c>
      <c r="AI33" s="3204" t="s">
        <v>3761</v>
      </c>
    </row>
    <row r="34" spans="1:35" hidden="1">
      <c r="A34" s="3199" t="s">
        <v>3845</v>
      </c>
      <c r="B34" s="3204" t="s">
        <v>3846</v>
      </c>
      <c r="C34" s="3204" t="s">
        <v>3847</v>
      </c>
      <c r="D34" s="3204" t="s">
        <v>3848</v>
      </c>
      <c r="E34" s="3204" t="s">
        <v>3849</v>
      </c>
      <c r="F34" s="3204" t="s">
        <v>3740</v>
      </c>
      <c r="G34" s="3204" t="s">
        <v>3792</v>
      </c>
      <c r="H34" s="3204" t="s">
        <v>3850</v>
      </c>
      <c r="I34" s="3211">
        <v>44978.000497685185</v>
      </c>
      <c r="J34" s="3211">
        <v>44997.000497685185</v>
      </c>
      <c r="K34" s="3211">
        <v>45012.000497685185</v>
      </c>
      <c r="L34" s="3211">
        <v>45012.000497685185</v>
      </c>
      <c r="M34" s="3204" t="s">
        <v>3851</v>
      </c>
      <c r="N34" s="3204">
        <v>82500</v>
      </c>
      <c r="O34" s="3204">
        <v>165000</v>
      </c>
      <c r="P34" s="3204">
        <v>260700</v>
      </c>
      <c r="Q34" s="3204">
        <v>2</v>
      </c>
      <c r="R34" s="3204">
        <v>2</v>
      </c>
      <c r="S34" s="3204" t="s">
        <v>3745</v>
      </c>
      <c r="T34" s="3212">
        <v>6</v>
      </c>
      <c r="U34" s="3212">
        <v>1.0512999999999999</v>
      </c>
      <c r="V34" s="3212">
        <v>1.2158</v>
      </c>
      <c r="W34" s="3212">
        <v>31600</v>
      </c>
      <c r="X34" s="3207">
        <f t="shared" si="0"/>
        <v>18272</v>
      </c>
      <c r="Y34" s="3208">
        <f t="shared" si="2"/>
        <v>18488</v>
      </c>
      <c r="Z34" s="3204">
        <v>2106.67</v>
      </c>
      <c r="AA34" s="3204">
        <v>15800</v>
      </c>
      <c r="AB34" s="3204">
        <v>15800</v>
      </c>
      <c r="AC34" s="3204">
        <v>0</v>
      </c>
      <c r="AD34" s="3204">
        <v>40</v>
      </c>
      <c r="AE34" s="3204" t="s">
        <v>3747</v>
      </c>
      <c r="AF34" s="3204" t="s">
        <v>3852</v>
      </c>
      <c r="AG34" s="3204" t="s">
        <v>3853</v>
      </c>
      <c r="AH34" s="3204" t="s">
        <v>3854</v>
      </c>
      <c r="AI34" s="3204" t="s">
        <v>3761</v>
      </c>
    </row>
    <row r="35" spans="1:35" ht="25.5" hidden="1">
      <c r="A35" s="3199" t="s">
        <v>3534</v>
      </c>
      <c r="B35" s="3204" t="s">
        <v>3531</v>
      </c>
      <c r="C35" s="3204" t="s">
        <v>3752</v>
      </c>
      <c r="D35" s="3204" t="s">
        <v>3855</v>
      </c>
      <c r="E35" s="3204" t="s">
        <v>3856</v>
      </c>
      <c r="F35" s="3204" t="s">
        <v>3740</v>
      </c>
      <c r="G35" s="3204" t="s">
        <v>3792</v>
      </c>
      <c r="H35" s="3204" t="s">
        <v>3756</v>
      </c>
      <c r="I35" s="3211">
        <v>44946.000497685185</v>
      </c>
      <c r="J35" s="3211">
        <v>44966.000497685185</v>
      </c>
      <c r="K35" s="3211">
        <v>44980.000497685185</v>
      </c>
      <c r="L35" s="3211">
        <v>44980.000497685185</v>
      </c>
      <c r="M35" s="3204" t="s">
        <v>3857</v>
      </c>
      <c r="N35" s="3204">
        <v>62796.800000000003</v>
      </c>
      <c r="O35" s="3204">
        <v>275500</v>
      </c>
      <c r="P35" s="3204">
        <v>635800</v>
      </c>
      <c r="Q35" s="3204">
        <v>4.3899999999999997</v>
      </c>
      <c r="R35" s="3204">
        <v>4.3899999999999997</v>
      </c>
      <c r="S35" s="3204" t="s">
        <v>3745</v>
      </c>
      <c r="T35" s="3212">
        <v>4</v>
      </c>
      <c r="U35" s="3212">
        <f>0.9099+(0.9072-0.9099)*(4.39-4.3)/(4.4-4.3)</f>
        <v>0.90747</v>
      </c>
      <c r="V35" s="3212">
        <v>1.2158</v>
      </c>
      <c r="W35" s="3212">
        <v>101247.19</v>
      </c>
      <c r="X35" s="3207">
        <f t="shared" si="0"/>
        <v>30919</v>
      </c>
      <c r="Y35" s="3208">
        <f t="shared" si="2"/>
        <v>31285</v>
      </c>
      <c r="Z35" s="3204">
        <v>6749.81</v>
      </c>
      <c r="AA35" s="3204">
        <v>23078</v>
      </c>
      <c r="AB35" s="3204">
        <v>23078</v>
      </c>
      <c r="AC35" s="3204">
        <v>0</v>
      </c>
      <c r="AD35" s="3204" t="s">
        <v>3794</v>
      </c>
      <c r="AE35" s="3204" t="s">
        <v>3747</v>
      </c>
      <c r="AF35" s="3204" t="s">
        <v>3858</v>
      </c>
      <c r="AG35" s="3204" t="s">
        <v>3859</v>
      </c>
      <c r="AH35" s="3204" t="s">
        <v>3860</v>
      </c>
      <c r="AI35" s="3204" t="s">
        <v>3761</v>
      </c>
    </row>
    <row r="36" spans="1:35" ht="25.5" hidden="1">
      <c r="A36" s="3199" t="s">
        <v>3861</v>
      </c>
      <c r="B36" s="3204" t="s">
        <v>3862</v>
      </c>
      <c r="C36" s="3204" t="s">
        <v>3847</v>
      </c>
      <c r="D36" s="3204" t="s">
        <v>3863</v>
      </c>
      <c r="E36" s="3204" t="s">
        <v>3864</v>
      </c>
      <c r="F36" s="3204" t="s">
        <v>3740</v>
      </c>
      <c r="G36" s="3204" t="s">
        <v>3865</v>
      </c>
      <c r="H36" s="3204" t="s">
        <v>3866</v>
      </c>
      <c r="I36" s="3211">
        <v>44911.000497685185</v>
      </c>
      <c r="J36" s="3211">
        <v>44931.000497685185</v>
      </c>
      <c r="K36" s="3211">
        <v>44945.000497685185</v>
      </c>
      <c r="L36" s="3211">
        <v>44945.000497685185</v>
      </c>
      <c r="M36" s="3204" t="s">
        <v>3867</v>
      </c>
      <c r="N36" s="3204">
        <v>4800</v>
      </c>
      <c r="O36" s="3204">
        <v>1920</v>
      </c>
      <c r="P36" s="3204">
        <v>5800</v>
      </c>
      <c r="Q36" s="3204" t="s">
        <v>3868</v>
      </c>
      <c r="R36" s="3204">
        <v>0.4</v>
      </c>
      <c r="S36" s="3204" t="s">
        <v>3745</v>
      </c>
      <c r="T36" s="3212">
        <v>9</v>
      </c>
      <c r="U36" s="3212">
        <v>1.2302</v>
      </c>
      <c r="V36" s="3212">
        <v>1.2302</v>
      </c>
      <c r="W36" s="3212">
        <v>12083.33</v>
      </c>
      <c r="X36" s="3207">
        <f t="shared" si="0"/>
        <v>30208</v>
      </c>
      <c r="Y36" s="3208">
        <f t="shared" si="2"/>
        <v>30208</v>
      </c>
      <c r="Z36" s="3204">
        <v>805.56</v>
      </c>
      <c r="AA36" s="3204">
        <v>30208</v>
      </c>
      <c r="AB36" s="3204">
        <v>30208</v>
      </c>
      <c r="AC36" s="3204">
        <v>0</v>
      </c>
      <c r="AD36" s="3204" t="s">
        <v>3869</v>
      </c>
      <c r="AE36" s="3204" t="s">
        <v>3747</v>
      </c>
      <c r="AF36" s="3204" t="s">
        <v>3870</v>
      </c>
      <c r="AG36" s="3204" t="s">
        <v>3761</v>
      </c>
      <c r="AH36" s="3204" t="s">
        <v>3761</v>
      </c>
      <c r="AI36" s="3204" t="s">
        <v>3761</v>
      </c>
    </row>
    <row r="37" spans="1:35" ht="25.5" hidden="1">
      <c r="A37" s="3199" t="s">
        <v>3871</v>
      </c>
      <c r="B37" s="3204" t="s">
        <v>3872</v>
      </c>
      <c r="C37" s="3204" t="s">
        <v>3873</v>
      </c>
      <c r="D37" s="3204" t="s">
        <v>3874</v>
      </c>
      <c r="E37" s="3204" t="s">
        <v>3875</v>
      </c>
      <c r="F37" s="3204" t="s">
        <v>3740</v>
      </c>
      <c r="G37" s="3204" t="s">
        <v>3876</v>
      </c>
      <c r="H37" s="3204" t="s">
        <v>3877</v>
      </c>
      <c r="I37" s="3211">
        <v>44901.000497685185</v>
      </c>
      <c r="J37" s="3211">
        <v>44921.000497685185</v>
      </c>
      <c r="K37" s="3211">
        <v>44936.000497685185</v>
      </c>
      <c r="L37" s="3211">
        <v>44936.000497685185</v>
      </c>
      <c r="M37" s="3204" t="s">
        <v>3878</v>
      </c>
      <c r="N37" s="3204">
        <v>46654.62</v>
      </c>
      <c r="O37" s="3204">
        <v>88643.78</v>
      </c>
      <c r="P37" s="3204">
        <v>28000</v>
      </c>
      <c r="Q37" s="3204">
        <v>1.9</v>
      </c>
      <c r="R37" s="3204">
        <v>1.9</v>
      </c>
      <c r="S37" s="3204" t="s">
        <v>3745</v>
      </c>
      <c r="T37" s="3212">
        <v>9</v>
      </c>
      <c r="U37" s="3212">
        <v>1.0174000000000001</v>
      </c>
      <c r="V37" s="3212">
        <v>1.2302</v>
      </c>
      <c r="W37" s="3212">
        <v>6001.54</v>
      </c>
      <c r="X37" s="3207">
        <f t="shared" ref="X37:X59" si="3">ROUND(AB37*V37/U37,0)</f>
        <v>3820</v>
      </c>
      <c r="Y37" s="3208">
        <f t="shared" si="2"/>
        <v>3820</v>
      </c>
      <c r="Z37" s="3204">
        <v>400.1</v>
      </c>
      <c r="AA37" s="3204">
        <v>3159</v>
      </c>
      <c r="AB37" s="3204">
        <v>3159</v>
      </c>
      <c r="AC37" s="3204">
        <v>0</v>
      </c>
      <c r="AD37" s="3204" t="s">
        <v>3794</v>
      </c>
      <c r="AE37" s="3204" t="s">
        <v>3747</v>
      </c>
      <c r="AF37" s="3204" t="s">
        <v>3879</v>
      </c>
      <c r="AG37" s="3204" t="s">
        <v>3880</v>
      </c>
      <c r="AH37" s="3204" t="s">
        <v>3761</v>
      </c>
      <c r="AI37" s="3204" t="s">
        <v>3761</v>
      </c>
    </row>
    <row r="38" spans="1:35" ht="25.5" hidden="1">
      <c r="A38" s="3199" t="s">
        <v>3881</v>
      </c>
      <c r="B38" s="3204" t="s">
        <v>3882</v>
      </c>
      <c r="C38" s="3204" t="s">
        <v>3772</v>
      </c>
      <c r="D38" s="3204" t="s">
        <v>3883</v>
      </c>
      <c r="E38" s="3204" t="s">
        <v>3774</v>
      </c>
      <c r="F38" s="3204" t="s">
        <v>3740</v>
      </c>
      <c r="G38" s="3204" t="s">
        <v>3792</v>
      </c>
      <c r="H38" s="3204" t="s">
        <v>3775</v>
      </c>
      <c r="I38" s="3211">
        <v>44896.000497685185</v>
      </c>
      <c r="J38" s="3211">
        <v>44916.000497685185</v>
      </c>
      <c r="K38" s="3211">
        <v>44931.000497685185</v>
      </c>
      <c r="L38" s="3211">
        <v>44931.000497685185</v>
      </c>
      <c r="M38" s="3204" t="s">
        <v>3884</v>
      </c>
      <c r="N38" s="3204">
        <v>64012.4</v>
      </c>
      <c r="O38" s="3204">
        <v>192037.19</v>
      </c>
      <c r="P38" s="3204">
        <v>177000</v>
      </c>
      <c r="Q38" s="3204">
        <v>3</v>
      </c>
      <c r="R38" s="3204">
        <v>3</v>
      </c>
      <c r="S38" s="3204" t="s">
        <v>3745</v>
      </c>
      <c r="T38" s="3212">
        <v>6</v>
      </c>
      <c r="U38" s="3212">
        <v>0.96309999999999996</v>
      </c>
      <c r="V38" s="3212">
        <v>1.2158</v>
      </c>
      <c r="W38" s="3212">
        <v>27650.89</v>
      </c>
      <c r="X38" s="3207">
        <f t="shared" si="3"/>
        <v>11635</v>
      </c>
      <c r="Y38" s="3208">
        <f t="shared" si="2"/>
        <v>11773</v>
      </c>
      <c r="Z38" s="3204">
        <v>1843.39</v>
      </c>
      <c r="AA38" s="3204">
        <v>9217</v>
      </c>
      <c r="AB38" s="3204">
        <v>9217</v>
      </c>
      <c r="AC38" s="3204">
        <v>0</v>
      </c>
      <c r="AD38" s="3204" t="s">
        <v>3885</v>
      </c>
      <c r="AE38" s="3204" t="s">
        <v>3747</v>
      </c>
      <c r="AF38" s="3204" t="s">
        <v>3886</v>
      </c>
      <c r="AG38" s="3204" t="s">
        <v>3887</v>
      </c>
      <c r="AH38" s="3204" t="s">
        <v>3888</v>
      </c>
      <c r="AI38" s="3204" t="s">
        <v>3889</v>
      </c>
    </row>
    <row r="39" spans="1:35" ht="25.5" hidden="1">
      <c r="A39" s="3199" t="s">
        <v>3890</v>
      </c>
      <c r="B39" s="3204" t="s">
        <v>3891</v>
      </c>
      <c r="C39" s="3204" t="s">
        <v>3762</v>
      </c>
      <c r="D39" s="3204" t="s">
        <v>3773</v>
      </c>
      <c r="E39" s="3204" t="s">
        <v>3892</v>
      </c>
      <c r="F39" s="3204" t="s">
        <v>3740</v>
      </c>
      <c r="G39" s="3204" t="s">
        <v>3792</v>
      </c>
      <c r="H39" s="3204" t="s">
        <v>3742</v>
      </c>
      <c r="I39" s="3211">
        <v>44830.000497685185</v>
      </c>
      <c r="J39" s="3211">
        <v>44851.000497685185</v>
      </c>
      <c r="K39" s="3211">
        <v>44865.000497685185</v>
      </c>
      <c r="L39" s="3211">
        <v>44865.000497685185</v>
      </c>
      <c r="M39" s="3204" t="s">
        <v>3893</v>
      </c>
      <c r="N39" s="3204">
        <v>32733.22</v>
      </c>
      <c r="O39" s="3204">
        <v>72013.08</v>
      </c>
      <c r="P39" s="3204">
        <v>149000</v>
      </c>
      <c r="Q39" s="3204">
        <v>2.2000000000000002</v>
      </c>
      <c r="R39" s="3204">
        <v>2.2000000000000002</v>
      </c>
      <c r="S39" s="3204" t="s">
        <v>3745</v>
      </c>
      <c r="T39" s="3212">
        <v>6</v>
      </c>
      <c r="U39" s="3212">
        <v>1.0287999999999999</v>
      </c>
      <c r="V39" s="3212">
        <v>1.2158</v>
      </c>
      <c r="W39" s="3212">
        <v>45519.5</v>
      </c>
      <c r="X39" s="3207">
        <f t="shared" si="3"/>
        <v>24452</v>
      </c>
      <c r="Y39" s="3208">
        <f t="shared" si="2"/>
        <v>24742</v>
      </c>
      <c r="Z39" s="3204">
        <v>3034.63</v>
      </c>
      <c r="AA39" s="3204">
        <v>20691</v>
      </c>
      <c r="AB39" s="3204">
        <v>20691</v>
      </c>
      <c r="AC39" s="3204">
        <v>0</v>
      </c>
      <c r="AD39" s="3204" t="s">
        <v>3794</v>
      </c>
      <c r="AE39" s="3204" t="s">
        <v>3747</v>
      </c>
      <c r="AF39" s="3204" t="s">
        <v>3894</v>
      </c>
      <c r="AG39" s="3204" t="s">
        <v>3895</v>
      </c>
      <c r="AH39" s="3204" t="s">
        <v>3760</v>
      </c>
      <c r="AI39" s="3204" t="s">
        <v>3779</v>
      </c>
    </row>
    <row r="40" spans="1:35" ht="25.5" hidden="1">
      <c r="A40" s="3199" t="s">
        <v>3896</v>
      </c>
      <c r="B40" s="3204" t="s">
        <v>3897</v>
      </c>
      <c r="C40" s="3204" t="s">
        <v>3762</v>
      </c>
      <c r="D40" s="3204" t="s">
        <v>3773</v>
      </c>
      <c r="E40" s="3204" t="s">
        <v>3892</v>
      </c>
      <c r="F40" s="3204" t="s">
        <v>3740</v>
      </c>
      <c r="G40" s="3204" t="s">
        <v>3792</v>
      </c>
      <c r="H40" s="3204" t="s">
        <v>3742</v>
      </c>
      <c r="I40" s="3211">
        <v>44830.000497685185</v>
      </c>
      <c r="J40" s="3211">
        <v>44851.000497685185</v>
      </c>
      <c r="K40" s="3211">
        <v>44865.000497685185</v>
      </c>
      <c r="L40" s="3211">
        <v>44865.000497685185</v>
      </c>
      <c r="M40" s="3204" t="s">
        <v>3898</v>
      </c>
      <c r="N40" s="3204">
        <v>29506.55</v>
      </c>
      <c r="O40" s="3204">
        <v>64914.41</v>
      </c>
      <c r="P40" s="3204">
        <v>135000</v>
      </c>
      <c r="Q40" s="3204">
        <v>2.2000000000000002</v>
      </c>
      <c r="R40" s="3204">
        <v>2.2000000000000002</v>
      </c>
      <c r="S40" s="3204" t="s">
        <v>3745</v>
      </c>
      <c r="T40" s="3212">
        <v>6</v>
      </c>
      <c r="U40" s="3212">
        <v>1.0287999999999999</v>
      </c>
      <c r="V40" s="3212">
        <v>1.2158</v>
      </c>
      <c r="W40" s="3212">
        <v>45752.55</v>
      </c>
      <c r="X40" s="3207">
        <f t="shared" si="3"/>
        <v>24577</v>
      </c>
      <c r="Y40" s="3208">
        <f t="shared" si="2"/>
        <v>24868</v>
      </c>
      <c r="Z40" s="3204">
        <v>3050.17</v>
      </c>
      <c r="AA40" s="3204">
        <v>20797</v>
      </c>
      <c r="AB40" s="3204">
        <v>20797</v>
      </c>
      <c r="AC40" s="3204">
        <v>0</v>
      </c>
      <c r="AD40" s="3204" t="s">
        <v>3794</v>
      </c>
      <c r="AE40" s="3204" t="s">
        <v>3747</v>
      </c>
      <c r="AF40" s="3204" t="s">
        <v>3899</v>
      </c>
      <c r="AG40" s="3204" t="s">
        <v>3895</v>
      </c>
      <c r="AH40" s="3204" t="s">
        <v>3760</v>
      </c>
      <c r="AI40" s="3204" t="s">
        <v>3779</v>
      </c>
    </row>
    <row r="41" spans="1:35" ht="25.5" hidden="1">
      <c r="A41" s="3199" t="s">
        <v>3900</v>
      </c>
      <c r="B41" s="3204" t="s">
        <v>3901</v>
      </c>
      <c r="C41" s="3204" t="s">
        <v>3782</v>
      </c>
      <c r="D41" s="3204" t="s">
        <v>3821</v>
      </c>
      <c r="E41" s="3204" t="s">
        <v>3784</v>
      </c>
      <c r="F41" s="3204" t="s">
        <v>3740</v>
      </c>
      <c r="G41" s="3204" t="s">
        <v>3792</v>
      </c>
      <c r="H41" s="3204" t="s">
        <v>3756</v>
      </c>
      <c r="I41" s="3211">
        <v>44764.000497685185</v>
      </c>
      <c r="J41" s="3211">
        <v>44784.000497685185</v>
      </c>
      <c r="K41" s="3211">
        <v>44798.000497685185</v>
      </c>
      <c r="L41" s="3211">
        <v>44798.000497685185</v>
      </c>
      <c r="M41" s="3204" t="s">
        <v>3902</v>
      </c>
      <c r="N41" s="3204">
        <v>12629.88</v>
      </c>
      <c r="O41" s="3204">
        <v>80000</v>
      </c>
      <c r="P41" s="3204">
        <v>166000</v>
      </c>
      <c r="Q41" s="3204" t="s">
        <v>3903</v>
      </c>
      <c r="R41" s="3204">
        <v>6.33</v>
      </c>
      <c r="S41" s="3204" t="s">
        <v>3745</v>
      </c>
      <c r="T41" s="3212">
        <v>3</v>
      </c>
      <c r="U41" s="3212">
        <f>0.8641+(0.8621-0.8641)*(6.33-6.3)/(6.4-6.3)</f>
        <v>0.86349999999999993</v>
      </c>
      <c r="V41" s="3212">
        <v>1.2158</v>
      </c>
      <c r="W41" s="3212">
        <v>131434.34</v>
      </c>
      <c r="X41" s="3207">
        <f t="shared" si="3"/>
        <v>29216</v>
      </c>
      <c r="Y41" s="3208">
        <f t="shared" si="2"/>
        <v>29562</v>
      </c>
      <c r="Z41" s="3204">
        <v>8762.2900000000009</v>
      </c>
      <c r="AA41" s="3204">
        <v>20750</v>
      </c>
      <c r="AB41" s="3204">
        <v>20750</v>
      </c>
      <c r="AC41" s="3204">
        <v>0</v>
      </c>
      <c r="AD41" s="3204" t="s">
        <v>3794</v>
      </c>
      <c r="AE41" s="3204" t="s">
        <v>3747</v>
      </c>
      <c r="AF41" s="3204" t="s">
        <v>3904</v>
      </c>
      <c r="AG41" s="3204" t="s">
        <v>3905</v>
      </c>
      <c r="AH41" s="3204" t="s">
        <v>3750</v>
      </c>
      <c r="AI41" s="3204" t="s">
        <v>3751</v>
      </c>
    </row>
    <row r="42" spans="1:35" s="3215" customFormat="1" ht="25.5">
      <c r="A42" s="3209" t="s">
        <v>3906</v>
      </c>
      <c r="B42" s="3210" t="s">
        <v>3907</v>
      </c>
      <c r="C42" s="3210" t="s">
        <v>3797</v>
      </c>
      <c r="D42" s="3210" t="s">
        <v>3908</v>
      </c>
      <c r="E42" s="3210" t="s">
        <v>3909</v>
      </c>
      <c r="F42" s="3210" t="s">
        <v>3740</v>
      </c>
      <c r="G42" s="3210" t="s">
        <v>3792</v>
      </c>
      <c r="H42" s="3210" t="s">
        <v>3742</v>
      </c>
      <c r="I42" s="3214">
        <v>44760.000497685185</v>
      </c>
      <c r="J42" s="3214">
        <v>44782.000497685185</v>
      </c>
      <c r="K42" s="3214">
        <v>44795.000497685185</v>
      </c>
      <c r="L42" s="3214">
        <v>44795.000497685185</v>
      </c>
      <c r="M42" s="3210" t="s">
        <v>3910</v>
      </c>
      <c r="N42" s="3210">
        <v>10000</v>
      </c>
      <c r="O42" s="3210">
        <v>22000</v>
      </c>
      <c r="P42" s="3210">
        <v>36400</v>
      </c>
      <c r="Q42" s="3210" t="s">
        <v>3911</v>
      </c>
      <c r="R42" s="3210">
        <v>2.2000000000000002</v>
      </c>
      <c r="S42" s="3210" t="s">
        <v>3745</v>
      </c>
      <c r="T42" s="3210">
        <v>6</v>
      </c>
      <c r="U42" s="3210">
        <v>1.0287999999999999</v>
      </c>
      <c r="V42" s="3210">
        <v>1.2158</v>
      </c>
      <c r="W42" s="3210">
        <v>36400</v>
      </c>
      <c r="X42" s="3210">
        <f t="shared" si="3"/>
        <v>19552</v>
      </c>
      <c r="Y42" s="3210">
        <f t="shared" si="2"/>
        <v>19784</v>
      </c>
      <c r="Z42" s="3210">
        <v>2426.67</v>
      </c>
      <c r="AA42" s="3210">
        <v>16545</v>
      </c>
      <c r="AB42" s="3210">
        <v>16545</v>
      </c>
      <c r="AC42" s="3210">
        <v>0</v>
      </c>
      <c r="AD42" s="3210" t="s">
        <v>3912</v>
      </c>
      <c r="AE42" s="3210" t="s">
        <v>3747</v>
      </c>
      <c r="AF42" s="3210" t="s">
        <v>3913</v>
      </c>
      <c r="AG42" s="3210" t="s">
        <v>3914</v>
      </c>
      <c r="AH42" s="3210" t="s">
        <v>3761</v>
      </c>
      <c r="AI42" s="3210" t="s">
        <v>3761</v>
      </c>
    </row>
    <row r="43" spans="1:35" s="3215" customFormat="1" ht="25.5">
      <c r="A43" s="3209" t="s">
        <v>3915</v>
      </c>
      <c r="B43" s="3210" t="s">
        <v>3916</v>
      </c>
      <c r="C43" s="3210" t="s">
        <v>3797</v>
      </c>
      <c r="D43" s="3210" t="s">
        <v>3908</v>
      </c>
      <c r="E43" s="3210" t="s">
        <v>3909</v>
      </c>
      <c r="F43" s="3210" t="s">
        <v>3740</v>
      </c>
      <c r="G43" s="3210" t="s">
        <v>3792</v>
      </c>
      <c r="H43" s="3210" t="s">
        <v>3742</v>
      </c>
      <c r="I43" s="3214">
        <v>44760.000497685185</v>
      </c>
      <c r="J43" s="3214">
        <v>44782.000497685185</v>
      </c>
      <c r="K43" s="3214">
        <v>44796.000497685185</v>
      </c>
      <c r="L43" s="3214">
        <v>44796.000497685185</v>
      </c>
      <c r="M43" s="3210" t="s">
        <v>3917</v>
      </c>
      <c r="N43" s="3210">
        <v>5500</v>
      </c>
      <c r="O43" s="3210">
        <v>12100</v>
      </c>
      <c r="P43" s="3210">
        <v>20000</v>
      </c>
      <c r="Q43" s="3210" t="s">
        <v>3911</v>
      </c>
      <c r="R43" s="3210">
        <v>2.2000000000000002</v>
      </c>
      <c r="S43" s="3210" t="s">
        <v>3745</v>
      </c>
      <c r="T43" s="3210">
        <v>6</v>
      </c>
      <c r="U43" s="3210">
        <v>1.0287999999999999</v>
      </c>
      <c r="V43" s="3210">
        <v>1.2158</v>
      </c>
      <c r="W43" s="3210">
        <v>36363.629999999997</v>
      </c>
      <c r="X43" s="3210">
        <f t="shared" si="3"/>
        <v>19533</v>
      </c>
      <c r="Y43" s="3210">
        <f t="shared" si="2"/>
        <v>19764</v>
      </c>
      <c r="Z43" s="3210">
        <v>2424.2399999999998</v>
      </c>
      <c r="AA43" s="3210">
        <v>16529</v>
      </c>
      <c r="AB43" s="3210">
        <v>16529</v>
      </c>
      <c r="AC43" s="3210">
        <v>0</v>
      </c>
      <c r="AD43" s="3210" t="s">
        <v>3912</v>
      </c>
      <c r="AE43" s="3210" t="s">
        <v>3747</v>
      </c>
      <c r="AF43" s="3210" t="s">
        <v>3918</v>
      </c>
      <c r="AG43" s="3210" t="s">
        <v>3761</v>
      </c>
      <c r="AH43" s="3210" t="s">
        <v>3761</v>
      </c>
      <c r="AI43" s="3210" t="s">
        <v>3761</v>
      </c>
    </row>
    <row r="44" spans="1:35" ht="25.5" hidden="1">
      <c r="A44" s="3199" t="s">
        <v>3919</v>
      </c>
      <c r="B44" s="3204" t="s">
        <v>3920</v>
      </c>
      <c r="C44" s="3204" t="s">
        <v>3797</v>
      </c>
      <c r="D44" s="3204" t="s">
        <v>3921</v>
      </c>
      <c r="E44" s="3204" t="s">
        <v>3922</v>
      </c>
      <c r="F44" s="3204" t="s">
        <v>3740</v>
      </c>
      <c r="G44" s="3204" t="s">
        <v>3792</v>
      </c>
      <c r="H44" s="3204" t="s">
        <v>3742</v>
      </c>
      <c r="I44" s="3211">
        <v>44725.000497685185</v>
      </c>
      <c r="J44" s="3211">
        <v>44747.000497685185</v>
      </c>
      <c r="K44" s="3211">
        <v>44761.000497685185</v>
      </c>
      <c r="L44" s="3211">
        <v>44761.000497685185</v>
      </c>
      <c r="M44" s="3204" t="s">
        <v>3923</v>
      </c>
      <c r="N44" s="3204">
        <v>16122.82</v>
      </c>
      <c r="O44" s="3204">
        <v>45143.91</v>
      </c>
      <c r="P44" s="3204">
        <v>76000</v>
      </c>
      <c r="Q44" s="3204" t="s">
        <v>3841</v>
      </c>
      <c r="R44" s="3204">
        <v>2.8</v>
      </c>
      <c r="S44" s="3204" t="s">
        <v>3745</v>
      </c>
      <c r="T44" s="3212">
        <v>6</v>
      </c>
      <c r="U44" s="3212">
        <v>0.97640000000000005</v>
      </c>
      <c r="V44" s="3212">
        <v>1.2158</v>
      </c>
      <c r="W44" s="3212">
        <v>47138.15</v>
      </c>
      <c r="X44" s="3207">
        <f t="shared" si="3"/>
        <v>20963</v>
      </c>
      <c r="Y44" s="3208">
        <f t="shared" si="2"/>
        <v>21211</v>
      </c>
      <c r="Z44" s="3204">
        <v>3142.54</v>
      </c>
      <c r="AA44" s="3204">
        <v>16835</v>
      </c>
      <c r="AB44" s="3204">
        <v>16835</v>
      </c>
      <c r="AC44" s="3204">
        <v>0</v>
      </c>
      <c r="AD44" s="3204" t="s">
        <v>3924</v>
      </c>
      <c r="AE44" s="3204" t="s">
        <v>3747</v>
      </c>
      <c r="AF44" s="3204" t="s">
        <v>3925</v>
      </c>
      <c r="AG44" s="3204" t="s">
        <v>3926</v>
      </c>
      <c r="AH44" s="3204" t="s">
        <v>3761</v>
      </c>
      <c r="AI44" s="3204" t="s">
        <v>3761</v>
      </c>
    </row>
    <row r="45" spans="1:35" ht="25.5" hidden="1">
      <c r="A45" s="3199" t="s">
        <v>3927</v>
      </c>
      <c r="B45" s="3204" t="s">
        <v>3928</v>
      </c>
      <c r="C45" s="3204" t="s">
        <v>3847</v>
      </c>
      <c r="D45" s="3204" t="s">
        <v>3929</v>
      </c>
      <c r="E45" s="3204" t="s">
        <v>3930</v>
      </c>
      <c r="F45" s="3204" t="s">
        <v>3740</v>
      </c>
      <c r="G45" s="3204" t="s">
        <v>3792</v>
      </c>
      <c r="H45" s="3204" t="s">
        <v>3742</v>
      </c>
      <c r="I45" s="3211">
        <v>44701.000497685185</v>
      </c>
      <c r="J45" s="3211">
        <v>44721.000497685185</v>
      </c>
      <c r="K45" s="3211">
        <v>44735.000497685185</v>
      </c>
      <c r="L45" s="3211">
        <v>44735.000497685185</v>
      </c>
      <c r="M45" s="3204" t="s">
        <v>3931</v>
      </c>
      <c r="N45" s="3204">
        <v>17308.8</v>
      </c>
      <c r="O45" s="3204">
        <v>86544</v>
      </c>
      <c r="P45" s="3204">
        <v>91400</v>
      </c>
      <c r="Q45" s="3204" t="s">
        <v>3932</v>
      </c>
      <c r="R45" s="3204">
        <v>5</v>
      </c>
      <c r="S45" s="3204" t="s">
        <v>3745</v>
      </c>
      <c r="T45" s="3212">
        <v>6</v>
      </c>
      <c r="U45" s="3212">
        <v>0.89239999999999997</v>
      </c>
      <c r="V45" s="3212">
        <v>1.2158</v>
      </c>
      <c r="W45" s="3212">
        <v>52805.5</v>
      </c>
      <c r="X45" s="3207">
        <f t="shared" si="3"/>
        <v>14388</v>
      </c>
      <c r="Y45" s="3208">
        <f t="shared" si="2"/>
        <v>14558</v>
      </c>
      <c r="Z45" s="3204">
        <v>3520.37</v>
      </c>
      <c r="AA45" s="3204">
        <v>10561</v>
      </c>
      <c r="AB45" s="3204">
        <v>10561</v>
      </c>
      <c r="AC45" s="3204">
        <v>0</v>
      </c>
      <c r="AD45" s="3204" t="s">
        <v>3933</v>
      </c>
      <c r="AE45" s="3204" t="s">
        <v>3747</v>
      </c>
      <c r="AF45" s="3204" t="s">
        <v>3934</v>
      </c>
      <c r="AG45" s="3204" t="s">
        <v>3935</v>
      </c>
      <c r="AH45" s="3204" t="s">
        <v>3761</v>
      </c>
      <c r="AI45" s="3204" t="s">
        <v>3761</v>
      </c>
    </row>
    <row r="46" spans="1:35" s="3219" customFormat="1" ht="25.5" hidden="1">
      <c r="A46" s="3216" t="s">
        <v>3936</v>
      </c>
      <c r="B46" s="3217" t="s">
        <v>3937</v>
      </c>
      <c r="C46" s="3217" t="s">
        <v>3847</v>
      </c>
      <c r="D46" s="3217" t="s">
        <v>3938</v>
      </c>
      <c r="E46" s="3217" t="s">
        <v>3864</v>
      </c>
      <c r="F46" s="3217" t="s">
        <v>3740</v>
      </c>
      <c r="G46" s="3217" t="s">
        <v>3792</v>
      </c>
      <c r="H46" s="3217" t="s">
        <v>3742</v>
      </c>
      <c r="I46" s="3218">
        <v>44648.000497685185</v>
      </c>
      <c r="J46" s="3218">
        <v>44669.000497685185</v>
      </c>
      <c r="K46" s="3218">
        <v>44680.000497685185</v>
      </c>
      <c r="L46" s="3218">
        <v>44680.000497685185</v>
      </c>
      <c r="M46" s="3217" t="s">
        <v>3939</v>
      </c>
      <c r="N46" s="3217">
        <v>59169.74</v>
      </c>
      <c r="O46" s="3217">
        <v>130173.43</v>
      </c>
      <c r="P46" s="3217">
        <v>131600</v>
      </c>
      <c r="Q46" s="3217" t="s">
        <v>3911</v>
      </c>
      <c r="R46" s="3217">
        <v>2.2000000000000002</v>
      </c>
      <c r="S46" s="3217" t="s">
        <v>3745</v>
      </c>
      <c r="T46" s="3212">
        <v>9</v>
      </c>
      <c r="U46" s="3212">
        <v>0.96819999999999995</v>
      </c>
      <c r="V46" s="3212">
        <v>1.2302</v>
      </c>
      <c r="W46" s="3212">
        <v>22241.09</v>
      </c>
      <c r="X46" s="3207">
        <f t="shared" si="3"/>
        <v>12846</v>
      </c>
      <c r="Y46" s="3208">
        <f t="shared" si="2"/>
        <v>12846</v>
      </c>
      <c r="Z46" s="3217">
        <v>1482.74</v>
      </c>
      <c r="AA46" s="3217">
        <v>10110</v>
      </c>
      <c r="AB46" s="3217">
        <v>10110</v>
      </c>
      <c r="AC46" s="3217">
        <v>0</v>
      </c>
      <c r="AD46" s="3217" t="s">
        <v>3794</v>
      </c>
      <c r="AE46" s="3217" t="s">
        <v>3747</v>
      </c>
      <c r="AF46" s="3217" t="s">
        <v>3940</v>
      </c>
      <c r="AG46" s="3217" t="s">
        <v>3941</v>
      </c>
      <c r="AH46" s="3217" t="s">
        <v>3760</v>
      </c>
      <c r="AI46" s="3217" t="s">
        <v>3761</v>
      </c>
    </row>
    <row r="47" spans="1:35" ht="25.5" hidden="1">
      <c r="A47" s="3199" t="s">
        <v>3942</v>
      </c>
      <c r="B47" s="3204" t="s">
        <v>3943</v>
      </c>
      <c r="C47" s="3204" t="s">
        <v>3847</v>
      </c>
      <c r="D47" s="3204" t="s">
        <v>3863</v>
      </c>
      <c r="E47" s="3204" t="s">
        <v>3944</v>
      </c>
      <c r="F47" s="3204" t="s">
        <v>3740</v>
      </c>
      <c r="G47" s="3204" t="s">
        <v>3945</v>
      </c>
      <c r="H47" s="3204" t="s">
        <v>3756</v>
      </c>
      <c r="I47" s="3211">
        <v>44587.000497685185</v>
      </c>
      <c r="J47" s="3211">
        <v>44607.000497685185</v>
      </c>
      <c r="K47" s="3211">
        <v>44621.000497685185</v>
      </c>
      <c r="L47" s="3211">
        <v>44621.000497685185</v>
      </c>
      <c r="M47" s="3204" t="s">
        <v>3946</v>
      </c>
      <c r="N47" s="3204">
        <v>12066.9</v>
      </c>
      <c r="O47" s="3204">
        <v>18100.349999999999</v>
      </c>
      <c r="P47" s="3204">
        <v>9400</v>
      </c>
      <c r="Q47" s="3204">
        <v>1.5</v>
      </c>
      <c r="R47" s="3204">
        <v>1.5</v>
      </c>
      <c r="S47" s="3204" t="s">
        <v>3745</v>
      </c>
      <c r="T47" s="3212">
        <v>9</v>
      </c>
      <c r="U47" s="3212">
        <v>1.0985</v>
      </c>
      <c r="V47" s="3212">
        <v>1.2302</v>
      </c>
      <c r="W47" s="3212">
        <v>7789.9</v>
      </c>
      <c r="X47" s="3207">
        <f t="shared" si="3"/>
        <v>5816</v>
      </c>
      <c r="Y47" s="3208">
        <f t="shared" si="2"/>
        <v>5816</v>
      </c>
      <c r="Z47" s="3204">
        <v>519.33000000000004</v>
      </c>
      <c r="AA47" s="3204">
        <v>5193</v>
      </c>
      <c r="AB47" s="3204">
        <v>5193</v>
      </c>
      <c r="AC47" s="3204">
        <v>0</v>
      </c>
      <c r="AD47" s="3204" t="s">
        <v>3947</v>
      </c>
      <c r="AE47" s="3204" t="s">
        <v>3948</v>
      </c>
      <c r="AF47" s="3204" t="s">
        <v>3940</v>
      </c>
      <c r="AG47" s="3204" t="s">
        <v>3761</v>
      </c>
      <c r="AH47" s="3204" t="s">
        <v>3761</v>
      </c>
      <c r="AI47" s="3204" t="s">
        <v>3761</v>
      </c>
    </row>
    <row r="48" spans="1:35" ht="25.5" hidden="1">
      <c r="A48" s="3199" t="s">
        <v>3949</v>
      </c>
      <c r="B48" s="3204" t="s">
        <v>3950</v>
      </c>
      <c r="C48" s="3204" t="s">
        <v>3847</v>
      </c>
      <c r="D48" s="3204" t="s">
        <v>3951</v>
      </c>
      <c r="E48" s="3204" t="s">
        <v>3952</v>
      </c>
      <c r="F48" s="3204" t="s">
        <v>3740</v>
      </c>
      <c r="G48" s="3204" t="s">
        <v>3792</v>
      </c>
      <c r="H48" s="3204" t="s">
        <v>3742</v>
      </c>
      <c r="I48" s="3211">
        <v>44561.000497685185</v>
      </c>
      <c r="J48" s="3211">
        <v>44581.000497685185</v>
      </c>
      <c r="K48" s="3211">
        <v>44600.000497685185</v>
      </c>
      <c r="L48" s="3211">
        <v>44600.000497685185</v>
      </c>
      <c r="M48" s="3204" t="s">
        <v>3953</v>
      </c>
      <c r="N48" s="3204">
        <v>15178.6</v>
      </c>
      <c r="O48" s="3204">
        <v>45535.8</v>
      </c>
      <c r="P48" s="3204">
        <v>58400</v>
      </c>
      <c r="Q48" s="3204">
        <v>3</v>
      </c>
      <c r="R48" s="3204">
        <v>3</v>
      </c>
      <c r="S48" s="3204" t="s">
        <v>3745</v>
      </c>
      <c r="T48" s="3212">
        <v>5</v>
      </c>
      <c r="U48" s="3212">
        <v>0.96309999999999996</v>
      </c>
      <c r="V48" s="3212">
        <v>1.2158</v>
      </c>
      <c r="W48" s="3212">
        <v>38475.22</v>
      </c>
      <c r="X48" s="3207">
        <f t="shared" si="3"/>
        <v>16190</v>
      </c>
      <c r="Y48" s="3208">
        <f t="shared" si="2"/>
        <v>16382</v>
      </c>
      <c r="Z48" s="3204">
        <v>2565.0100000000002</v>
      </c>
      <c r="AA48" s="3204">
        <v>12825</v>
      </c>
      <c r="AB48" s="3204">
        <v>12825</v>
      </c>
      <c r="AC48" s="3204">
        <v>0</v>
      </c>
      <c r="AD48" s="3204" t="s">
        <v>3912</v>
      </c>
      <c r="AE48" s="3204" t="s">
        <v>3948</v>
      </c>
      <c r="AF48" s="3204" t="s">
        <v>3954</v>
      </c>
      <c r="AG48" s="3204" t="s">
        <v>3955</v>
      </c>
      <c r="AH48" s="3204" t="s">
        <v>3760</v>
      </c>
      <c r="AI48" s="3204" t="s">
        <v>3761</v>
      </c>
    </row>
    <row r="49" spans="1:35" ht="38.25" hidden="1">
      <c r="A49" s="3199" t="s">
        <v>3956</v>
      </c>
      <c r="B49" s="3204" t="s">
        <v>3957</v>
      </c>
      <c r="C49" s="3204" t="s">
        <v>3958</v>
      </c>
      <c r="D49" s="3204" t="s">
        <v>3959</v>
      </c>
      <c r="E49" s="3204" t="s">
        <v>3960</v>
      </c>
      <c r="F49" s="3204" t="s">
        <v>3740</v>
      </c>
      <c r="G49" s="3204" t="s">
        <v>3792</v>
      </c>
      <c r="H49" s="3204" t="s">
        <v>3742</v>
      </c>
      <c r="I49" s="3211">
        <v>44546.000497685185</v>
      </c>
      <c r="J49" s="3211">
        <v>44566.000497685185</v>
      </c>
      <c r="K49" s="3211">
        <v>44580.000497685185</v>
      </c>
      <c r="L49" s="3211">
        <v>44580.000497685185</v>
      </c>
      <c r="M49" s="3204" t="s">
        <v>3961</v>
      </c>
      <c r="N49" s="3204">
        <v>19258.580000000002</v>
      </c>
      <c r="O49" s="3204">
        <v>38517.17</v>
      </c>
      <c r="P49" s="3204">
        <v>28400</v>
      </c>
      <c r="Q49" s="3204">
        <v>2</v>
      </c>
      <c r="R49" s="3204">
        <v>2</v>
      </c>
      <c r="S49" s="3204" t="s">
        <v>3745</v>
      </c>
      <c r="T49" s="3212">
        <v>9</v>
      </c>
      <c r="U49" s="3212">
        <v>1</v>
      </c>
      <c r="V49" s="3212">
        <v>1.2302</v>
      </c>
      <c r="W49" s="3212">
        <v>14746.67</v>
      </c>
      <c r="X49" s="3207">
        <f t="shared" si="3"/>
        <v>9070</v>
      </c>
      <c r="Y49" s="3208">
        <f t="shared" si="2"/>
        <v>9070</v>
      </c>
      <c r="Z49" s="3204">
        <v>983.11</v>
      </c>
      <c r="AA49" s="3204">
        <v>7373</v>
      </c>
      <c r="AB49" s="3204">
        <v>7373</v>
      </c>
      <c r="AC49" s="3204">
        <v>0</v>
      </c>
      <c r="AD49" s="3204" t="s">
        <v>3912</v>
      </c>
      <c r="AE49" s="3204" t="s">
        <v>3948</v>
      </c>
      <c r="AF49" s="3204" t="s">
        <v>3962</v>
      </c>
      <c r="AG49" s="3204" t="s">
        <v>3761</v>
      </c>
      <c r="AH49" s="3204" t="s">
        <v>3761</v>
      </c>
      <c r="AI49" s="3204" t="s">
        <v>3761</v>
      </c>
    </row>
    <row r="50" spans="1:35" ht="38.25" hidden="1">
      <c r="A50" s="3199" t="s">
        <v>3963</v>
      </c>
      <c r="B50" s="3204" t="s">
        <v>3964</v>
      </c>
      <c r="C50" s="3204" t="s">
        <v>3958</v>
      </c>
      <c r="D50" s="3204" t="s">
        <v>3959</v>
      </c>
      <c r="E50" s="3204" t="s">
        <v>3960</v>
      </c>
      <c r="F50" s="3204" t="s">
        <v>3740</v>
      </c>
      <c r="G50" s="3204" t="s">
        <v>3792</v>
      </c>
      <c r="H50" s="3204" t="s">
        <v>3742</v>
      </c>
      <c r="I50" s="3211">
        <v>44546.000497685185</v>
      </c>
      <c r="J50" s="3211">
        <v>44566.000497685185</v>
      </c>
      <c r="K50" s="3211">
        <v>44580.000497685185</v>
      </c>
      <c r="L50" s="3211">
        <v>44580.000497685185</v>
      </c>
      <c r="M50" s="3204" t="s">
        <v>3965</v>
      </c>
      <c r="N50" s="3204">
        <v>28547.88</v>
      </c>
      <c r="O50" s="3204">
        <v>51828.53</v>
      </c>
      <c r="P50" s="3204">
        <v>37700</v>
      </c>
      <c r="Q50" s="3204">
        <v>1.82</v>
      </c>
      <c r="R50" s="3204">
        <v>1.82</v>
      </c>
      <c r="S50" s="3204" t="s">
        <v>3745</v>
      </c>
      <c r="T50" s="3212">
        <v>9</v>
      </c>
      <c r="U50" s="3212">
        <f>1.0359+(1.0174-1.0359)*(1.82-1.8)/(1.9-1.8)</f>
        <v>1.0322</v>
      </c>
      <c r="V50" s="3212">
        <v>1.2302</v>
      </c>
      <c r="W50" s="3212">
        <v>13205.88</v>
      </c>
      <c r="X50" s="3207">
        <f t="shared" si="3"/>
        <v>8669</v>
      </c>
      <c r="Y50" s="3208">
        <f t="shared" si="2"/>
        <v>8669</v>
      </c>
      <c r="Z50" s="3204">
        <v>880.39</v>
      </c>
      <c r="AA50" s="3204">
        <v>7274</v>
      </c>
      <c r="AB50" s="3204">
        <v>7274</v>
      </c>
      <c r="AC50" s="3204">
        <v>0</v>
      </c>
      <c r="AD50" s="3204" t="s">
        <v>3912</v>
      </c>
      <c r="AE50" s="3204" t="s">
        <v>3948</v>
      </c>
      <c r="AF50" s="3204" t="s">
        <v>3966</v>
      </c>
      <c r="AG50" s="3204" t="s">
        <v>3967</v>
      </c>
      <c r="AH50" s="3204" t="s">
        <v>3760</v>
      </c>
      <c r="AI50" s="3204" t="s">
        <v>3779</v>
      </c>
    </row>
    <row r="51" spans="1:35" ht="25.5" hidden="1">
      <c r="A51" s="3199" t="s">
        <v>3968</v>
      </c>
      <c r="B51" s="3204" t="s">
        <v>3969</v>
      </c>
      <c r="C51" s="3204" t="s">
        <v>3797</v>
      </c>
      <c r="D51" s="3204" t="s">
        <v>3970</v>
      </c>
      <c r="E51" s="3204" t="s">
        <v>3971</v>
      </c>
      <c r="F51" s="3204" t="s">
        <v>3740</v>
      </c>
      <c r="G51" s="3204" t="s">
        <v>3792</v>
      </c>
      <c r="H51" s="3204" t="s">
        <v>3742</v>
      </c>
      <c r="I51" s="3211">
        <v>44531.000497685185</v>
      </c>
      <c r="J51" s="3211">
        <v>44551.000497685185</v>
      </c>
      <c r="K51" s="3211">
        <v>44566.000497685185</v>
      </c>
      <c r="L51" s="3211">
        <v>44566.000497685185</v>
      </c>
      <c r="M51" s="3204" t="s">
        <v>3972</v>
      </c>
      <c r="N51" s="3204">
        <v>29991.73</v>
      </c>
      <c r="O51" s="3204">
        <v>119966.93</v>
      </c>
      <c r="P51" s="3204">
        <v>165300</v>
      </c>
      <c r="Q51" s="3204">
        <v>4</v>
      </c>
      <c r="R51" s="3204">
        <v>4</v>
      </c>
      <c r="S51" s="3204" t="s">
        <v>3745</v>
      </c>
      <c r="T51" s="3212">
        <v>4</v>
      </c>
      <c r="U51" s="3212">
        <v>0.91859999999999997</v>
      </c>
      <c r="V51" s="3212">
        <v>1.2158</v>
      </c>
      <c r="W51" s="3212">
        <v>55115.19</v>
      </c>
      <c r="X51" s="3207">
        <f t="shared" si="3"/>
        <v>18237</v>
      </c>
      <c r="Y51" s="3208">
        <f t="shared" si="2"/>
        <v>18453</v>
      </c>
      <c r="Z51" s="3204">
        <v>3674.35</v>
      </c>
      <c r="AA51" s="3204">
        <v>13779</v>
      </c>
      <c r="AB51" s="3204">
        <v>13779</v>
      </c>
      <c r="AC51" s="3204">
        <v>0</v>
      </c>
      <c r="AD51" s="3204" t="s">
        <v>3973</v>
      </c>
      <c r="AE51" s="3204" t="s">
        <v>3948</v>
      </c>
      <c r="AF51" s="3204" t="s">
        <v>3974</v>
      </c>
      <c r="AG51" s="3204" t="s">
        <v>3761</v>
      </c>
      <c r="AH51" s="3204" t="s">
        <v>3761</v>
      </c>
      <c r="AI51" s="3204" t="s">
        <v>3761</v>
      </c>
    </row>
    <row r="52" spans="1:35" hidden="1">
      <c r="A52" s="3199" t="s">
        <v>3975</v>
      </c>
      <c r="B52" s="3204" t="s">
        <v>3976</v>
      </c>
      <c r="C52" s="3204" t="s">
        <v>3847</v>
      </c>
      <c r="D52" s="3204" t="s">
        <v>3977</v>
      </c>
      <c r="E52" s="3204" t="s">
        <v>3978</v>
      </c>
      <c r="F52" s="3204" t="s">
        <v>3740</v>
      </c>
      <c r="G52" s="3204" t="s">
        <v>3979</v>
      </c>
      <c r="H52" s="3204" t="s">
        <v>3979</v>
      </c>
      <c r="I52" s="3211">
        <v>44519.000497685185</v>
      </c>
      <c r="J52" s="3211">
        <v>44540.000497685185</v>
      </c>
      <c r="K52" s="3211">
        <v>44554.000497685185</v>
      </c>
      <c r="L52" s="3211">
        <v>44554.000497685185</v>
      </c>
      <c r="M52" s="3204" t="s">
        <v>3980</v>
      </c>
      <c r="N52" s="3204">
        <v>15197.52</v>
      </c>
      <c r="O52" s="3204">
        <v>30395.05</v>
      </c>
      <c r="P52" s="3204">
        <v>42600</v>
      </c>
      <c r="Q52" s="3204">
        <v>2</v>
      </c>
      <c r="R52" s="3204">
        <v>2</v>
      </c>
      <c r="S52" s="3204" t="s">
        <v>3745</v>
      </c>
      <c r="T52" s="3212">
        <v>6</v>
      </c>
      <c r="U52" s="3212">
        <v>1.0512999999999999</v>
      </c>
      <c r="V52" s="3212">
        <v>1.2158</v>
      </c>
      <c r="W52" s="3212">
        <v>28030.880000000001</v>
      </c>
      <c r="X52" s="3207">
        <f t="shared" si="3"/>
        <v>16208</v>
      </c>
      <c r="Y52" s="3208">
        <f t="shared" si="2"/>
        <v>16400</v>
      </c>
      <c r="Z52" s="3204">
        <v>1868.73</v>
      </c>
      <c r="AA52" s="3204">
        <v>14015</v>
      </c>
      <c r="AB52" s="3204">
        <v>14015</v>
      </c>
      <c r="AC52" s="3204">
        <v>0</v>
      </c>
      <c r="AD52" s="3204" t="s">
        <v>3912</v>
      </c>
      <c r="AE52" s="3204" t="s">
        <v>3948</v>
      </c>
      <c r="AF52" s="3204" t="s">
        <v>3981</v>
      </c>
      <c r="AG52" s="3204" t="s">
        <v>3982</v>
      </c>
      <c r="AH52" s="3204" t="s">
        <v>3760</v>
      </c>
      <c r="AI52" s="3204" t="s">
        <v>3779</v>
      </c>
    </row>
    <row r="53" spans="1:35" ht="25.5" hidden="1">
      <c r="A53" s="3199" t="s">
        <v>3983</v>
      </c>
      <c r="B53" s="3204" t="s">
        <v>3984</v>
      </c>
      <c r="C53" s="3204" t="s">
        <v>3762</v>
      </c>
      <c r="D53" s="3204" t="s">
        <v>3773</v>
      </c>
      <c r="E53" s="3204" t="s">
        <v>3985</v>
      </c>
      <c r="F53" s="3204" t="s">
        <v>3740</v>
      </c>
      <c r="G53" s="3204" t="s">
        <v>3792</v>
      </c>
      <c r="H53" s="3204" t="s">
        <v>3742</v>
      </c>
      <c r="I53" s="3211">
        <v>44457.000497685185</v>
      </c>
      <c r="J53" s="3211">
        <v>44481.000497685185</v>
      </c>
      <c r="K53" s="3211">
        <v>44495.000497685185</v>
      </c>
      <c r="L53" s="3211">
        <v>44495.000497685185</v>
      </c>
      <c r="M53" s="3204" t="s">
        <v>3986</v>
      </c>
      <c r="N53" s="3204">
        <v>38252.550000000003</v>
      </c>
      <c r="O53" s="3204">
        <v>84155.61</v>
      </c>
      <c r="P53" s="3204">
        <v>175000</v>
      </c>
      <c r="Q53" s="3204">
        <v>2.2000000000000002</v>
      </c>
      <c r="R53" s="3204">
        <v>2.2000000000000002</v>
      </c>
      <c r="S53" s="3204" t="s">
        <v>3745</v>
      </c>
      <c r="T53" s="3212">
        <v>6</v>
      </c>
      <c r="U53" s="3212">
        <v>1.0287999999999999</v>
      </c>
      <c r="V53" s="3212">
        <v>1.2158</v>
      </c>
      <c r="W53" s="3212">
        <v>45748.58</v>
      </c>
      <c r="X53" s="3207">
        <f t="shared" si="3"/>
        <v>24575</v>
      </c>
      <c r="Y53" s="3208">
        <f t="shared" si="2"/>
        <v>24866</v>
      </c>
      <c r="Z53" s="3204">
        <v>3049.91</v>
      </c>
      <c r="AA53" s="3204">
        <v>20795</v>
      </c>
      <c r="AB53" s="3204">
        <v>20795</v>
      </c>
      <c r="AC53" s="3204">
        <v>0</v>
      </c>
      <c r="AD53" s="3204" t="s">
        <v>3973</v>
      </c>
      <c r="AE53" s="3204" t="s">
        <v>3948</v>
      </c>
      <c r="AF53" s="3204" t="s">
        <v>3987</v>
      </c>
      <c r="AG53" s="3204" t="s">
        <v>3761</v>
      </c>
      <c r="AH53" s="3204" t="s">
        <v>3761</v>
      </c>
      <c r="AI53" s="3204" t="s">
        <v>3761</v>
      </c>
    </row>
    <row r="54" spans="1:35" ht="25.5" hidden="1">
      <c r="A54" s="3199" t="s">
        <v>3988</v>
      </c>
      <c r="B54" s="3204" t="s">
        <v>3989</v>
      </c>
      <c r="C54" s="3204" t="s">
        <v>3762</v>
      </c>
      <c r="D54" s="3204" t="s">
        <v>3773</v>
      </c>
      <c r="E54" s="3204" t="s">
        <v>3985</v>
      </c>
      <c r="F54" s="3204" t="s">
        <v>3740</v>
      </c>
      <c r="G54" s="3204" t="s">
        <v>3792</v>
      </c>
      <c r="H54" s="3204" t="s">
        <v>3742</v>
      </c>
      <c r="I54" s="3211">
        <v>44457.000497685185</v>
      </c>
      <c r="J54" s="3211">
        <v>44481.000497685185</v>
      </c>
      <c r="K54" s="3211">
        <v>44495.000497685185</v>
      </c>
      <c r="L54" s="3211">
        <v>44495.000497685185</v>
      </c>
      <c r="M54" s="3204" t="s">
        <v>3990</v>
      </c>
      <c r="N54" s="3204">
        <v>30025.18</v>
      </c>
      <c r="O54" s="3204">
        <v>66055.39</v>
      </c>
      <c r="P54" s="3204">
        <v>137000</v>
      </c>
      <c r="Q54" s="3204">
        <v>2.2000000000000002</v>
      </c>
      <c r="R54" s="3204">
        <v>2.2000000000000002</v>
      </c>
      <c r="S54" s="3204" t="s">
        <v>3745</v>
      </c>
      <c r="T54" s="3212">
        <v>6</v>
      </c>
      <c r="U54" s="3212">
        <v>1.0287999999999999</v>
      </c>
      <c r="V54" s="3212">
        <v>1.2158</v>
      </c>
      <c r="W54" s="3212">
        <v>45628.37</v>
      </c>
      <c r="X54" s="3207">
        <f t="shared" si="3"/>
        <v>24510</v>
      </c>
      <c r="Y54" s="3208">
        <f t="shared" si="2"/>
        <v>24800</v>
      </c>
      <c r="Z54" s="3204">
        <v>3041.89</v>
      </c>
      <c r="AA54" s="3204">
        <v>20740</v>
      </c>
      <c r="AB54" s="3204">
        <v>20740</v>
      </c>
      <c r="AC54" s="3204">
        <v>0</v>
      </c>
      <c r="AD54" s="3204" t="s">
        <v>3973</v>
      </c>
      <c r="AE54" s="3204" t="s">
        <v>3948</v>
      </c>
      <c r="AF54" s="3204" t="s">
        <v>3991</v>
      </c>
      <c r="AG54" s="3204" t="s">
        <v>3761</v>
      </c>
      <c r="AH54" s="3204" t="s">
        <v>3761</v>
      </c>
      <c r="AI54" s="3204" t="s">
        <v>3761</v>
      </c>
    </row>
    <row r="55" spans="1:35" s="3215" customFormat="1" ht="38.25">
      <c r="A55" s="3209" t="s">
        <v>3992</v>
      </c>
      <c r="B55" s="3210" t="s">
        <v>3993</v>
      </c>
      <c r="C55" s="3210" t="s">
        <v>3797</v>
      </c>
      <c r="D55" s="3210" t="s">
        <v>3921</v>
      </c>
      <c r="E55" s="3210" t="s">
        <v>3922</v>
      </c>
      <c r="F55" s="3210" t="s">
        <v>3740</v>
      </c>
      <c r="G55" s="3210" t="s">
        <v>3792</v>
      </c>
      <c r="H55" s="3210" t="s">
        <v>3742</v>
      </c>
      <c r="I55" s="3214">
        <v>44457.000497685185</v>
      </c>
      <c r="J55" s="3214">
        <v>44481.000497685185</v>
      </c>
      <c r="K55" s="3214">
        <v>44495.000497685185</v>
      </c>
      <c r="L55" s="3214">
        <v>44495.000497685185</v>
      </c>
      <c r="M55" s="3210" t="s">
        <v>3994</v>
      </c>
      <c r="N55" s="3210">
        <v>204418.11</v>
      </c>
      <c r="O55" s="3210">
        <v>302000</v>
      </c>
      <c r="P55" s="3210">
        <v>506700</v>
      </c>
      <c r="Q55" s="3210">
        <v>1.5</v>
      </c>
      <c r="R55" s="3210">
        <v>1.5</v>
      </c>
      <c r="S55" s="3210" t="s">
        <v>3745</v>
      </c>
      <c r="T55" s="3210">
        <v>6</v>
      </c>
      <c r="U55" s="3210">
        <v>1.1214999999999999</v>
      </c>
      <c r="V55" s="3210">
        <v>1.2158</v>
      </c>
      <c r="W55" s="3210">
        <v>24787.43</v>
      </c>
      <c r="X55" s="3210">
        <f t="shared" si="3"/>
        <v>18189</v>
      </c>
      <c r="Y55" s="3210">
        <f t="shared" si="2"/>
        <v>18404</v>
      </c>
      <c r="Z55" s="3210">
        <v>1652.5</v>
      </c>
      <c r="AA55" s="3210">
        <v>16778</v>
      </c>
      <c r="AB55" s="3210">
        <v>16778</v>
      </c>
      <c r="AC55" s="3210">
        <v>0</v>
      </c>
      <c r="AD55" s="3210" t="s">
        <v>3973</v>
      </c>
      <c r="AE55" s="3210" t="s">
        <v>3948</v>
      </c>
      <c r="AF55" s="3210" t="s">
        <v>3995</v>
      </c>
      <c r="AG55" s="3210" t="s">
        <v>3996</v>
      </c>
      <c r="AH55" s="3210" t="s">
        <v>3760</v>
      </c>
      <c r="AI55" s="3210" t="s">
        <v>3779</v>
      </c>
    </row>
    <row r="56" spans="1:35" ht="25.5">
      <c r="A56" s="3199" t="s">
        <v>3997</v>
      </c>
      <c r="B56" s="3204" t="s">
        <v>3998</v>
      </c>
      <c r="C56" s="3204" t="s">
        <v>3772</v>
      </c>
      <c r="D56" s="3204" t="s">
        <v>3883</v>
      </c>
      <c r="E56" s="3204" t="s">
        <v>3999</v>
      </c>
      <c r="F56" s="3204" t="s">
        <v>3740</v>
      </c>
      <c r="G56" s="3204" t="s">
        <v>3945</v>
      </c>
      <c r="H56" s="3204" t="s">
        <v>3756</v>
      </c>
      <c r="I56" s="3211">
        <v>44457.000497685185</v>
      </c>
      <c r="J56" s="3211">
        <v>44481.000497685185</v>
      </c>
      <c r="K56" s="3211">
        <v>44495.000497685185</v>
      </c>
      <c r="L56" s="3211">
        <v>44495.000497685185</v>
      </c>
      <c r="M56" s="3204" t="s">
        <v>4000</v>
      </c>
      <c r="N56" s="3204">
        <v>12136.3</v>
      </c>
      <c r="O56" s="3204">
        <v>42477</v>
      </c>
      <c r="P56" s="3204">
        <v>71000</v>
      </c>
      <c r="Q56" s="3204">
        <v>3.5</v>
      </c>
      <c r="R56" s="3204">
        <v>3.5</v>
      </c>
      <c r="S56" s="3204" t="s">
        <v>3745</v>
      </c>
      <c r="T56" s="3212">
        <v>6</v>
      </c>
      <c r="U56" s="3212">
        <v>0.93700000000000006</v>
      </c>
      <c r="V56" s="3212">
        <v>1.2158</v>
      </c>
      <c r="W56" s="3212">
        <v>58502.18</v>
      </c>
      <c r="X56" s="3210">
        <f t="shared" si="3"/>
        <v>21688</v>
      </c>
      <c r="Y56" s="3208">
        <f t="shared" si="2"/>
        <v>21945</v>
      </c>
      <c r="Z56" s="3204">
        <v>3900.15</v>
      </c>
      <c r="AA56" s="3204">
        <v>16715</v>
      </c>
      <c r="AB56" s="3204">
        <v>16715</v>
      </c>
      <c r="AC56" s="3204">
        <v>0</v>
      </c>
      <c r="AD56" s="3204" t="s">
        <v>3973</v>
      </c>
      <c r="AE56" s="3204" t="s">
        <v>3948</v>
      </c>
      <c r="AF56" s="3204" t="s">
        <v>4001</v>
      </c>
      <c r="AG56" s="3204" t="s">
        <v>4002</v>
      </c>
      <c r="AH56" s="3204" t="s">
        <v>3818</v>
      </c>
      <c r="AI56" s="3204" t="s">
        <v>3761</v>
      </c>
    </row>
    <row r="57" spans="1:35" ht="25.5">
      <c r="A57" s="3199" t="s">
        <v>4003</v>
      </c>
      <c r="B57" s="3204" t="s">
        <v>4004</v>
      </c>
      <c r="C57" s="3204" t="s">
        <v>4005</v>
      </c>
      <c r="D57" s="3204" t="s">
        <v>4006</v>
      </c>
      <c r="E57" s="3204" t="s">
        <v>4007</v>
      </c>
      <c r="F57" s="3204" t="s">
        <v>3740</v>
      </c>
      <c r="G57" s="3204" t="s">
        <v>3792</v>
      </c>
      <c r="H57" s="3204" t="s">
        <v>4008</v>
      </c>
      <c r="I57" s="3211">
        <v>44457.000497685185</v>
      </c>
      <c r="J57" s="3211">
        <v>44481.000497685185</v>
      </c>
      <c r="K57" s="3211">
        <v>44495.000497685185</v>
      </c>
      <c r="L57" s="3211">
        <v>44495.000497685185</v>
      </c>
      <c r="M57" s="3204" t="s">
        <v>4009</v>
      </c>
      <c r="N57" s="3204">
        <v>5907.54</v>
      </c>
      <c r="O57" s="3204">
        <v>21900</v>
      </c>
      <c r="P57" s="3204">
        <v>46000</v>
      </c>
      <c r="Q57" s="3204">
        <v>3.71</v>
      </c>
      <c r="R57" s="3204">
        <v>3.71</v>
      </c>
      <c r="S57" s="3204" t="s">
        <v>3745</v>
      </c>
      <c r="T57" s="3212">
        <v>2</v>
      </c>
      <c r="U57" s="3212">
        <f>0.9929+(0.9897-0.9929)*(3.71-3.7)/(3.8-3.7)</f>
        <v>0.99258000000000002</v>
      </c>
      <c r="V57" s="3212">
        <v>1.2501</v>
      </c>
      <c r="W57" s="3212">
        <v>77866.59</v>
      </c>
      <c r="X57" s="3207">
        <f t="shared" si="3"/>
        <v>26455</v>
      </c>
      <c r="Y57" s="3208">
        <f t="shared" si="2"/>
        <v>26034</v>
      </c>
      <c r="Z57" s="3204">
        <v>5191.1099999999997</v>
      </c>
      <c r="AA57" s="3204">
        <v>21005</v>
      </c>
      <c r="AB57" s="3204">
        <v>21005</v>
      </c>
      <c r="AC57" s="3204">
        <v>0</v>
      </c>
      <c r="AD57" s="3204" t="s">
        <v>3973</v>
      </c>
      <c r="AE57" s="3204" t="s">
        <v>3948</v>
      </c>
      <c r="AF57" s="3204" t="s">
        <v>4010</v>
      </c>
      <c r="AG57" s="3204" t="s">
        <v>3761</v>
      </c>
      <c r="AH57" s="3204" t="s">
        <v>3761</v>
      </c>
      <c r="AI57" s="3204" t="s">
        <v>3761</v>
      </c>
    </row>
    <row r="58" spans="1:35" ht="25.5">
      <c r="A58" s="3199" t="s">
        <v>4011</v>
      </c>
      <c r="B58" s="3204" t="s">
        <v>4012</v>
      </c>
      <c r="C58" s="3204" t="s">
        <v>3762</v>
      </c>
      <c r="D58" s="3204" t="s">
        <v>3773</v>
      </c>
      <c r="E58" s="3204" t="s">
        <v>3985</v>
      </c>
      <c r="F58" s="3204" t="s">
        <v>3740</v>
      </c>
      <c r="G58" s="3204" t="s">
        <v>3792</v>
      </c>
      <c r="H58" s="3204" t="s">
        <v>3742</v>
      </c>
      <c r="I58" s="3211">
        <v>44457.000497685185</v>
      </c>
      <c r="J58" s="3211">
        <v>44481.000497685185</v>
      </c>
      <c r="K58" s="3211">
        <v>44495.000497685185</v>
      </c>
      <c r="L58" s="3211">
        <v>44495.000497685185</v>
      </c>
      <c r="M58" s="3204" t="s">
        <v>4013</v>
      </c>
      <c r="N58" s="3204">
        <v>25121.77</v>
      </c>
      <c r="O58" s="3204">
        <v>55267.89</v>
      </c>
      <c r="P58" s="3204">
        <v>115000</v>
      </c>
      <c r="Q58" s="3204">
        <v>2.2000000000000002</v>
      </c>
      <c r="R58" s="3204">
        <v>2.2000000000000002</v>
      </c>
      <c r="S58" s="3204" t="s">
        <v>3745</v>
      </c>
      <c r="T58" s="3212">
        <v>6</v>
      </c>
      <c r="U58" s="3212">
        <v>1.0287999999999999</v>
      </c>
      <c r="V58" s="3212">
        <v>1.2158</v>
      </c>
      <c r="W58" s="3212">
        <v>45777.02</v>
      </c>
      <c r="X58" s="3207">
        <f t="shared" si="3"/>
        <v>24590</v>
      </c>
      <c r="Y58" s="3208">
        <f t="shared" si="2"/>
        <v>24881</v>
      </c>
      <c r="Z58" s="3204">
        <v>3051.8</v>
      </c>
      <c r="AA58" s="3204">
        <v>20808</v>
      </c>
      <c r="AB58" s="3204">
        <v>20808</v>
      </c>
      <c r="AC58" s="3204">
        <v>0</v>
      </c>
      <c r="AD58" s="3204" t="s">
        <v>3973</v>
      </c>
      <c r="AE58" s="3204" t="s">
        <v>3948</v>
      </c>
      <c r="AF58" s="3204" t="s">
        <v>4014</v>
      </c>
      <c r="AG58" s="3204" t="s">
        <v>3761</v>
      </c>
      <c r="AH58" s="3204" t="s">
        <v>3761</v>
      </c>
      <c r="AI58" s="3204" t="s">
        <v>3761</v>
      </c>
    </row>
    <row r="59" spans="1:35">
      <c r="A59" s="3199" t="s">
        <v>4015</v>
      </c>
      <c r="B59" s="3204" t="s">
        <v>4016</v>
      </c>
      <c r="C59" s="3204" t="s">
        <v>3797</v>
      </c>
      <c r="D59" s="3204" t="s">
        <v>3970</v>
      </c>
      <c r="E59" s="3204" t="s">
        <v>4017</v>
      </c>
      <c r="F59" s="3204" t="s">
        <v>3740</v>
      </c>
      <c r="G59" s="3204" t="s">
        <v>3741</v>
      </c>
      <c r="H59" s="3204" t="s">
        <v>4018</v>
      </c>
      <c r="I59" s="3211">
        <v>44300.000497685185</v>
      </c>
      <c r="J59" s="3211">
        <v>44322.000497685185</v>
      </c>
      <c r="K59" s="3211">
        <v>44335.000497685185</v>
      </c>
      <c r="L59" s="3211">
        <v>44335.000497685185</v>
      </c>
      <c r="M59" s="3204" t="s">
        <v>4019</v>
      </c>
      <c r="N59" s="3204">
        <v>17147.95</v>
      </c>
      <c r="O59" s="3204">
        <v>53158.65</v>
      </c>
      <c r="P59" s="3204">
        <v>69200</v>
      </c>
      <c r="Q59" s="3204" t="s">
        <v>4020</v>
      </c>
      <c r="R59" s="3204">
        <v>3.1</v>
      </c>
      <c r="S59" s="3204" t="s">
        <v>3745</v>
      </c>
      <c r="T59" s="3212">
        <v>6</v>
      </c>
      <c r="U59" s="3212">
        <v>0.95709999999999995</v>
      </c>
      <c r="V59" s="3212">
        <v>1.2158</v>
      </c>
      <c r="W59" s="3212">
        <v>40354.68</v>
      </c>
      <c r="X59" s="3207">
        <f t="shared" si="3"/>
        <v>16537</v>
      </c>
      <c r="Y59" s="3208">
        <f t="shared" si="2"/>
        <v>16733</v>
      </c>
      <c r="Z59" s="3204">
        <v>2690.31</v>
      </c>
      <c r="AA59" s="3204">
        <v>13018</v>
      </c>
      <c r="AB59" s="3204">
        <v>13018</v>
      </c>
      <c r="AC59" s="3204">
        <v>0</v>
      </c>
      <c r="AD59" s="3204" t="s">
        <v>3787</v>
      </c>
      <c r="AE59" s="3204" t="s">
        <v>3948</v>
      </c>
      <c r="AF59" s="3204" t="s">
        <v>4021</v>
      </c>
      <c r="AG59" s="3204" t="s">
        <v>3803</v>
      </c>
      <c r="AH59" s="3204" t="s">
        <v>3760</v>
      </c>
      <c r="AI59" s="3204" t="s">
        <v>3779</v>
      </c>
    </row>
  </sheetData>
  <autoFilter ref="A1:AI59" xr:uid="{00000000-0009-0000-0000-000013000000}"/>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10" zoomScale="85" zoomScaleNormal="60" zoomScaleSheetLayoutView="85" workbookViewId="0">
      <selection activeCell="N40" sqref="N40"/>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F65</f>
        <v>1315</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10667</v>
      </c>
      <c r="C3" s="193" t="s">
        <v>1869</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1769</v>
      </c>
      <c r="B4" s="344"/>
      <c r="C4" s="3472" t="s">
        <v>1770</v>
      </c>
      <c r="D4" s="3473"/>
      <c r="E4" s="3474" t="s">
        <v>1771</v>
      </c>
      <c r="F4" s="3475"/>
      <c r="G4" s="3472" t="s">
        <v>1772</v>
      </c>
      <c r="H4" s="3473"/>
      <c r="I4" s="3472" t="s">
        <v>1773</v>
      </c>
      <c r="J4" s="3473"/>
      <c r="K4" s="535" t="s">
        <v>1774</v>
      </c>
      <c r="L4" s="2484"/>
      <c r="M4" s="2485"/>
      <c r="N4" s="2485"/>
      <c r="O4" s="2485"/>
      <c r="P4" s="3476" t="s">
        <v>1775</v>
      </c>
      <c r="Q4" s="3477"/>
      <c r="R4" s="3459" t="s">
        <v>1771</v>
      </c>
      <c r="S4" s="3460"/>
      <c r="T4" s="3459" t="s">
        <v>1772</v>
      </c>
      <c r="U4" s="3460"/>
      <c r="V4" s="3484" t="s">
        <v>1773</v>
      </c>
      <c r="W4" s="3484"/>
      <c r="X4" s="1262"/>
      <c r="Y4" s="3459" t="s">
        <v>1775</v>
      </c>
      <c r="Z4" s="3460"/>
      <c r="AA4" s="3454" t="s">
        <v>1771</v>
      </c>
      <c r="AB4" s="3455" t="s">
        <v>1772</v>
      </c>
      <c r="AC4" s="3454" t="s">
        <v>1773</v>
      </c>
    </row>
    <row r="5" spans="1:29" ht="15">
      <c r="A5" s="346"/>
      <c r="B5" s="347"/>
      <c r="C5" s="3465" t="s">
        <v>1673</v>
      </c>
      <c r="D5" s="3466"/>
      <c r="E5" s="3463" t="str">
        <f>土地案例!A18</f>
        <v>北京市海淀区温泉镇中心区F16地块0901商业用地</v>
      </c>
      <c r="F5" s="3464"/>
      <c r="G5" s="3465" t="str">
        <f>土地案例!A42</f>
        <v>北京市通州经济开发区西区南扩区 三、五、六期棚户区改造项目 FZX-1102-6002地块 F3其他类多功能用地</v>
      </c>
      <c r="H5" s="3466"/>
      <c r="I5" s="3465" t="str">
        <f>土地案例!A43</f>
        <v>北京市通州经济开发区西区南扩区三、五、六期棚户区改造项目FZX-1102-6219地块F3其他类多功能用地</v>
      </c>
      <c r="J5" s="3466"/>
      <c r="K5" s="535"/>
      <c r="L5" s="2484"/>
      <c r="M5" s="2485"/>
      <c r="N5" s="2485"/>
      <c r="O5" s="2485"/>
      <c r="P5" s="3478"/>
      <c r="Q5" s="3479"/>
      <c r="R5" s="3461"/>
      <c r="S5" s="3462"/>
      <c r="T5" s="3461"/>
      <c r="U5" s="3462"/>
      <c r="V5" s="3484"/>
      <c r="W5" s="3484"/>
      <c r="X5" s="1262"/>
      <c r="Y5" s="3461"/>
      <c r="Z5" s="3462"/>
      <c r="AA5" s="3455"/>
      <c r="AB5" s="3455"/>
      <c r="AC5" s="3455"/>
    </row>
    <row r="6" spans="1:29" ht="15.75" thickBot="1">
      <c r="A6" s="348"/>
      <c r="B6" s="349"/>
      <c r="C6" s="3467" t="s">
        <v>1677</v>
      </c>
      <c r="D6" s="3468"/>
      <c r="E6" s="3469" t="s">
        <v>1677</v>
      </c>
      <c r="F6" s="3470"/>
      <c r="G6" s="3467" t="s">
        <v>1677</v>
      </c>
      <c r="H6" s="3468"/>
      <c r="I6" s="3467" t="s">
        <v>1677</v>
      </c>
      <c r="J6" s="3468"/>
      <c r="K6" s="535" t="s">
        <v>1678</v>
      </c>
      <c r="L6" s="2484"/>
      <c r="M6" s="2485"/>
      <c r="N6" s="2485"/>
      <c r="O6" s="2485"/>
      <c r="P6" s="3480"/>
      <c r="Q6" s="3481"/>
      <c r="R6" s="3461"/>
      <c r="S6" s="3462"/>
      <c r="T6" s="3482"/>
      <c r="U6" s="3483"/>
      <c r="V6" s="3484"/>
      <c r="W6" s="3484"/>
      <c r="X6" s="1262"/>
      <c r="Y6" s="3482"/>
      <c r="Z6" s="3483"/>
      <c r="AA6" s="3456"/>
      <c r="AB6" s="3456"/>
      <c r="AC6" s="3456"/>
    </row>
    <row r="7" spans="1:29" s="102" customFormat="1" ht="15.75" thickBot="1">
      <c r="A7" s="350" t="s">
        <v>1679</v>
      </c>
      <c r="B7" s="351"/>
      <c r="C7" s="352">
        <f>'数据-取费表'!B2</f>
        <v>45986</v>
      </c>
      <c r="D7" s="353">
        <v>100</v>
      </c>
      <c r="E7" s="354" t="str">
        <f>土地案例!L18</f>
        <v>2024-05-28</v>
      </c>
      <c r="F7" s="355">
        <f>SUMIF(69:69,YEAR(E7)&amp;"-"&amp;INT((MONTH(E7)+2)/3),70:70)</f>
        <v>100</v>
      </c>
      <c r="G7" s="1819">
        <f>土地案例!L42</f>
        <v>44795.000497685185</v>
      </c>
      <c r="H7" s="353">
        <f>SUMIF(69:69,YEAR(G7)&amp;"-"&amp;INT((MONTH(G7)+2)/3),70:70)</f>
        <v>100</v>
      </c>
      <c r="I7" s="1819">
        <f>土地案例!L43</f>
        <v>44796.000497685185</v>
      </c>
      <c r="J7" s="353">
        <f>SUMIF(69:69,YEAR(I7)&amp;"-"&amp;INT((MONTH(I7)+2)/3),70:70)</f>
        <v>100</v>
      </c>
      <c r="K7" s="38"/>
      <c r="L7" s="2486"/>
      <c r="M7" s="2437"/>
      <c r="N7" s="2437"/>
      <c r="O7" s="2437"/>
      <c r="P7" s="3457" t="s">
        <v>1680</v>
      </c>
      <c r="Q7" s="3485"/>
      <c r="R7" s="662" t="s">
        <v>14</v>
      </c>
      <c r="S7" s="663">
        <f t="shared" ref="S7:S15" si="0">F7</f>
        <v>100</v>
      </c>
      <c r="T7" s="662" t="s">
        <v>14</v>
      </c>
      <c r="U7" s="663">
        <f t="shared" ref="U7:U15" si="1">H7</f>
        <v>100</v>
      </c>
      <c r="V7" s="662" t="s">
        <v>14</v>
      </c>
      <c r="W7" s="663">
        <f t="shared" ref="W7:W15" si="2">J7</f>
        <v>100</v>
      </c>
      <c r="X7" s="664"/>
      <c r="Y7" s="3457" t="s">
        <v>1680</v>
      </c>
      <c r="Z7" s="3458"/>
      <c r="AA7" s="50">
        <f>D7/F7</f>
        <v>1</v>
      </c>
      <c r="AB7" s="50">
        <f>D7/H7</f>
        <v>1</v>
      </c>
      <c r="AC7" s="50">
        <f>D7/J7</f>
        <v>1</v>
      </c>
    </row>
    <row r="8" spans="1:29" s="102" customFormat="1" ht="15.75" thickBot="1">
      <c r="A8" s="350" t="s">
        <v>1681</v>
      </c>
      <c r="B8" s="351"/>
      <c r="C8" s="356" t="s">
        <v>1682</v>
      </c>
      <c r="D8" s="353">
        <v>100</v>
      </c>
      <c r="E8" s="356" t="s">
        <v>4022</v>
      </c>
      <c r="F8" s="355">
        <f>SUMIF(72:72,E8,73:73)-SUMIF(72:72,C8,73:73)+100</f>
        <v>100</v>
      </c>
      <c r="G8" s="356" t="s">
        <v>4022</v>
      </c>
      <c r="H8" s="353">
        <f>SUMIF(72:72,G8,73:73)-SUMIF(72:72,C8,73:73)+100</f>
        <v>100</v>
      </c>
      <c r="I8" s="356" t="s">
        <v>4022</v>
      </c>
      <c r="J8" s="353">
        <f>SUMIF(72:72,I8,73:73)-SUMIF(72:72,C8,73:73)+100</f>
        <v>100</v>
      </c>
      <c r="K8" s="38"/>
      <c r="L8" s="2486"/>
      <c r="M8" s="2437"/>
      <c r="N8" s="2437"/>
      <c r="O8" s="2437"/>
      <c r="P8" s="3457" t="s">
        <v>1683</v>
      </c>
      <c r="Q8" s="3458"/>
      <c r="R8" s="662" t="s">
        <v>14</v>
      </c>
      <c r="S8" s="663">
        <f t="shared" si="0"/>
        <v>100</v>
      </c>
      <c r="T8" s="662" t="s">
        <v>14</v>
      </c>
      <c r="U8" s="663">
        <f t="shared" si="1"/>
        <v>100</v>
      </c>
      <c r="V8" s="662" t="s">
        <v>14</v>
      </c>
      <c r="W8" s="663">
        <f t="shared" si="2"/>
        <v>100</v>
      </c>
      <c r="X8" s="664"/>
      <c r="Y8" s="3457" t="s">
        <v>1683</v>
      </c>
      <c r="Z8" s="3458"/>
      <c r="AA8" s="50">
        <f t="shared" ref="AA8:AA45" si="3">D8/F8</f>
        <v>1</v>
      </c>
      <c r="AB8" s="50">
        <f t="shared" ref="AB8:AB45" si="4">D8/H8</f>
        <v>1</v>
      </c>
      <c r="AC8" s="50">
        <f t="shared" ref="AC8:AC45" si="5">D8/J8</f>
        <v>1</v>
      </c>
    </row>
    <row r="9" spans="1:29" s="102" customFormat="1" ht="28.5">
      <c r="A9" s="357" t="s">
        <v>1684</v>
      </c>
      <c r="B9" s="60" t="s">
        <v>1685</v>
      </c>
      <c r="C9" s="1822" t="s">
        <v>4023</v>
      </c>
      <c r="D9" s="59">
        <v>100</v>
      </c>
      <c r="E9" s="1822" t="s">
        <v>3708</v>
      </c>
      <c r="F9" s="59">
        <f>SUMIF(74:74,E9,75:75)-SUMIF(74:74,C9,75:75)+100</f>
        <v>102</v>
      </c>
      <c r="G9" s="1822" t="s">
        <v>3556</v>
      </c>
      <c r="H9" s="59">
        <f>SUMIF(74:74,G9,75:75)-SUMIF(74:74,C9,75:75)+100</f>
        <v>100</v>
      </c>
      <c r="I9" s="1822" t="s">
        <v>3556</v>
      </c>
      <c r="J9" s="59">
        <f>SUMIF(74:74,I9,75:75)-SUMIF(74:74,C9,75:75)+100</f>
        <v>100</v>
      </c>
      <c r="K9" s="38"/>
      <c r="L9" s="2486"/>
      <c r="M9" s="2437"/>
      <c r="N9" s="2437"/>
      <c r="O9" s="2538"/>
      <c r="P9" s="3489" t="s">
        <v>1686</v>
      </c>
      <c r="Q9" s="528" t="str">
        <f t="shared" ref="Q9:Q15" si="6">B9</f>
        <v>用途</v>
      </c>
      <c r="R9" s="662" t="s">
        <v>14</v>
      </c>
      <c r="S9" s="663">
        <f t="shared" si="0"/>
        <v>102</v>
      </c>
      <c r="T9" s="662" t="s">
        <v>14</v>
      </c>
      <c r="U9" s="663">
        <f t="shared" si="1"/>
        <v>100</v>
      </c>
      <c r="V9" s="662" t="s">
        <v>14</v>
      </c>
      <c r="W9" s="663">
        <f t="shared" si="2"/>
        <v>100</v>
      </c>
      <c r="X9" s="664"/>
      <c r="Y9" s="3401" t="s">
        <v>1687</v>
      </c>
      <c r="Z9" s="50" t="str">
        <f t="shared" ref="Z9:Z15" si="7">Q9</f>
        <v>用途</v>
      </c>
      <c r="AA9" s="50">
        <f t="shared" si="3"/>
        <v>0.98039215686274506</v>
      </c>
      <c r="AB9" s="50">
        <f t="shared" si="4"/>
        <v>1</v>
      </c>
      <c r="AC9" s="50">
        <f t="shared" si="5"/>
        <v>1</v>
      </c>
    </row>
    <row r="10" spans="1:29" s="364" customFormat="1" ht="27">
      <c r="A10" s="361"/>
      <c r="B10" s="362" t="s">
        <v>1688</v>
      </c>
      <c r="C10" s="369">
        <f>项目基本情况!E15</f>
        <v>34.46</v>
      </c>
      <c r="D10" s="117">
        <v>100</v>
      </c>
      <c r="E10" s="401" t="s">
        <v>4024</v>
      </c>
      <c r="F10" s="117">
        <f>ROUND(100/'数据-取费表'!G16,0)</f>
        <v>111</v>
      </c>
      <c r="G10" s="400" t="s">
        <v>4024</v>
      </c>
      <c r="H10" s="117">
        <f>ROUND(100/'数据-取费表'!G16,0)</f>
        <v>111</v>
      </c>
      <c r="I10" s="400" t="s">
        <v>4024</v>
      </c>
      <c r="J10" s="117">
        <f>ROUND(100/'数据-取费表'!G16,0)</f>
        <v>111</v>
      </c>
      <c r="K10" s="590"/>
      <c r="L10" s="2487"/>
      <c r="M10" s="2488"/>
      <c r="N10" s="2488"/>
      <c r="O10" s="2539"/>
      <c r="P10" s="3489"/>
      <c r="Q10" s="528" t="str">
        <f t="shared" si="6"/>
        <v>土地使用年限（年）</v>
      </c>
      <c r="R10" s="662" t="s">
        <v>14</v>
      </c>
      <c r="S10" s="663">
        <f t="shared" si="0"/>
        <v>111</v>
      </c>
      <c r="T10" s="662" t="s">
        <v>14</v>
      </c>
      <c r="U10" s="663">
        <f t="shared" si="1"/>
        <v>111</v>
      </c>
      <c r="V10" s="662" t="s">
        <v>14</v>
      </c>
      <c r="W10" s="663">
        <f t="shared" si="2"/>
        <v>111</v>
      </c>
      <c r="X10" s="664"/>
      <c r="Y10" s="3401"/>
      <c r="Z10" s="50" t="str">
        <f t="shared" si="7"/>
        <v>土地使用年限（年）</v>
      </c>
      <c r="AA10" s="50">
        <f t="shared" si="3"/>
        <v>0.90090090090090091</v>
      </c>
      <c r="AB10" s="50">
        <f t="shared" si="4"/>
        <v>0.90090090090090091</v>
      </c>
      <c r="AC10" s="50">
        <f t="shared" si="5"/>
        <v>0.90090090090090091</v>
      </c>
    </row>
    <row r="11" spans="1:29" ht="15">
      <c r="A11" s="365"/>
      <c r="B11" s="362" t="s">
        <v>1689</v>
      </c>
      <c r="C11" s="366">
        <v>1</v>
      </c>
      <c r="D11" s="117">
        <v>100</v>
      </c>
      <c r="E11" s="366">
        <v>1</v>
      </c>
      <c r="F11" s="117">
        <f>LOOKUP(E11,79:79,80:80)-LOOKUP(C11,79:79,80:80)+100</f>
        <v>100</v>
      </c>
      <c r="G11" s="367">
        <v>2.2000000000000002</v>
      </c>
      <c r="H11" s="117">
        <f>LOOKUP(G11,79:79,80:80)-LOOKUP(C11,79:79,80:80)+100</f>
        <v>100</v>
      </c>
      <c r="I11" s="366">
        <v>2.2000000000000002</v>
      </c>
      <c r="J11" s="117">
        <f>LOOKUP(I11,79:79,80:80)-LOOKUP(C11,79:79,80:80)+100</f>
        <v>100</v>
      </c>
      <c r="K11" s="591">
        <v>0</v>
      </c>
      <c r="L11" s="2489"/>
      <c r="M11" s="2485"/>
      <c r="N11" s="2485"/>
      <c r="O11" s="2540"/>
      <c r="P11" s="3489"/>
      <c r="Q11" s="528" t="str">
        <f t="shared" si="6"/>
        <v>容积率</v>
      </c>
      <c r="R11" s="662" t="s">
        <v>14</v>
      </c>
      <c r="S11" s="663">
        <f t="shared" si="0"/>
        <v>100</v>
      </c>
      <c r="T11" s="662" t="s">
        <v>14</v>
      </c>
      <c r="U11" s="663">
        <f t="shared" si="1"/>
        <v>100</v>
      </c>
      <c r="V11" s="662" t="s">
        <v>14</v>
      </c>
      <c r="W11" s="663">
        <f t="shared" si="2"/>
        <v>100</v>
      </c>
      <c r="X11" s="664"/>
      <c r="Y11" s="3401"/>
      <c r="Z11" s="50" t="str">
        <f t="shared" si="7"/>
        <v>容积率</v>
      </c>
      <c r="AA11" s="50">
        <f t="shared" si="3"/>
        <v>1</v>
      </c>
      <c r="AB11" s="50">
        <f t="shared" si="4"/>
        <v>1</v>
      </c>
      <c r="AC11" s="50">
        <f t="shared" si="5"/>
        <v>1</v>
      </c>
    </row>
    <row r="12" spans="1:29" s="102" customFormat="1" ht="15" hidden="1">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489"/>
      <c r="Q12" s="528" t="str">
        <f t="shared" si="6"/>
        <v>配建</v>
      </c>
      <c r="R12" s="662" t="s">
        <v>14</v>
      </c>
      <c r="S12" s="663">
        <f t="shared" si="0"/>
        <v>100</v>
      </c>
      <c r="T12" s="662" t="s">
        <v>14</v>
      </c>
      <c r="U12" s="663">
        <f t="shared" si="1"/>
        <v>100</v>
      </c>
      <c r="V12" s="662" t="s">
        <v>14</v>
      </c>
      <c r="W12" s="663">
        <f t="shared" si="2"/>
        <v>100</v>
      </c>
      <c r="X12" s="664"/>
      <c r="Y12" s="3401"/>
      <c r="Z12" s="50" t="str">
        <f t="shared" si="7"/>
        <v>配建</v>
      </c>
      <c r="AA12" s="50">
        <f>D12/F12</f>
        <v>1</v>
      </c>
      <c r="AB12" s="50">
        <f>D12/H12</f>
        <v>1</v>
      </c>
      <c r="AC12" s="50">
        <f>D12/J12</f>
        <v>1</v>
      </c>
    </row>
    <row r="13" spans="1:29" ht="15" hidden="1">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90"/>
      <c r="M13" s="2485"/>
      <c r="N13" s="2485"/>
      <c r="O13" s="2540"/>
      <c r="P13" s="3489"/>
      <c r="Q13" s="528">
        <f t="shared" si="6"/>
        <v>111</v>
      </c>
      <c r="R13" s="662" t="s">
        <v>14</v>
      </c>
      <c r="S13" s="663">
        <f t="shared" si="0"/>
        <v>100</v>
      </c>
      <c r="T13" s="662" t="s">
        <v>14</v>
      </c>
      <c r="U13" s="663">
        <f t="shared" si="1"/>
        <v>100</v>
      </c>
      <c r="V13" s="662" t="s">
        <v>14</v>
      </c>
      <c r="W13" s="663">
        <f t="shared" si="2"/>
        <v>100</v>
      </c>
      <c r="X13" s="664"/>
      <c r="Y13" s="3401"/>
      <c r="Z13" s="50">
        <f t="shared" si="7"/>
        <v>111</v>
      </c>
      <c r="AA13" s="50">
        <f>D13/F13</f>
        <v>1</v>
      </c>
      <c r="AB13" s="50">
        <f>D13/H13</f>
        <v>1</v>
      </c>
      <c r="AC13" s="50">
        <f>D13/J13</f>
        <v>1</v>
      </c>
    </row>
    <row r="14" spans="1:29" ht="15.75" hidden="1"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489"/>
      <c r="Q14" s="528">
        <f t="shared" si="6"/>
        <v>111</v>
      </c>
      <c r="R14" s="662" t="s">
        <v>14</v>
      </c>
      <c r="S14" s="663">
        <f t="shared" si="0"/>
        <v>100</v>
      </c>
      <c r="T14" s="662" t="s">
        <v>14</v>
      </c>
      <c r="U14" s="663">
        <f t="shared" si="1"/>
        <v>100</v>
      </c>
      <c r="V14" s="662" t="s">
        <v>14</v>
      </c>
      <c r="W14" s="663">
        <f t="shared" si="2"/>
        <v>100</v>
      </c>
      <c r="X14" s="664"/>
      <c r="Y14" s="3401"/>
      <c r="Z14" s="50">
        <f t="shared" si="7"/>
        <v>111</v>
      </c>
      <c r="AA14" s="50">
        <f>D14/F14</f>
        <v>1</v>
      </c>
      <c r="AB14" s="50">
        <f>D14/H14</f>
        <v>1</v>
      </c>
      <c r="AC14" s="50">
        <f>D14/J14</f>
        <v>1</v>
      </c>
    </row>
    <row r="15" spans="1:29" ht="15" hidden="1">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90"/>
      <c r="M15" s="2485"/>
      <c r="N15" s="2485"/>
      <c r="O15" s="2540"/>
      <c r="P15" s="3490" t="s">
        <v>1691</v>
      </c>
      <c r="Q15" s="1260" t="str">
        <f t="shared" si="6"/>
        <v>居住社区成熟度</v>
      </c>
      <c r="R15" s="665" t="s">
        <v>14</v>
      </c>
      <c r="S15" s="666">
        <f t="shared" si="0"/>
        <v>100</v>
      </c>
      <c r="T15" s="665" t="s">
        <v>14</v>
      </c>
      <c r="U15" s="666">
        <f t="shared" si="1"/>
        <v>100</v>
      </c>
      <c r="V15" s="665" t="s">
        <v>14</v>
      </c>
      <c r="W15" s="666">
        <f t="shared" si="2"/>
        <v>100</v>
      </c>
      <c r="X15" s="1262"/>
      <c r="Y15" s="3490" t="s">
        <v>1691</v>
      </c>
      <c r="Z15" s="1261" t="str">
        <f t="shared" si="7"/>
        <v>居住社区成熟度</v>
      </c>
      <c r="AA15" s="1261">
        <f t="shared" si="3"/>
        <v>1</v>
      </c>
      <c r="AB15" s="1261">
        <f t="shared" si="4"/>
        <v>1</v>
      </c>
      <c r="AC15" s="1261">
        <f t="shared" si="5"/>
        <v>1</v>
      </c>
    </row>
    <row r="16" spans="1:29" ht="15" hidden="1">
      <c r="A16" s="365"/>
      <c r="B16" s="383"/>
      <c r="C16" s="384"/>
      <c r="D16" s="385"/>
      <c r="E16" s="1749"/>
      <c r="F16" s="385"/>
      <c r="G16" s="1749"/>
      <c r="H16" s="387"/>
      <c r="I16" s="1748"/>
      <c r="J16" s="385"/>
      <c r="K16" s="590"/>
      <c r="L16" s="2490"/>
      <c r="M16" s="2485"/>
      <c r="N16" s="2485"/>
      <c r="O16" s="2540"/>
      <c r="P16" s="3491"/>
      <c r="Q16" s="1260"/>
      <c r="R16" s="665"/>
      <c r="S16" s="666"/>
      <c r="T16" s="665"/>
      <c r="U16" s="666"/>
      <c r="V16" s="665"/>
      <c r="W16" s="666"/>
      <c r="X16" s="1262"/>
      <c r="Y16" s="3491"/>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v>2</v>
      </c>
      <c r="L17" s="2490"/>
      <c r="M17" s="2485"/>
      <c r="N17" s="2485"/>
      <c r="O17" s="2540"/>
      <c r="P17" s="3491"/>
      <c r="Q17" s="1260" t="str">
        <f>B17</f>
        <v>商业繁华度</v>
      </c>
      <c r="R17" s="665" t="s">
        <v>14</v>
      </c>
      <c r="S17" s="666">
        <f>F17</f>
        <v>100</v>
      </c>
      <c r="T17" s="665" t="s">
        <v>14</v>
      </c>
      <c r="U17" s="666">
        <f>H17</f>
        <v>100</v>
      </c>
      <c r="V17" s="665" t="s">
        <v>14</v>
      </c>
      <c r="W17" s="666">
        <f>J17</f>
        <v>100</v>
      </c>
      <c r="X17" s="1262"/>
      <c r="Y17" s="3491"/>
      <c r="Z17" s="1261" t="str">
        <f>Q17</f>
        <v>商业繁华度</v>
      </c>
      <c r="AA17" s="1261">
        <f t="shared" si="3"/>
        <v>1</v>
      </c>
      <c r="AB17" s="1261">
        <f t="shared" si="4"/>
        <v>1</v>
      </c>
      <c r="AC17" s="1261">
        <f t="shared" si="5"/>
        <v>1</v>
      </c>
    </row>
    <row r="18" spans="1:29" ht="15">
      <c r="A18" s="365"/>
      <c r="B18" s="393"/>
      <c r="C18" s="1752" t="s">
        <v>3503</v>
      </c>
      <c r="D18" s="387"/>
      <c r="E18" s="1752" t="s">
        <v>3503</v>
      </c>
      <c r="F18" s="387"/>
      <c r="G18" s="1752" t="s">
        <v>3503</v>
      </c>
      <c r="H18" s="385"/>
      <c r="I18" s="1752" t="s">
        <v>3503</v>
      </c>
      <c r="J18" s="385"/>
      <c r="K18" s="590"/>
      <c r="L18" s="2490"/>
      <c r="M18" s="2485"/>
      <c r="N18" s="2485"/>
      <c r="O18" s="2540"/>
      <c r="P18" s="3491"/>
      <c r="Q18" s="1260"/>
      <c r="R18" s="665"/>
      <c r="S18" s="666"/>
      <c r="T18" s="665"/>
      <c r="U18" s="666"/>
      <c r="V18" s="665"/>
      <c r="W18" s="666"/>
      <c r="X18" s="1262"/>
      <c r="Y18" s="3491"/>
      <c r="Z18" s="1261"/>
      <c r="AA18" s="1261">
        <v>1</v>
      </c>
      <c r="AB18" s="1261">
        <v>1</v>
      </c>
      <c r="AC18" s="1261">
        <v>1</v>
      </c>
    </row>
    <row r="19" spans="1:29" ht="15">
      <c r="A19" s="365"/>
      <c r="B19" s="388" t="s">
        <v>1811</v>
      </c>
      <c r="C19" s="1803">
        <f>估价对象房地状况!C17</f>
        <v>0</v>
      </c>
      <c r="D19" s="392">
        <v>100</v>
      </c>
      <c r="E19" s="394"/>
      <c r="F19" s="392">
        <f>SUMIF(91:91,E20,92:92)-SUMIF(91:91,C20,92:92)+100</f>
        <v>100</v>
      </c>
      <c r="G19" s="394"/>
      <c r="H19" s="387">
        <f>SUMIF(91:91,G20,92:92)-SUMIF(91:91,C20,92:92)+100</f>
        <v>100</v>
      </c>
      <c r="I19" s="396"/>
      <c r="J19" s="387">
        <f>SUMIF(91:91,I20,92:92)-SUMIF(91:91,C20,92:92)+100</f>
        <v>100</v>
      </c>
      <c r="K19" s="591">
        <v>2</v>
      </c>
      <c r="L19" s="2490"/>
      <c r="M19" s="2485"/>
      <c r="N19" s="2485"/>
      <c r="O19" s="2540"/>
      <c r="P19" s="3491"/>
      <c r="Q19" s="1260" t="str">
        <f>B19</f>
        <v>办公集聚程度</v>
      </c>
      <c r="R19" s="665" t="s">
        <v>14</v>
      </c>
      <c r="S19" s="666">
        <f>F19</f>
        <v>100</v>
      </c>
      <c r="T19" s="665" t="s">
        <v>14</v>
      </c>
      <c r="U19" s="666">
        <f>H19</f>
        <v>100</v>
      </c>
      <c r="V19" s="665" t="s">
        <v>14</v>
      </c>
      <c r="W19" s="666">
        <f>J19</f>
        <v>100</v>
      </c>
      <c r="X19" s="1262"/>
      <c r="Y19" s="3491"/>
      <c r="Z19" s="1261" t="str">
        <f>Q19</f>
        <v>办公集聚程度</v>
      </c>
      <c r="AA19" s="1261">
        <f t="shared" si="3"/>
        <v>1</v>
      </c>
      <c r="AB19" s="1261">
        <f t="shared" si="4"/>
        <v>1</v>
      </c>
      <c r="AC19" s="1261">
        <f t="shared" si="5"/>
        <v>1</v>
      </c>
    </row>
    <row r="20" spans="1:29" ht="15">
      <c r="A20" s="365"/>
      <c r="B20" s="393"/>
      <c r="C20" s="1752" t="s">
        <v>3503</v>
      </c>
      <c r="D20" s="385"/>
      <c r="E20" s="1752" t="s">
        <v>3503</v>
      </c>
      <c r="F20" s="385"/>
      <c r="G20" s="1752" t="s">
        <v>3503</v>
      </c>
      <c r="H20" s="385"/>
      <c r="I20" s="1752" t="s">
        <v>3503</v>
      </c>
      <c r="J20" s="385"/>
      <c r="K20" s="590"/>
      <c r="L20" s="2490"/>
      <c r="M20" s="2485"/>
      <c r="N20" s="2485"/>
      <c r="O20" s="2540"/>
      <c r="P20" s="3491"/>
      <c r="Q20" s="1260"/>
      <c r="R20" s="665"/>
      <c r="S20" s="666"/>
      <c r="T20" s="665"/>
      <c r="U20" s="666"/>
      <c r="V20" s="665"/>
      <c r="W20" s="666"/>
      <c r="X20" s="1262"/>
      <c r="Y20" s="3491"/>
      <c r="Z20" s="1261"/>
      <c r="AA20" s="1261">
        <v>1</v>
      </c>
      <c r="AB20" s="1261">
        <v>1</v>
      </c>
      <c r="AC20" s="1261">
        <v>1</v>
      </c>
    </row>
    <row r="21" spans="1:29" ht="15">
      <c r="A21" s="365"/>
      <c r="B21" s="388" t="s">
        <v>1833</v>
      </c>
      <c r="C21" s="1751">
        <f>估价对象房地状况!C18</f>
        <v>0</v>
      </c>
      <c r="D21" s="387">
        <v>100</v>
      </c>
      <c r="E21" s="389"/>
      <c r="F21" s="392">
        <f>SUMIF(93:93,E22,94:94)-SUMIF(93:93,C22,94:94)+100</f>
        <v>100</v>
      </c>
      <c r="G21" s="389"/>
      <c r="H21" s="387">
        <f>SUMIF(93:93,G22,94:94)-SUMIF(93:93,C22,94:94)+100</f>
        <v>100</v>
      </c>
      <c r="I21" s="391"/>
      <c r="J21" s="387">
        <f>SUMIF(93:93,I22,94:94)-SUMIF(93:93,C22,94:94)+100</f>
        <v>100</v>
      </c>
      <c r="K21" s="591">
        <v>2</v>
      </c>
      <c r="L21" s="2490"/>
      <c r="M21" s="2485"/>
      <c r="N21" s="2485"/>
      <c r="O21" s="2540"/>
      <c r="P21" s="3491"/>
      <c r="Q21" s="1260" t="str">
        <f>B21</f>
        <v>交通便捷度</v>
      </c>
      <c r="R21" s="665" t="s">
        <v>14</v>
      </c>
      <c r="S21" s="666">
        <f>F21</f>
        <v>100</v>
      </c>
      <c r="T21" s="665" t="s">
        <v>14</v>
      </c>
      <c r="U21" s="666">
        <f>H21</f>
        <v>100</v>
      </c>
      <c r="V21" s="665" t="s">
        <v>14</v>
      </c>
      <c r="W21" s="666">
        <f>J21</f>
        <v>100</v>
      </c>
      <c r="X21" s="1262"/>
      <c r="Y21" s="3491"/>
      <c r="Z21" s="1261" t="str">
        <f>Q21</f>
        <v>交通便捷度</v>
      </c>
      <c r="AA21" s="1261">
        <f t="shared" si="3"/>
        <v>1</v>
      </c>
      <c r="AB21" s="1261">
        <f t="shared" si="4"/>
        <v>1</v>
      </c>
      <c r="AC21" s="1261">
        <f t="shared" si="5"/>
        <v>1</v>
      </c>
    </row>
    <row r="22" spans="1:29" ht="15">
      <c r="A22" s="365"/>
      <c r="B22" s="584"/>
      <c r="C22" s="1752" t="s">
        <v>3503</v>
      </c>
      <c r="D22" s="387"/>
      <c r="E22" s="1752" t="s">
        <v>3503</v>
      </c>
      <c r="F22" s="385"/>
      <c r="G22" s="1752" t="s">
        <v>3503</v>
      </c>
      <c r="H22" s="385"/>
      <c r="I22" s="1752" t="s">
        <v>3503</v>
      </c>
      <c r="J22" s="385"/>
      <c r="K22" s="590"/>
      <c r="L22" s="2490"/>
      <c r="M22" s="2485"/>
      <c r="N22" s="2485"/>
      <c r="O22" s="2540"/>
      <c r="P22" s="3491"/>
      <c r="Q22" s="1260"/>
      <c r="R22" s="665"/>
      <c r="S22" s="666"/>
      <c r="T22" s="665"/>
      <c r="U22" s="666"/>
      <c r="V22" s="665"/>
      <c r="W22" s="666"/>
      <c r="X22" s="1262"/>
      <c r="Y22" s="3491"/>
      <c r="Z22" s="1261"/>
      <c r="AA22" s="1261">
        <v>1</v>
      </c>
      <c r="AB22" s="1261">
        <v>1</v>
      </c>
      <c r="AC22" s="1261">
        <v>1</v>
      </c>
    </row>
    <row r="23" spans="1:29" ht="15">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90"/>
      <c r="M23" s="2485"/>
      <c r="N23" s="2485"/>
      <c r="O23" s="2540"/>
      <c r="P23" s="3491"/>
      <c r="Q23" s="1260" t="str">
        <f t="shared" ref="Q23:Q37" si="8">B23</f>
        <v>区域土地利用方向</v>
      </c>
      <c r="R23" s="665" t="s">
        <v>14</v>
      </c>
      <c r="S23" s="666">
        <f>F23</f>
        <v>100</v>
      </c>
      <c r="T23" s="665" t="s">
        <v>14</v>
      </c>
      <c r="U23" s="666">
        <f>H23</f>
        <v>100</v>
      </c>
      <c r="V23" s="665" t="s">
        <v>14</v>
      </c>
      <c r="W23" s="666">
        <f>J23</f>
        <v>100</v>
      </c>
      <c r="X23" s="1262"/>
      <c r="Y23" s="3491"/>
      <c r="Z23" s="1261" t="str">
        <f>Q23</f>
        <v>区域土地利用方向</v>
      </c>
      <c r="AA23" s="1261">
        <f t="shared" si="3"/>
        <v>1</v>
      </c>
      <c r="AB23" s="1261">
        <f t="shared" si="4"/>
        <v>1</v>
      </c>
      <c r="AC23" s="1261">
        <f t="shared" si="5"/>
        <v>1</v>
      </c>
    </row>
    <row r="24" spans="1:29" ht="15">
      <c r="A24" s="346"/>
      <c r="B24" s="393"/>
      <c r="C24" s="540" t="s">
        <v>3504</v>
      </c>
      <c r="D24" s="385"/>
      <c r="E24" s="540" t="s">
        <v>3504</v>
      </c>
      <c r="F24" s="385"/>
      <c r="G24" s="540" t="s">
        <v>3504</v>
      </c>
      <c r="H24" s="385"/>
      <c r="I24" s="540" t="s">
        <v>3504</v>
      </c>
      <c r="J24" s="385"/>
      <c r="K24" s="696"/>
      <c r="L24" s="2490"/>
      <c r="M24" s="2485"/>
      <c r="N24" s="2485"/>
      <c r="O24" s="2540"/>
      <c r="P24" s="3491"/>
      <c r="Q24" s="1260"/>
      <c r="R24" s="665"/>
      <c r="S24" s="666"/>
      <c r="T24" s="665"/>
      <c r="U24" s="666"/>
      <c r="V24" s="665"/>
      <c r="W24" s="666"/>
      <c r="X24" s="1262"/>
      <c r="Y24" s="3491"/>
      <c r="Z24" s="1261"/>
      <c r="AA24" s="1261"/>
      <c r="AB24" s="1261"/>
      <c r="AC24" s="1261"/>
    </row>
    <row r="25" spans="1:29" ht="27">
      <c r="A25" s="346"/>
      <c r="B25" s="584" t="s">
        <v>1872</v>
      </c>
      <c r="C25" s="1803">
        <f>估价对象房地状况!C20</f>
        <v>0</v>
      </c>
      <c r="D25" s="387">
        <v>100</v>
      </c>
      <c r="E25" s="389"/>
      <c r="F25" s="387">
        <f>SUMIF(97:97,E26,98:98)-SUMIF(97:97,C26,98:98)+100</f>
        <v>100</v>
      </c>
      <c r="G25" s="389"/>
      <c r="H25" s="387">
        <f>SUMIF(97:97,G26,98:98)-SUMIF(97:97,C26,98:98)+100</f>
        <v>100</v>
      </c>
      <c r="I25" s="391"/>
      <c r="J25" s="387">
        <f>SUMIF(97:97,I26,98:98)-SUMIF(97:97,C26,98:98)+100</f>
        <v>100</v>
      </c>
      <c r="K25" s="591">
        <v>2</v>
      </c>
      <c r="L25" s="2490"/>
      <c r="M25" s="2485"/>
      <c r="N25" s="2485"/>
      <c r="O25" s="2540"/>
      <c r="P25" s="3491"/>
      <c r="Q25" s="1260" t="str">
        <f t="shared" si="8"/>
        <v>自然及人文环境状况</v>
      </c>
      <c r="R25" s="665" t="s">
        <v>14</v>
      </c>
      <c r="S25" s="666">
        <f>F25</f>
        <v>100</v>
      </c>
      <c r="T25" s="665" t="s">
        <v>14</v>
      </c>
      <c r="U25" s="666">
        <f>H25</f>
        <v>100</v>
      </c>
      <c r="V25" s="665" t="s">
        <v>14</v>
      </c>
      <c r="W25" s="666">
        <f>J25</f>
        <v>100</v>
      </c>
      <c r="X25" s="1262"/>
      <c r="Y25" s="3491"/>
      <c r="Z25" s="1261" t="str">
        <f>Q25</f>
        <v>自然及人文环境状况</v>
      </c>
      <c r="AA25" s="1261">
        <f t="shared" si="3"/>
        <v>1</v>
      </c>
      <c r="AB25" s="1261">
        <f t="shared" si="4"/>
        <v>1</v>
      </c>
      <c r="AC25" s="1261">
        <f t="shared" si="5"/>
        <v>1</v>
      </c>
    </row>
    <row r="26" spans="1:29" ht="15">
      <c r="A26" s="346"/>
      <c r="B26" s="393"/>
      <c r="C26" s="540" t="s">
        <v>3504</v>
      </c>
      <c r="D26" s="385"/>
      <c r="E26" s="540" t="s">
        <v>3504</v>
      </c>
      <c r="F26" s="385"/>
      <c r="G26" s="540" t="s">
        <v>3504</v>
      </c>
      <c r="H26" s="385"/>
      <c r="I26" s="540" t="s">
        <v>3504</v>
      </c>
      <c r="J26" s="385"/>
      <c r="K26" s="590"/>
      <c r="L26" s="2490"/>
      <c r="M26" s="2485"/>
      <c r="N26" s="2485"/>
      <c r="O26" s="2540"/>
      <c r="P26" s="3491"/>
      <c r="Q26" s="1260"/>
      <c r="R26" s="665"/>
      <c r="S26" s="666"/>
      <c r="T26" s="665"/>
      <c r="U26" s="666"/>
      <c r="V26" s="665"/>
      <c r="W26" s="666"/>
      <c r="X26" s="1262"/>
      <c r="Y26" s="3491"/>
      <c r="Z26" s="1261"/>
      <c r="AA26" s="1261">
        <v>1</v>
      </c>
      <c r="AB26" s="1261">
        <v>1</v>
      </c>
      <c r="AC26" s="1261">
        <v>1</v>
      </c>
    </row>
    <row r="27" spans="1:29" s="102" customFormat="1" ht="15">
      <c r="A27" s="441"/>
      <c r="B27" s="584" t="s">
        <v>1778</v>
      </c>
      <c r="C27" s="1751">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v>2</v>
      </c>
      <c r="L27" s="2486"/>
      <c r="M27" s="2437"/>
      <c r="N27" s="2437"/>
      <c r="O27" s="2538"/>
      <c r="P27" s="3491"/>
      <c r="Q27" s="528" t="str">
        <f t="shared" si="8"/>
        <v>公共配套设施</v>
      </c>
      <c r="R27" s="662" t="s">
        <v>14</v>
      </c>
      <c r="S27" s="663">
        <f>F27</f>
        <v>100</v>
      </c>
      <c r="T27" s="662" t="s">
        <v>14</v>
      </c>
      <c r="U27" s="663">
        <f>H27</f>
        <v>100</v>
      </c>
      <c r="V27" s="662" t="s">
        <v>14</v>
      </c>
      <c r="W27" s="663">
        <f>J27</f>
        <v>100</v>
      </c>
      <c r="X27" s="664"/>
      <c r="Y27" s="3491"/>
      <c r="Z27" s="50" t="str">
        <f>Q27</f>
        <v>公共配套设施</v>
      </c>
      <c r="AA27" s="1261">
        <f>D27/F27</f>
        <v>1</v>
      </c>
      <c r="AB27" s="1261">
        <f>D27/H27</f>
        <v>1</v>
      </c>
      <c r="AC27" s="1261">
        <f>D27/J27</f>
        <v>1</v>
      </c>
    </row>
    <row r="28" spans="1:29" s="102" customFormat="1" ht="15">
      <c r="A28" s="441"/>
      <c r="B28" s="393"/>
      <c r="C28" s="540" t="s">
        <v>3504</v>
      </c>
      <c r="D28" s="385"/>
      <c r="E28" s="540" t="s">
        <v>3504</v>
      </c>
      <c r="F28" s="385"/>
      <c r="G28" s="540" t="s">
        <v>3504</v>
      </c>
      <c r="H28" s="385"/>
      <c r="I28" s="540" t="s">
        <v>3504</v>
      </c>
      <c r="J28" s="385"/>
      <c r="K28" s="590"/>
      <c r="L28" s="2486"/>
      <c r="M28" s="2437"/>
      <c r="N28" s="2437"/>
      <c r="O28" s="2538"/>
      <c r="P28" s="3491"/>
      <c r="Q28" s="528"/>
      <c r="R28" s="662"/>
      <c r="S28" s="663"/>
      <c r="T28" s="662"/>
      <c r="U28" s="663"/>
      <c r="V28" s="662"/>
      <c r="W28" s="663"/>
      <c r="X28" s="664"/>
      <c r="Y28" s="3491"/>
      <c r="Z28" s="50"/>
      <c r="AA28" s="1261">
        <v>1</v>
      </c>
      <c r="AB28" s="1261">
        <v>1</v>
      </c>
      <c r="AC28" s="1261">
        <v>1</v>
      </c>
    </row>
    <row r="29" spans="1:29" s="102" customFormat="1" ht="15">
      <c r="A29" s="441"/>
      <c r="B29" s="584" t="s">
        <v>1779</v>
      </c>
      <c r="C29" s="1751">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6"/>
      <c r="M29" s="2437"/>
      <c r="N29" s="2437"/>
      <c r="O29" s="2538"/>
      <c r="P29" s="3491"/>
      <c r="Q29" s="528" t="str">
        <f t="shared" ref="Q29" si="9">B29</f>
        <v>基础设施水平</v>
      </c>
      <c r="R29" s="662" t="s">
        <v>14</v>
      </c>
      <c r="S29" s="663">
        <f>F29</f>
        <v>100</v>
      </c>
      <c r="T29" s="662" t="s">
        <v>14</v>
      </c>
      <c r="U29" s="663">
        <f>H29</f>
        <v>100</v>
      </c>
      <c r="V29" s="662" t="s">
        <v>14</v>
      </c>
      <c r="W29" s="663">
        <f>J29</f>
        <v>100</v>
      </c>
      <c r="X29" s="664"/>
      <c r="Y29" s="3491"/>
      <c r="Z29" s="50" t="str">
        <f>Q29</f>
        <v>基础设施水平</v>
      </c>
      <c r="AA29" s="1261">
        <f>D29/F29</f>
        <v>1</v>
      </c>
      <c r="AB29" s="1261">
        <f>D29/H29</f>
        <v>1</v>
      </c>
      <c r="AC29" s="1261">
        <f>D29/J29</f>
        <v>1</v>
      </c>
    </row>
    <row r="30" spans="1:29" s="102" customFormat="1" ht="15.75" thickBot="1">
      <c r="A30" s="441"/>
      <c r="B30" s="393"/>
      <c r="C30" s="1823" t="s">
        <v>4035</v>
      </c>
      <c r="D30" s="385"/>
      <c r="E30" s="1823" t="s">
        <v>4035</v>
      </c>
      <c r="F30" s="385"/>
      <c r="G30" s="1823" t="s">
        <v>4035</v>
      </c>
      <c r="H30" s="385"/>
      <c r="I30" s="1823" t="s">
        <v>4035</v>
      </c>
      <c r="J30" s="385"/>
      <c r="K30" s="590"/>
      <c r="L30" s="2486"/>
      <c r="M30" s="2437"/>
      <c r="N30" s="2437"/>
      <c r="O30" s="2538"/>
      <c r="P30" s="3491"/>
      <c r="Q30" s="528"/>
      <c r="R30" s="662"/>
      <c r="S30" s="663"/>
      <c r="T30" s="662"/>
      <c r="U30" s="663"/>
      <c r="V30" s="662"/>
      <c r="W30" s="663"/>
      <c r="X30" s="664"/>
      <c r="Y30" s="3491"/>
      <c r="Z30" s="50"/>
      <c r="AA30" s="1261">
        <v>1</v>
      </c>
      <c r="AB30" s="1261">
        <v>1</v>
      </c>
      <c r="AC30" s="1261">
        <v>1</v>
      </c>
    </row>
    <row r="31" spans="1:29" ht="15" hidden="1">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49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91"/>
      <c r="Z31" s="1261" t="str">
        <f t="shared" ref="Z31:Z45" si="13">Q31</f>
        <v>临街状况</v>
      </c>
      <c r="AA31" s="1261">
        <f t="shared" si="3"/>
        <v>1</v>
      </c>
      <c r="AB31" s="1261">
        <f t="shared" si="4"/>
        <v>1</v>
      </c>
      <c r="AC31" s="1261">
        <f t="shared" si="5"/>
        <v>1</v>
      </c>
    </row>
    <row r="32" spans="1:29" ht="27" hidden="1">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90"/>
      <c r="M32" s="2485"/>
      <c r="N32" s="2485"/>
      <c r="O32" s="2540"/>
      <c r="P32" s="3491"/>
      <c r="Q32" s="1260" t="str">
        <f t="shared" si="8"/>
        <v>毗邻道路的类型与等级</v>
      </c>
      <c r="R32" s="665" t="s">
        <v>14</v>
      </c>
      <c r="S32" s="666">
        <f t="shared" si="10"/>
        <v>100</v>
      </c>
      <c r="T32" s="665" t="s">
        <v>14</v>
      </c>
      <c r="U32" s="666">
        <f t="shared" si="11"/>
        <v>100</v>
      </c>
      <c r="V32" s="665" t="s">
        <v>14</v>
      </c>
      <c r="W32" s="666">
        <f t="shared" si="12"/>
        <v>100</v>
      </c>
      <c r="X32" s="1262"/>
      <c r="Y32" s="3491"/>
      <c r="Z32" s="1261" t="str">
        <f t="shared" si="13"/>
        <v>毗邻道路的类型与等级</v>
      </c>
      <c r="AA32" s="1261">
        <f t="shared" si="3"/>
        <v>1</v>
      </c>
      <c r="AB32" s="1261">
        <f t="shared" si="4"/>
        <v>1</v>
      </c>
      <c r="AC32" s="1261">
        <f t="shared" si="5"/>
        <v>1</v>
      </c>
    </row>
    <row r="33" spans="1:29" ht="15" hidden="1">
      <c r="A33" s="365"/>
      <c r="B33" s="393"/>
      <c r="C33" s="384"/>
      <c r="D33" s="385"/>
      <c r="E33" s="1755"/>
      <c r="F33" s="385"/>
      <c r="G33" s="1755"/>
      <c r="H33" s="385"/>
      <c r="I33" s="384"/>
      <c r="J33" s="385"/>
      <c r="K33" s="537"/>
      <c r="L33" s="2490"/>
      <c r="M33" s="2485"/>
      <c r="N33" s="2485"/>
      <c r="O33" s="2540"/>
      <c r="P33" s="3491"/>
      <c r="Q33" s="1260"/>
      <c r="R33" s="665"/>
      <c r="S33" s="666"/>
      <c r="T33" s="665"/>
      <c r="U33" s="666"/>
      <c r="V33" s="665"/>
      <c r="W33" s="666"/>
      <c r="X33" s="1262"/>
      <c r="Y33" s="3491"/>
      <c r="Z33" s="1261"/>
      <c r="AA33" s="1261">
        <v>1</v>
      </c>
      <c r="AB33" s="1261">
        <v>1</v>
      </c>
      <c r="AC33" s="1261">
        <v>1</v>
      </c>
    </row>
    <row r="34" spans="1:29" ht="15" hidden="1">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90"/>
      <c r="M34" s="2485"/>
      <c r="N34" s="2485"/>
      <c r="O34" s="2540"/>
      <c r="P34" s="3491"/>
      <c r="Q34" s="1260" t="str">
        <f t="shared" si="8"/>
        <v>土地级别</v>
      </c>
      <c r="R34" s="665" t="s">
        <v>14</v>
      </c>
      <c r="S34" s="666">
        <f t="shared" si="10"/>
        <v>100</v>
      </c>
      <c r="T34" s="665" t="s">
        <v>14</v>
      </c>
      <c r="U34" s="666">
        <f t="shared" si="11"/>
        <v>100</v>
      </c>
      <c r="V34" s="665" t="s">
        <v>14</v>
      </c>
      <c r="W34" s="666">
        <f t="shared" si="12"/>
        <v>100</v>
      </c>
      <c r="X34" s="1262"/>
      <c r="Y34" s="3491"/>
      <c r="Z34" s="1261" t="str">
        <f t="shared" si="13"/>
        <v>土地级别</v>
      </c>
      <c r="AA34" s="1261">
        <f t="shared" si="3"/>
        <v>1</v>
      </c>
      <c r="AB34" s="1261">
        <f t="shared" si="4"/>
        <v>1</v>
      </c>
      <c r="AC34" s="1261">
        <f t="shared" si="5"/>
        <v>1</v>
      </c>
    </row>
    <row r="35" spans="1:29" ht="15" hidden="1">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491"/>
      <c r="Q35" s="1260">
        <f t="shared" si="8"/>
        <v>111</v>
      </c>
      <c r="R35" s="665" t="s">
        <v>14</v>
      </c>
      <c r="S35" s="666">
        <f t="shared" si="10"/>
        <v>100</v>
      </c>
      <c r="T35" s="665" t="s">
        <v>14</v>
      </c>
      <c r="U35" s="666">
        <f t="shared" si="11"/>
        <v>100</v>
      </c>
      <c r="V35" s="665" t="s">
        <v>14</v>
      </c>
      <c r="W35" s="666">
        <f t="shared" si="12"/>
        <v>100</v>
      </c>
      <c r="X35" s="1262"/>
      <c r="Y35" s="3491"/>
      <c r="Z35" s="1261">
        <f t="shared" si="13"/>
        <v>111</v>
      </c>
      <c r="AA35" s="1261">
        <f t="shared" si="3"/>
        <v>1</v>
      </c>
      <c r="AB35" s="1261">
        <f t="shared" si="4"/>
        <v>1</v>
      </c>
      <c r="AC35" s="1261">
        <f t="shared" si="5"/>
        <v>1</v>
      </c>
    </row>
    <row r="36" spans="1:29" ht="15" hidden="1">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514" t="s">
        <v>1696</v>
      </c>
      <c r="Q36" s="1260">
        <f t="shared" si="8"/>
        <v>111</v>
      </c>
      <c r="R36" s="665" t="s">
        <v>14</v>
      </c>
      <c r="S36" s="666">
        <f t="shared" si="10"/>
        <v>100</v>
      </c>
      <c r="T36" s="665" t="s">
        <v>14</v>
      </c>
      <c r="U36" s="666">
        <f t="shared" si="11"/>
        <v>100</v>
      </c>
      <c r="V36" s="665" t="s">
        <v>14</v>
      </c>
      <c r="W36" s="666">
        <f t="shared" si="12"/>
        <v>100</v>
      </c>
      <c r="X36" s="1262"/>
      <c r="Y36" s="3495" t="s">
        <v>1696</v>
      </c>
      <c r="Z36" s="1261">
        <f t="shared" si="13"/>
        <v>111</v>
      </c>
      <c r="AA36" s="1261">
        <f t="shared" si="3"/>
        <v>1</v>
      </c>
      <c r="AB36" s="1261">
        <f t="shared" si="4"/>
        <v>1</v>
      </c>
      <c r="AC36" s="1261">
        <f t="shared" si="5"/>
        <v>1</v>
      </c>
    </row>
    <row r="37" spans="1:29" s="406" customFormat="1" ht="15.75" hidden="1"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495"/>
      <c r="Q37" s="1260">
        <f t="shared" si="8"/>
        <v>111</v>
      </c>
      <c r="R37" s="667" t="s">
        <v>14</v>
      </c>
      <c r="S37" s="668">
        <f t="shared" si="10"/>
        <v>100</v>
      </c>
      <c r="T37" s="667" t="s">
        <v>14</v>
      </c>
      <c r="U37" s="668">
        <f t="shared" si="11"/>
        <v>100</v>
      </c>
      <c r="V37" s="667" t="s">
        <v>14</v>
      </c>
      <c r="W37" s="668">
        <f t="shared" si="12"/>
        <v>100</v>
      </c>
      <c r="X37" s="669"/>
      <c r="Y37" s="3495"/>
      <c r="Z37" s="670">
        <f t="shared" si="13"/>
        <v>111</v>
      </c>
      <c r="AA37" s="1261">
        <f t="shared" si="3"/>
        <v>1</v>
      </c>
      <c r="AB37" s="1261">
        <f t="shared" si="4"/>
        <v>1</v>
      </c>
      <c r="AC37" s="1261">
        <f t="shared" si="5"/>
        <v>1</v>
      </c>
    </row>
    <row r="38" spans="1:29" ht="15">
      <c r="A38" s="407" t="s">
        <v>1694</v>
      </c>
      <c r="B38" s="393" t="s">
        <v>1874</v>
      </c>
      <c r="C38" s="597">
        <f>'数据-基础表'!A3</f>
        <v>21560.34</v>
      </c>
      <c r="D38" s="403">
        <v>100</v>
      </c>
      <c r="E38" s="597">
        <f>土地案例!N18</f>
        <v>8286.49</v>
      </c>
      <c r="F38" s="403">
        <f>LOOKUP(E38,116:116,117:117)-LOOKUP(C38,116:116,117:117)+100</f>
        <v>99</v>
      </c>
      <c r="G38" s="597">
        <f>土地案例!N42</f>
        <v>10000</v>
      </c>
      <c r="H38" s="403">
        <f>LOOKUP(G38,116:116,117:117)-LOOKUP(C38,116:116,117:117)+100</f>
        <v>99.5</v>
      </c>
      <c r="I38" s="460">
        <f>土地案例!N43</f>
        <v>5500</v>
      </c>
      <c r="J38" s="403">
        <f>LOOKUP(I38,116:116,117:117)-LOOKUP(C38,116:116,117:117)+100</f>
        <v>99</v>
      </c>
      <c r="K38" s="537"/>
      <c r="L38" s="2490"/>
      <c r="M38" s="2485"/>
      <c r="N38" s="2485"/>
      <c r="O38" s="2540"/>
      <c r="P38" s="3495"/>
      <c r="Q38" s="1260" t="str">
        <f>B38</f>
        <v>宗地面积</v>
      </c>
      <c r="R38" s="665" t="s">
        <v>14</v>
      </c>
      <c r="S38" s="666">
        <f t="shared" si="10"/>
        <v>99</v>
      </c>
      <c r="T38" s="665" t="s">
        <v>14</v>
      </c>
      <c r="U38" s="666">
        <f t="shared" si="11"/>
        <v>99.5</v>
      </c>
      <c r="V38" s="665" t="s">
        <v>14</v>
      </c>
      <c r="W38" s="666">
        <f t="shared" si="12"/>
        <v>99</v>
      </c>
      <c r="X38" s="1262"/>
      <c r="Y38" s="3495"/>
      <c r="Z38" s="1261" t="str">
        <f t="shared" si="13"/>
        <v>宗地面积</v>
      </c>
      <c r="AA38" s="1261">
        <f t="shared" si="3"/>
        <v>1.0101010101010102</v>
      </c>
      <c r="AB38" s="1261">
        <f t="shared" si="4"/>
        <v>1.0050251256281406</v>
      </c>
      <c r="AC38" s="1261">
        <f t="shared" si="5"/>
        <v>1.0101010101010102</v>
      </c>
    </row>
    <row r="39" spans="1:29" ht="15">
      <c r="A39" s="407"/>
      <c r="B39" s="362" t="s">
        <v>1875</v>
      </c>
      <c r="C39" s="1757" t="s">
        <v>4036</v>
      </c>
      <c r="D39" s="372">
        <v>100</v>
      </c>
      <c r="E39" s="1757" t="s">
        <v>4036</v>
      </c>
      <c r="F39" s="372">
        <f>SUMIF(118:118,E39,119:119)-SUMIF(118:118,C39,119:119)+100</f>
        <v>100</v>
      </c>
      <c r="G39" s="1757" t="s">
        <v>4036</v>
      </c>
      <c r="H39" s="372">
        <f>SUMIF(118:118,G39,119:119)-SUMIF(118:118,C39,119:119)+100</f>
        <v>100</v>
      </c>
      <c r="I39" s="1757" t="s">
        <v>4036</v>
      </c>
      <c r="J39" s="372">
        <f>SUMIF(118:118,I39,119:119)-SUMIF(118:118,C39,119:119)+100</f>
        <v>100</v>
      </c>
      <c r="K39" s="536">
        <v>1</v>
      </c>
      <c r="L39" s="2490"/>
      <c r="M39" s="2485"/>
      <c r="N39" s="2485"/>
      <c r="O39" s="2540"/>
      <c r="P39" s="3495"/>
      <c r="Q39" s="1260" t="str">
        <f t="shared" ref="Q39:Q45" si="14">B39</f>
        <v>宗地形状</v>
      </c>
      <c r="R39" s="665" t="s">
        <v>14</v>
      </c>
      <c r="S39" s="666">
        <f t="shared" si="10"/>
        <v>100</v>
      </c>
      <c r="T39" s="665" t="s">
        <v>14</v>
      </c>
      <c r="U39" s="666">
        <f t="shared" si="11"/>
        <v>100</v>
      </c>
      <c r="V39" s="665" t="s">
        <v>14</v>
      </c>
      <c r="W39" s="666">
        <f t="shared" si="12"/>
        <v>100</v>
      </c>
      <c r="X39" s="1262"/>
      <c r="Y39" s="3495"/>
      <c r="Z39" s="1261" t="str">
        <f t="shared" si="13"/>
        <v>宗地形状</v>
      </c>
      <c r="AA39" s="1261">
        <f t="shared" si="3"/>
        <v>1</v>
      </c>
      <c r="AB39" s="1261">
        <f t="shared" si="4"/>
        <v>1</v>
      </c>
      <c r="AC39" s="1261">
        <f t="shared" si="5"/>
        <v>1</v>
      </c>
    </row>
    <row r="40" spans="1:29" ht="15">
      <c r="A40" s="407"/>
      <c r="B40" s="362" t="s">
        <v>1876</v>
      </c>
      <c r="C40" s="1757" t="s">
        <v>4037</v>
      </c>
      <c r="D40" s="372">
        <v>100</v>
      </c>
      <c r="E40" s="1757" t="s">
        <v>4037</v>
      </c>
      <c r="F40" s="372">
        <f>SUMIF(120:120,E40,121:121)-SUMIF(120:120,C40,121:121)+100</f>
        <v>100</v>
      </c>
      <c r="G40" s="1757" t="s">
        <v>4037</v>
      </c>
      <c r="H40" s="372">
        <f>SUMIF(120:120,G40,121:121)-SUMIF(120:120,C40,121:121)+100</f>
        <v>100</v>
      </c>
      <c r="I40" s="1757" t="s">
        <v>4037</v>
      </c>
      <c r="J40" s="372">
        <f>SUMIF(120:120,I40,121:121)-SUMIF(120:120,C40,121:121)+100</f>
        <v>100</v>
      </c>
      <c r="K40" s="536">
        <v>1</v>
      </c>
      <c r="L40" s="2490"/>
      <c r="M40" s="2485"/>
      <c r="N40" s="2485"/>
      <c r="O40" s="2540"/>
      <c r="P40" s="3495"/>
      <c r="Q40" s="1260" t="str">
        <f t="shared" si="14"/>
        <v>临街宽度及深度</v>
      </c>
      <c r="R40" s="665" t="s">
        <v>14</v>
      </c>
      <c r="S40" s="666">
        <f t="shared" si="10"/>
        <v>100</v>
      </c>
      <c r="T40" s="665" t="s">
        <v>14</v>
      </c>
      <c r="U40" s="666">
        <f t="shared" si="11"/>
        <v>100</v>
      </c>
      <c r="V40" s="665" t="s">
        <v>14</v>
      </c>
      <c r="W40" s="666">
        <f t="shared" si="12"/>
        <v>100</v>
      </c>
      <c r="X40" s="1262"/>
      <c r="Y40" s="3495"/>
      <c r="Z40" s="1261" t="str">
        <f t="shared" si="13"/>
        <v>临街宽度及深度</v>
      </c>
      <c r="AA40" s="1261">
        <f t="shared" si="3"/>
        <v>1</v>
      </c>
      <c r="AB40" s="1261">
        <f t="shared" si="4"/>
        <v>1</v>
      </c>
      <c r="AC40" s="1261">
        <f t="shared" si="5"/>
        <v>1</v>
      </c>
    </row>
    <row r="41" spans="1:29" s="102" customFormat="1" ht="15">
      <c r="A41" s="408"/>
      <c r="B41" s="362" t="s">
        <v>1877</v>
      </c>
      <c r="C41" s="1825" t="s">
        <v>4038</v>
      </c>
      <c r="D41" s="117">
        <v>100</v>
      </c>
      <c r="E41" s="1825" t="s">
        <v>4038</v>
      </c>
      <c r="F41" s="372">
        <f>SUMIF(122:122,E41,123:123)-SUMIF(122:122,C41,123:123)+100</f>
        <v>100</v>
      </c>
      <c r="G41" s="1825" t="s">
        <v>4038</v>
      </c>
      <c r="H41" s="372">
        <f>SUMIF(122:122,G41,123:123)-SUMIF(122:122,C41,123:123)+100</f>
        <v>100</v>
      </c>
      <c r="I41" s="1825" t="s">
        <v>4038</v>
      </c>
      <c r="J41" s="372">
        <f>SUMIF(122:122,I41,123:123)-SUMIF(122:122,C41,123:123)+100</f>
        <v>100</v>
      </c>
      <c r="K41" s="536">
        <v>1</v>
      </c>
      <c r="L41" s="2486"/>
      <c r="M41" s="2437"/>
      <c r="N41" s="2437"/>
      <c r="O41" s="2538"/>
      <c r="P41" s="3495"/>
      <c r="Q41" s="1260" t="str">
        <f t="shared" si="14"/>
        <v>宗地开发程度</v>
      </c>
      <c r="R41" s="662" t="s">
        <v>14</v>
      </c>
      <c r="S41" s="663">
        <f t="shared" si="10"/>
        <v>100</v>
      </c>
      <c r="T41" s="662" t="s">
        <v>14</v>
      </c>
      <c r="U41" s="663">
        <f t="shared" si="11"/>
        <v>100</v>
      </c>
      <c r="V41" s="662" t="s">
        <v>14</v>
      </c>
      <c r="W41" s="663">
        <f t="shared" si="12"/>
        <v>100</v>
      </c>
      <c r="X41" s="664"/>
      <c r="Y41" s="3495"/>
      <c r="Z41" s="50" t="str">
        <f t="shared" si="13"/>
        <v>宗地开发程度</v>
      </c>
      <c r="AA41" s="50">
        <f t="shared" si="3"/>
        <v>1</v>
      </c>
      <c r="AB41" s="50">
        <f t="shared" si="4"/>
        <v>1</v>
      </c>
      <c r="AC41" s="50">
        <f t="shared" si="5"/>
        <v>1</v>
      </c>
    </row>
    <row r="42" spans="1:29" ht="15.75" thickBot="1">
      <c r="A42" s="407"/>
      <c r="B42" s="362" t="s">
        <v>1878</v>
      </c>
      <c r="C42" s="1757" t="s">
        <v>3505</v>
      </c>
      <c r="D42" s="372">
        <v>100</v>
      </c>
      <c r="E42" s="1757" t="s">
        <v>3505</v>
      </c>
      <c r="F42" s="372">
        <f>SUMIF(124:124,E42,125:125)-SUMIF(124:124,C42,125:125)+100</f>
        <v>100</v>
      </c>
      <c r="G42" s="1757" t="s">
        <v>3505</v>
      </c>
      <c r="H42" s="372">
        <f>SUMIF(124:124,G42,125:125)-SUMIF(124:124,C42,125:125)+100</f>
        <v>100</v>
      </c>
      <c r="I42" s="1757" t="s">
        <v>3505</v>
      </c>
      <c r="J42" s="372">
        <f>SUMIF(124:124,I42,125:125)-SUMIF(124:124,C42,125:125)+100</f>
        <v>100</v>
      </c>
      <c r="K42" s="536">
        <v>1</v>
      </c>
      <c r="L42" s="2490"/>
      <c r="M42" s="2485"/>
      <c r="N42" s="2485"/>
      <c r="O42" s="2540"/>
      <c r="P42" s="3495" t="s">
        <v>1696</v>
      </c>
      <c r="Q42" s="1260" t="str">
        <f t="shared" si="14"/>
        <v>工程地质条件</v>
      </c>
      <c r="R42" s="665" t="s">
        <v>14</v>
      </c>
      <c r="S42" s="666">
        <f t="shared" si="10"/>
        <v>100</v>
      </c>
      <c r="T42" s="665" t="s">
        <v>14</v>
      </c>
      <c r="U42" s="666">
        <f t="shared" si="11"/>
        <v>100</v>
      </c>
      <c r="V42" s="665" t="s">
        <v>14</v>
      </c>
      <c r="W42" s="666">
        <f t="shared" si="12"/>
        <v>100</v>
      </c>
      <c r="X42" s="1262"/>
      <c r="Y42" s="3495" t="s">
        <v>1696</v>
      </c>
      <c r="Z42" s="1261" t="str">
        <f t="shared" si="13"/>
        <v>工程地质条件</v>
      </c>
      <c r="AA42" s="1261">
        <f t="shared" si="3"/>
        <v>1</v>
      </c>
      <c r="AB42" s="1261">
        <f t="shared" si="4"/>
        <v>1</v>
      </c>
      <c r="AC42" s="1261">
        <f t="shared" si="5"/>
        <v>1</v>
      </c>
    </row>
    <row r="43" spans="1:29" ht="15" hidden="1">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495"/>
      <c r="Q43" s="1260">
        <f t="shared" si="14"/>
        <v>111</v>
      </c>
      <c r="R43" s="665" t="s">
        <v>14</v>
      </c>
      <c r="S43" s="666">
        <f t="shared" si="10"/>
        <v>100</v>
      </c>
      <c r="T43" s="665" t="s">
        <v>14</v>
      </c>
      <c r="U43" s="666">
        <f t="shared" si="11"/>
        <v>100</v>
      </c>
      <c r="V43" s="665" t="s">
        <v>14</v>
      </c>
      <c r="W43" s="666">
        <f t="shared" si="12"/>
        <v>100</v>
      </c>
      <c r="X43" s="1262"/>
      <c r="Y43" s="3495"/>
      <c r="Z43" s="1261">
        <f t="shared" si="13"/>
        <v>111</v>
      </c>
      <c r="AA43" s="1261">
        <f t="shared" si="3"/>
        <v>1</v>
      </c>
      <c r="AB43" s="1261">
        <f t="shared" si="4"/>
        <v>1</v>
      </c>
      <c r="AC43" s="1261">
        <f t="shared" si="5"/>
        <v>1</v>
      </c>
    </row>
    <row r="44" spans="1:29" ht="15" hidden="1">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495"/>
      <c r="Q44" s="1260">
        <f t="shared" si="14"/>
        <v>111</v>
      </c>
      <c r="R44" s="665" t="s">
        <v>14</v>
      </c>
      <c r="S44" s="666">
        <f t="shared" si="10"/>
        <v>100</v>
      </c>
      <c r="T44" s="665" t="s">
        <v>14</v>
      </c>
      <c r="U44" s="666">
        <f t="shared" si="11"/>
        <v>100</v>
      </c>
      <c r="V44" s="665" t="s">
        <v>14</v>
      </c>
      <c r="W44" s="666">
        <f t="shared" si="12"/>
        <v>100</v>
      </c>
      <c r="X44" s="1262"/>
      <c r="Y44" s="3495"/>
      <c r="Z44" s="1261">
        <f t="shared" si="13"/>
        <v>111</v>
      </c>
      <c r="AA44" s="1261">
        <f t="shared" si="3"/>
        <v>1</v>
      </c>
      <c r="AB44" s="1261">
        <f t="shared" si="4"/>
        <v>1</v>
      </c>
      <c r="AC44" s="1261">
        <f t="shared" si="5"/>
        <v>1</v>
      </c>
    </row>
    <row r="45" spans="1:29" s="406" customFormat="1" ht="15.75" hidden="1"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495"/>
      <c r="Q45" s="1260">
        <f t="shared" si="14"/>
        <v>111</v>
      </c>
      <c r="R45" s="667" t="s">
        <v>14</v>
      </c>
      <c r="S45" s="668">
        <f t="shared" si="10"/>
        <v>100</v>
      </c>
      <c r="T45" s="667" t="s">
        <v>14</v>
      </c>
      <c r="U45" s="668">
        <f t="shared" si="11"/>
        <v>100</v>
      </c>
      <c r="V45" s="667" t="s">
        <v>14</v>
      </c>
      <c r="W45" s="668">
        <f t="shared" si="12"/>
        <v>100</v>
      </c>
      <c r="X45" s="669"/>
      <c r="Y45" s="3495"/>
      <c r="Z45" s="670">
        <f t="shared" si="13"/>
        <v>111</v>
      </c>
      <c r="AA45" s="1261">
        <f t="shared" si="3"/>
        <v>1</v>
      </c>
      <c r="AB45" s="1261">
        <f t="shared" si="4"/>
        <v>1</v>
      </c>
      <c r="AC45" s="1261">
        <f t="shared" si="5"/>
        <v>1</v>
      </c>
    </row>
    <row r="46" spans="1:29" ht="15">
      <c r="A46" s="414" t="s">
        <v>1844</v>
      </c>
      <c r="B46" s="1827" t="s">
        <v>1879</v>
      </c>
      <c r="C46" s="600" t="s">
        <v>0</v>
      </c>
      <c r="D46" s="416"/>
      <c r="E46" s="417">
        <f>土地案例!Y18</f>
        <v>19309</v>
      </c>
      <c r="F46" s="418"/>
      <c r="G46" s="419">
        <f>土地案例!Y42</f>
        <v>19784</v>
      </c>
      <c r="H46" s="420"/>
      <c r="I46" s="417">
        <f>土地案例!Y43</f>
        <v>19764</v>
      </c>
      <c r="J46" s="420"/>
      <c r="K46" s="672"/>
      <c r="L46" s="2492"/>
      <c r="M46" s="2485"/>
      <c r="N46" s="2485"/>
      <c r="O46" s="2485"/>
      <c r="P46" s="3489" t="str">
        <f>A46</f>
        <v>成交单价</v>
      </c>
      <c r="Q46" s="3489"/>
      <c r="R46" s="3484">
        <f>E46</f>
        <v>19309</v>
      </c>
      <c r="S46" s="3484"/>
      <c r="T46" s="3484">
        <f>G46</f>
        <v>19784</v>
      </c>
      <c r="U46" s="3484"/>
      <c r="V46" s="3484">
        <f>I46</f>
        <v>19764</v>
      </c>
      <c r="W46" s="3484"/>
      <c r="X46" s="383"/>
      <c r="Y46" s="671"/>
      <c r="Z46" s="383"/>
      <c r="AA46" s="383"/>
      <c r="AB46" s="383"/>
      <c r="AC46" s="383"/>
    </row>
    <row r="47" spans="1:29" ht="15.75" thickBot="1">
      <c r="A47" s="421" t="s">
        <v>1793</v>
      </c>
      <c r="B47" s="601"/>
      <c r="C47" s="424">
        <f>R48</f>
        <v>17708</v>
      </c>
      <c r="D47" s="2138" t="s">
        <v>2135</v>
      </c>
      <c r="E47" s="424">
        <f>R47</f>
        <v>17227</v>
      </c>
      <c r="F47" s="2139"/>
      <c r="G47" s="423">
        <f>T47</f>
        <v>17913</v>
      </c>
      <c r="H47" s="2139"/>
      <c r="I47" s="424">
        <f>V47</f>
        <v>17985</v>
      </c>
      <c r="J47" s="2139"/>
      <c r="K47" s="2141">
        <f>F47+H47+J47</f>
        <v>0</v>
      </c>
      <c r="L47" s="2492"/>
      <c r="M47" s="2485"/>
      <c r="N47" s="2485"/>
      <c r="O47" s="2485"/>
      <c r="P47" s="3489" t="str">
        <f>A47</f>
        <v>比较价值（元/平方米）</v>
      </c>
      <c r="Q47" s="3489"/>
      <c r="R47" s="3516">
        <f>ROUND(PRODUCT(R46,AA7:AA45),0)</f>
        <v>17227</v>
      </c>
      <c r="S47" s="3516"/>
      <c r="T47" s="3516">
        <f>ROUND(PRODUCT(T46,AB7:AB45),0)</f>
        <v>17913</v>
      </c>
      <c r="U47" s="3516"/>
      <c r="V47" s="3516">
        <f>ROUND(PRODUCT(V46,AC7:AC45),0)</f>
        <v>17985</v>
      </c>
      <c r="W47" s="3516"/>
      <c r="X47" s="383"/>
      <c r="Y47" s="383"/>
      <c r="Z47" s="383"/>
      <c r="AA47" s="383"/>
      <c r="AB47" s="383"/>
      <c r="AC47" s="383"/>
    </row>
    <row r="48" spans="1:29" ht="15.75" thickBot="1">
      <c r="A48" s="425" t="s">
        <v>1880</v>
      </c>
      <c r="B48" s="426"/>
      <c r="C48" s="427">
        <f>R48</f>
        <v>17708</v>
      </c>
      <c r="D48" s="427"/>
      <c r="E48" s="427"/>
      <c r="F48" s="427"/>
      <c r="G48" s="427"/>
      <c r="H48" s="427"/>
      <c r="I48" s="427"/>
      <c r="J48" s="427"/>
      <c r="K48" s="673"/>
      <c r="L48" s="2492"/>
      <c r="M48" s="2485"/>
      <c r="N48" s="2485"/>
      <c r="O48" s="2485"/>
      <c r="P48" s="3486" t="str">
        <f>A48</f>
        <v>估价对象XX用房的比较价值（楼面单价，元/平方米）</v>
      </c>
      <c r="Q48" s="3487"/>
      <c r="R48" s="3517">
        <f>ROUND(IF(D47="简单平均",AVERAGE(R47:W47),R47*F47+T47*H47+V47*J47),0)</f>
        <v>17708</v>
      </c>
      <c r="S48" s="3517"/>
      <c r="T48" s="3517"/>
      <c r="U48" s="3517"/>
      <c r="V48" s="3517"/>
      <c r="W48" s="3517"/>
      <c r="X48" s="383"/>
      <c r="Y48" s="383"/>
      <c r="Z48" s="383"/>
      <c r="AA48" s="383"/>
      <c r="AB48" s="383"/>
      <c r="AC48" s="383"/>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1795</v>
      </c>
      <c r="D51" s="431"/>
      <c r="E51" s="432">
        <f>IF(E46&lt;E47,E47/E46-1,E46/E47-1)</f>
        <v>0.12085679456666854</v>
      </c>
      <c r="F51" s="433" t="str">
        <f>IF(OR(E51&gt;=0.3,E51&lt;=-0.3),"超过30%","")</f>
        <v/>
      </c>
      <c r="G51" s="432">
        <f>IF(G46&lt;G47,G47/G46-1,G46/G47-1)</f>
        <v>0.10444928264388986</v>
      </c>
      <c r="H51" s="433" t="str">
        <f>IF(OR(G51&gt;=0.3,G51&lt;=-0.3),"超过30%","")</f>
        <v/>
      </c>
      <c r="I51" s="432">
        <f>IF(I46&lt;I47,I47/I46-1,I46/I47-1)</f>
        <v>9.8915763135946522E-2</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1796</v>
      </c>
      <c r="D52" s="434"/>
      <c r="E52" s="432">
        <f>IF(E47&lt;G47,G47/E47-1,E47/G47-1)</f>
        <v>3.9821210889882108E-2</v>
      </c>
      <c r="F52" s="433" t="str">
        <f>IF(OR(E52&gt;=0.2,E52&lt;=-0.2),"超过20%","")</f>
        <v/>
      </c>
      <c r="G52" s="432">
        <f>IF(G47&lt;I47,I47/G47-1,G47/I47-1)</f>
        <v>4.0194272316194102E-3</v>
      </c>
      <c r="H52" s="433" t="str">
        <f>IF(OR(G52&gt;=0.2,G52&lt;=-0.2),"超过20%","")</f>
        <v/>
      </c>
      <c r="I52" s="432">
        <f>IF(I47&lt;E47,E47/I47-1,I47/E47-1)</f>
        <v>4.4000696580948517E-2</v>
      </c>
      <c r="J52" s="433"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1797</v>
      </c>
      <c r="D53" s="434"/>
      <c r="E53" s="432">
        <f>IF(E46&lt;G46,G46/E46-1,E46/G46-1)</f>
        <v>2.4599927494950435E-2</v>
      </c>
      <c r="F53" s="433" t="str">
        <f>IF(OR(E53&gt;=0.3,E53&lt;=-0.3),"超过30%","")</f>
        <v/>
      </c>
      <c r="G53" s="432">
        <f>IF(G46&lt;I46,I46/G46-1,G46/I46-1)</f>
        <v>1.0119409026512205E-3</v>
      </c>
      <c r="H53" s="433" t="str">
        <f>IF(OR(G53&gt;=0.3,G53&lt;=-0.3),"超过30%","")</f>
        <v/>
      </c>
      <c r="I53" s="432">
        <f>IF(I46&lt;E46,E46/I46-1,I46/E46-1)</f>
        <v>2.3564141074110534E-2</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1881</v>
      </c>
      <c r="B55" s="603" t="s">
        <v>1882</v>
      </c>
      <c r="C55" s="1828" t="s">
        <v>1883</v>
      </c>
      <c r="D55" s="1829" t="s">
        <v>1884</v>
      </c>
      <c r="E55" s="604" t="s">
        <v>1885</v>
      </c>
      <c r="F55" s="835" t="s">
        <v>1886</v>
      </c>
      <c r="G55" s="3472" t="s">
        <v>1887</v>
      </c>
      <c r="H55" s="3518"/>
      <c r="I55" s="125"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1890</v>
      </c>
      <c r="B56" s="607">
        <f>C48</f>
        <v>17708</v>
      </c>
      <c r="C56" s="608">
        <v>1</v>
      </c>
      <c r="D56" s="888">
        <v>1</v>
      </c>
      <c r="E56" s="608">
        <f>'数据-汇总表'!E8+'数据-汇总表'!E9</f>
        <v>742.75</v>
      </c>
      <c r="F56" s="831">
        <f t="shared" ref="F56:F64" si="15">ROUND(B56*E56/10000,0)</f>
        <v>1315</v>
      </c>
      <c r="G56" s="3471"/>
      <c r="H56" s="3489"/>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1891</v>
      </c>
      <c r="B57" s="208">
        <f>ROUND($C$48*C57*D57,0)</f>
        <v>0</v>
      </c>
      <c r="C57" s="161">
        <f t="shared" ref="C57:C64" si="16">IF($C$55="北京市系数",I57,J57)</f>
        <v>0</v>
      </c>
      <c r="D57" s="889">
        <v>0.25</v>
      </c>
      <c r="E57" s="612"/>
      <c r="F57" s="831">
        <f t="shared" si="15"/>
        <v>0</v>
      </c>
      <c r="G57" s="2748" t="s">
        <v>1892</v>
      </c>
      <c r="H57" s="832">
        <f>项目基本情况!B37</f>
        <v>0</v>
      </c>
      <c r="I57" s="836">
        <f>SUMIF(修正!A59:A70,H57,修正!B59:B70)</f>
        <v>0</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1893</v>
      </c>
      <c r="B58" s="208">
        <f t="shared" ref="B58:B64" si="17">ROUND($C$48*C58*D58,0)</f>
        <v>0</v>
      </c>
      <c r="C58" s="161">
        <f t="shared" si="16"/>
        <v>0</v>
      </c>
      <c r="D58" s="889">
        <v>0.25</v>
      </c>
      <c r="E58" s="612"/>
      <c r="F58" s="831">
        <f t="shared" si="15"/>
        <v>0</v>
      </c>
      <c r="G58" s="2749"/>
      <c r="H58" s="832">
        <f>项目基本情况!B37</f>
        <v>0</v>
      </c>
      <c r="I58" s="836">
        <f>SUMIF(修正!A59:A70,H58,修正!C59:C70)</f>
        <v>0</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1894</v>
      </c>
      <c r="B59" s="208">
        <f t="shared" si="17"/>
        <v>0</v>
      </c>
      <c r="C59" s="161">
        <f t="shared" si="16"/>
        <v>0</v>
      </c>
      <c r="D59" s="889">
        <v>0.25</v>
      </c>
      <c r="E59" s="612"/>
      <c r="F59" s="831">
        <f t="shared" si="15"/>
        <v>0</v>
      </c>
      <c r="G59" s="2749"/>
      <c r="H59" s="832">
        <f>项目基本情况!B37</f>
        <v>0</v>
      </c>
      <c r="I59" s="836">
        <f>SUMIF(修正!A59:A70,H59,修正!D59:D70)</f>
        <v>0</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1895</v>
      </c>
      <c r="B60" s="208">
        <f t="shared" si="17"/>
        <v>885</v>
      </c>
      <c r="C60" s="161">
        <f t="shared" si="16"/>
        <v>0.2</v>
      </c>
      <c r="D60" s="889">
        <v>0.25</v>
      </c>
      <c r="E60" s="207">
        <f>'数据-汇总表'!E11</f>
        <v>0</v>
      </c>
      <c r="F60" s="831">
        <f t="shared" si="15"/>
        <v>0</v>
      </c>
      <c r="G60" s="1832" t="s">
        <v>1896</v>
      </c>
      <c r="H60" s="832" t="str">
        <f>项目基本情况!C37</f>
        <v>八级</v>
      </c>
      <c r="I60" s="836">
        <f>SUMIF(修正!A59:A70,H60,修正!E59:E70)</f>
        <v>0.2</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1897</v>
      </c>
      <c r="B61" s="208">
        <f t="shared" si="17"/>
        <v>885</v>
      </c>
      <c r="C61" s="161">
        <f t="shared" si="16"/>
        <v>0.2</v>
      </c>
      <c r="D61" s="889">
        <v>0.25</v>
      </c>
      <c r="E61" s="207">
        <f>'数据-汇总表'!E12</f>
        <v>0</v>
      </c>
      <c r="F61" s="831">
        <f t="shared" si="15"/>
        <v>0</v>
      </c>
      <c r="G61" s="837" t="s">
        <v>1898</v>
      </c>
      <c r="H61" s="832" t="str">
        <f>IF(G61="商业",项目基本情况!B37,IF(G61="办公",项目基本情况!C37,IF(G61="住宅",项目基本情况!D37,项目基本情况!E37)))</f>
        <v>八级</v>
      </c>
      <c r="I61" s="836">
        <f>SUMIF(修正!A59:A70,H61,修正!F59:F70)</f>
        <v>0.2</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1899</v>
      </c>
      <c r="B62" s="208">
        <f t="shared" si="17"/>
        <v>0</v>
      </c>
      <c r="C62" s="161">
        <f t="shared" si="16"/>
        <v>0</v>
      </c>
      <c r="D62" s="889">
        <v>0.25</v>
      </c>
      <c r="E62" s="207">
        <f>'数据-汇总表'!E13</f>
        <v>0</v>
      </c>
      <c r="F62" s="831">
        <f t="shared" si="15"/>
        <v>0</v>
      </c>
      <c r="G62" s="837" t="s">
        <v>1900</v>
      </c>
      <c r="H62" s="832">
        <f>IF(G62="商业",项目基本情况!B37,IF(G62="办公",项目基本情况!C37,IF(G62="住宅",项目基本情况!D37,项目基本情况!E37)))</f>
        <v>0</v>
      </c>
      <c r="I62" s="836">
        <f>SUMIF(修正!A59:A70,H62,修正!G59:G70)</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1901</v>
      </c>
      <c r="B63" s="208">
        <f t="shared" si="17"/>
        <v>0</v>
      </c>
      <c r="C63" s="161">
        <f t="shared" si="16"/>
        <v>0</v>
      </c>
      <c r="D63" s="889">
        <v>0.25</v>
      </c>
      <c r="E63" s="207">
        <f>'数据-汇总表'!E14</f>
        <v>0</v>
      </c>
      <c r="F63" s="831">
        <f t="shared" si="15"/>
        <v>0</v>
      </c>
      <c r="G63" s="1832" t="s">
        <v>1892</v>
      </c>
      <c r="H63" s="832">
        <f>项目基本情况!B37</f>
        <v>0</v>
      </c>
      <c r="I63" s="836">
        <f>SUMIF(修正!A59:A70,H63,修正!G59:G70)</f>
        <v>0</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1902</v>
      </c>
      <c r="B64" s="208">
        <f t="shared" si="17"/>
        <v>443</v>
      </c>
      <c r="C64" s="161">
        <f t="shared" si="16"/>
        <v>0.1</v>
      </c>
      <c r="D64" s="889">
        <v>0.25</v>
      </c>
      <c r="E64" s="207">
        <f>'数据-汇总表'!E15</f>
        <v>0</v>
      </c>
      <c r="F64" s="831">
        <f t="shared" si="15"/>
        <v>0</v>
      </c>
      <c r="G64" s="1833" t="s">
        <v>1896</v>
      </c>
      <c r="H64" s="842" t="str">
        <f>项目基本情况!C37</f>
        <v>八级</v>
      </c>
      <c r="I64" s="838">
        <f>SUMIF(修正!A59:A70,H64,修正!G59:G70)</f>
        <v>0.1</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1903</v>
      </c>
      <c r="B65" s="614" t="s">
        <v>22</v>
      </c>
      <c r="C65" s="614" t="s">
        <v>23</v>
      </c>
      <c r="D65" s="614" t="s">
        <v>392</v>
      </c>
      <c r="E65" s="614">
        <f>IF(B46="楼面地价",SUM(E56:E64),'数据-汇总表'!D3)</f>
        <v>742.75</v>
      </c>
      <c r="F65" s="615">
        <f>IF(B46="楼面地价",SUM(F56:F64),ROUND(C48*E65/10000,0))</f>
        <v>1315</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2025-11-1</v>
      </c>
      <c r="D67" s="654">
        <f>EDATE(C67,-3)</f>
        <v>45870</v>
      </c>
      <c r="E67" s="654">
        <f>EDATE(D67,-3)</f>
        <v>45778</v>
      </c>
      <c r="F67" s="654">
        <f t="shared" ref="F67:O67" si="18">EDATE(E67,-3)</f>
        <v>45689</v>
      </c>
      <c r="G67" s="654">
        <f t="shared" si="18"/>
        <v>45597</v>
      </c>
      <c r="H67" s="654">
        <f t="shared" si="18"/>
        <v>45505</v>
      </c>
      <c r="I67" s="654">
        <f t="shared" si="18"/>
        <v>45413</v>
      </c>
      <c r="J67" s="654">
        <f t="shared" si="18"/>
        <v>45323</v>
      </c>
      <c r="K67" s="654">
        <f t="shared" si="18"/>
        <v>45231</v>
      </c>
      <c r="L67" s="654">
        <f t="shared" si="18"/>
        <v>45139</v>
      </c>
      <c r="M67" s="654">
        <f t="shared" si="18"/>
        <v>45047</v>
      </c>
      <c r="N67" s="654">
        <f t="shared" si="18"/>
        <v>44958</v>
      </c>
      <c r="O67" s="654">
        <f t="shared" si="18"/>
        <v>44866</v>
      </c>
      <c r="P67" s="873">
        <f t="shared" ref="P67" si="19">EDATE(O67,-3)</f>
        <v>44774</v>
      </c>
      <c r="Q67" s="873">
        <f t="shared" ref="Q67" si="20">EDATE(P67,-3)</f>
        <v>44682</v>
      </c>
      <c r="R67" s="873">
        <f t="shared" ref="R67" si="21">EDATE(Q67,-3)</f>
        <v>44593</v>
      </c>
      <c r="S67" s="873">
        <f t="shared" ref="S67" si="22">EDATE(R67,-3)</f>
        <v>44501</v>
      </c>
      <c r="T67" s="873">
        <f t="shared" ref="T67" si="23">EDATE(S67,-3)</f>
        <v>44409</v>
      </c>
      <c r="U67" s="2485"/>
      <c r="V67" s="2485"/>
      <c r="W67" s="2485"/>
      <c r="X67" s="2485"/>
      <c r="Y67" s="2485"/>
      <c r="Z67" s="2485"/>
      <c r="AA67" s="2485"/>
      <c r="AB67" s="2485"/>
      <c r="AC67" s="2485"/>
    </row>
    <row r="68" spans="1:29" ht="21.75" thickBot="1">
      <c r="A68" s="656" t="s">
        <v>1798</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28.5">
      <c r="A69" s="1627" t="s">
        <v>1904</v>
      </c>
      <c r="B69" s="1044"/>
      <c r="C69" s="1098" t="str">
        <f>YEAR(C67)&amp;"-"&amp;ROUNDUP(MONTH(C67)/3,0)</f>
        <v>2025-4</v>
      </c>
      <c r="D69" s="1098" t="str">
        <f>YEAR(D67)&amp;"-"&amp;ROUNDUP(MONTH(D67)/3,0)</f>
        <v>2025-3</v>
      </c>
      <c r="E69" s="1098" t="str">
        <f t="shared" ref="E69:T69" si="24">YEAR(E67)&amp;"-"&amp;ROUNDUP(MONTH(E67)/3,0)</f>
        <v>2025-2</v>
      </c>
      <c r="F69" s="1098" t="str">
        <f t="shared" si="24"/>
        <v>2025-1</v>
      </c>
      <c r="G69" s="1098" t="str">
        <f t="shared" si="24"/>
        <v>2024-4</v>
      </c>
      <c r="H69" s="1098" t="str">
        <f t="shared" si="24"/>
        <v>2024-3</v>
      </c>
      <c r="I69" s="1098" t="str">
        <f t="shared" si="24"/>
        <v>2024-2</v>
      </c>
      <c r="J69" s="1098" t="str">
        <f t="shared" si="24"/>
        <v>2024-1</v>
      </c>
      <c r="K69" s="1098" t="str">
        <f t="shared" si="24"/>
        <v>2023-4</v>
      </c>
      <c r="L69" s="1098" t="str">
        <f t="shared" si="24"/>
        <v>2023-3</v>
      </c>
      <c r="M69" s="1098" t="str">
        <f t="shared" si="24"/>
        <v>2023-2</v>
      </c>
      <c r="N69" s="1098" t="str">
        <f t="shared" si="24"/>
        <v>2023-1</v>
      </c>
      <c r="O69" s="1098" t="str">
        <f t="shared" si="24"/>
        <v>2022-4</v>
      </c>
      <c r="P69" s="3223" t="str">
        <f t="shared" si="24"/>
        <v>2022-3</v>
      </c>
      <c r="Q69" s="3223" t="str">
        <f t="shared" si="24"/>
        <v>2022-2</v>
      </c>
      <c r="R69" s="3223" t="str">
        <f t="shared" si="24"/>
        <v>2022-1</v>
      </c>
      <c r="S69" s="3223" t="str">
        <f t="shared" si="24"/>
        <v>2021-4</v>
      </c>
      <c r="T69" s="3223" t="str">
        <f t="shared" si="24"/>
        <v>2021-3</v>
      </c>
      <c r="U69" s="2508"/>
      <c r="V69" s="2508"/>
      <c r="W69" s="2508"/>
      <c r="X69" s="2508"/>
      <c r="Y69" s="2508"/>
      <c r="Z69" s="2508"/>
      <c r="AA69" s="2508"/>
      <c r="AB69" s="2508"/>
      <c r="AC69" s="2508"/>
    </row>
    <row r="70" spans="1:29" s="102" customFormat="1" ht="30" customHeight="1">
      <c r="A70" s="1834" t="s">
        <v>1905</v>
      </c>
      <c r="B70" s="278" t="str">
        <f>"北京市平均增长率"&amp;TEXT(SUMIF(基准地价修正!N25:N29,A70,基准地价修正!P25:P29),"0.00%")</f>
        <v>北京市平均增长率0.00%</v>
      </c>
      <c r="C70" s="528">
        <v>100</v>
      </c>
      <c r="D70" s="6">
        <f>C70+$C$71</f>
        <v>100</v>
      </c>
      <c r="E70" s="6">
        <f t="shared" ref="E70:O70" si="25">D70+$C$71</f>
        <v>100</v>
      </c>
      <c r="F70" s="6">
        <f t="shared" si="25"/>
        <v>100</v>
      </c>
      <c r="G70" s="6">
        <f t="shared" si="25"/>
        <v>100</v>
      </c>
      <c r="H70" s="6">
        <f t="shared" si="25"/>
        <v>100</v>
      </c>
      <c r="I70" s="6">
        <f t="shared" si="25"/>
        <v>100</v>
      </c>
      <c r="J70" s="6">
        <f t="shared" si="25"/>
        <v>100</v>
      </c>
      <c r="K70" s="6">
        <f t="shared" si="25"/>
        <v>100</v>
      </c>
      <c r="L70" s="6">
        <f t="shared" si="25"/>
        <v>100</v>
      </c>
      <c r="M70" s="6">
        <f t="shared" si="25"/>
        <v>100</v>
      </c>
      <c r="N70" s="6">
        <f t="shared" si="25"/>
        <v>100</v>
      </c>
      <c r="O70" s="6">
        <f t="shared" si="25"/>
        <v>100</v>
      </c>
      <c r="P70" s="6">
        <f t="shared" ref="P70" si="26">O70+$C$71</f>
        <v>100</v>
      </c>
      <c r="Q70" s="6">
        <f t="shared" ref="Q70" si="27">P70+$C$71</f>
        <v>100</v>
      </c>
      <c r="R70" s="6">
        <f t="shared" ref="R70" si="28">Q70+$C$71</f>
        <v>100</v>
      </c>
      <c r="S70" s="6">
        <f t="shared" ref="S70" si="29">R70+$C$71</f>
        <v>100</v>
      </c>
      <c r="T70" s="6">
        <f t="shared" ref="T70" si="30">S70+$C$71</f>
        <v>100</v>
      </c>
      <c r="U70" s="2437"/>
      <c r="V70" s="2437"/>
      <c r="W70" s="2437"/>
      <c r="X70" s="2437"/>
      <c r="Y70" s="2437"/>
      <c r="Z70" s="2437"/>
      <c r="AA70" s="2437"/>
      <c r="AB70" s="2437"/>
      <c r="AC70" s="2437"/>
    </row>
    <row r="71" spans="1:29" s="102" customFormat="1" ht="15.75" thickBot="1">
      <c r="A71" s="447" t="s">
        <v>1716</v>
      </c>
      <c r="B71" s="448"/>
      <c r="C71" s="449"/>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5">
      <c r="A72" s="453" t="s">
        <v>1681</v>
      </c>
      <c r="B72" s="442"/>
      <c r="C72" s="454" t="s">
        <v>1776</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ht="27.75">
      <c r="A74" s="377" t="s">
        <v>1719</v>
      </c>
      <c r="B74" s="458" t="s">
        <v>1685</v>
      </c>
      <c r="C74" s="3189" t="s">
        <v>3512</v>
      </c>
      <c r="D74" s="3189" t="s">
        <v>3513</v>
      </c>
      <c r="E74" s="460" t="s">
        <v>3514</v>
      </c>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v>102</v>
      </c>
      <c r="E75" s="465">
        <v>100</v>
      </c>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1688</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1689</v>
      </c>
      <c r="C78" s="476" t="str">
        <f>C79&amp;"（含）"&amp;"-"&amp;D79</f>
        <v>0（含）-1</v>
      </c>
      <c r="D78" s="476" t="str">
        <f t="shared" ref="D78:L78" si="31">D79&amp;"（含）"&amp;"-"&amp;E79</f>
        <v>1（含）-2</v>
      </c>
      <c r="E78" s="476" t="str">
        <f t="shared" si="31"/>
        <v>2（含）-3</v>
      </c>
      <c r="F78" s="476" t="str">
        <f t="shared" si="31"/>
        <v>3（含）-4</v>
      </c>
      <c r="G78" s="476" t="str">
        <f t="shared" si="31"/>
        <v>4（含）-5</v>
      </c>
      <c r="H78" s="476" t="str">
        <f t="shared" si="31"/>
        <v>5（含）-6</v>
      </c>
      <c r="I78" s="476" t="str">
        <f t="shared" si="31"/>
        <v>6（含）-7</v>
      </c>
      <c r="J78" s="476" t="str">
        <f t="shared" si="31"/>
        <v>7（含）-8</v>
      </c>
      <c r="K78" s="476" t="str">
        <f t="shared" si="31"/>
        <v>8（含）-9</v>
      </c>
      <c r="L78" s="476" t="str">
        <f t="shared" si="31"/>
        <v>9（含）-10</v>
      </c>
      <c r="M78" s="385" t="str">
        <f>M79&amp;"（含）"&amp;"-"&amp;P79</f>
        <v>10（含）-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v>4</v>
      </c>
      <c r="H79" s="478">
        <v>5</v>
      </c>
      <c r="I79" s="478">
        <v>6</v>
      </c>
      <c r="J79" s="478">
        <v>7</v>
      </c>
      <c r="K79" s="478">
        <v>8</v>
      </c>
      <c r="L79" s="478">
        <v>9</v>
      </c>
      <c r="M79" s="478">
        <v>10</v>
      </c>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32">IF($B$46="单位面积地价",C80+$K11,C80-$K11)</f>
        <v>100</v>
      </c>
      <c r="E80" s="473">
        <f t="shared" si="32"/>
        <v>100</v>
      </c>
      <c r="F80" s="473">
        <f t="shared" si="32"/>
        <v>100</v>
      </c>
      <c r="G80" s="473">
        <f t="shared" si="32"/>
        <v>100</v>
      </c>
      <c r="H80" s="473">
        <f t="shared" si="32"/>
        <v>100</v>
      </c>
      <c r="I80" s="473">
        <f t="shared" si="32"/>
        <v>100</v>
      </c>
      <c r="J80" s="473">
        <f t="shared" si="32"/>
        <v>100</v>
      </c>
      <c r="K80" s="473">
        <f t="shared" si="32"/>
        <v>100</v>
      </c>
      <c r="L80" s="473">
        <f t="shared" si="32"/>
        <v>100</v>
      </c>
      <c r="M80" s="473">
        <f t="shared" si="32"/>
        <v>100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f>B13</f>
        <v>111</v>
      </c>
      <c r="C83" s="483"/>
      <c r="D83" s="483"/>
      <c r="E83" s="483"/>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c r="D84" s="489"/>
      <c r="E84" s="489"/>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1690</v>
      </c>
      <c r="B87" s="458" t="s">
        <v>1720</v>
      </c>
      <c r="C87" s="502" t="s">
        <v>1721</v>
      </c>
      <c r="D87" s="502" t="s">
        <v>1722</v>
      </c>
      <c r="E87" s="502" t="s">
        <v>1723</v>
      </c>
      <c r="F87" s="502" t="s">
        <v>1724</v>
      </c>
      <c r="G87" s="502" t="s">
        <v>1725</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1906</v>
      </c>
      <c r="C89" s="507" t="s">
        <v>1721</v>
      </c>
      <c r="D89" s="507" t="s">
        <v>1722</v>
      </c>
      <c r="E89" s="507" t="s">
        <v>1723</v>
      </c>
      <c r="F89" s="507" t="s">
        <v>1724</v>
      </c>
      <c r="G89" s="507" t="s">
        <v>1725</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98</v>
      </c>
      <c r="E90" s="473">
        <f>D90-$K17</f>
        <v>96</v>
      </c>
      <c r="F90" s="473">
        <f>E90-$K17</f>
        <v>94</v>
      </c>
      <c r="G90" s="473">
        <f>F90-$K17</f>
        <v>92</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1821</v>
      </c>
      <c r="C91" s="507" t="s">
        <v>1721</v>
      </c>
      <c r="D91" s="507" t="s">
        <v>1722</v>
      </c>
      <c r="E91" s="507" t="s">
        <v>1723</v>
      </c>
      <c r="F91" s="507" t="s">
        <v>1724</v>
      </c>
      <c r="G91" s="507" t="s">
        <v>1725</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98</v>
      </c>
      <c r="E92" s="473">
        <f>D92-$K19</f>
        <v>96</v>
      </c>
      <c r="F92" s="473">
        <f>E92-$K19</f>
        <v>94</v>
      </c>
      <c r="G92" s="473">
        <f>F92-$K19</f>
        <v>92</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1726</v>
      </c>
      <c r="C93" s="507" t="s">
        <v>1721</v>
      </c>
      <c r="D93" s="507" t="s">
        <v>1722</v>
      </c>
      <c r="E93" s="507" t="s">
        <v>1723</v>
      </c>
      <c r="F93" s="507" t="s">
        <v>1724</v>
      </c>
      <c r="G93" s="507" t="s">
        <v>1725</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98</v>
      </c>
      <c r="E94" s="473">
        <f>D94-$K21</f>
        <v>96</v>
      </c>
      <c r="F94" s="473">
        <f>E94-$K21</f>
        <v>94</v>
      </c>
      <c r="G94" s="473">
        <f>F94-$K21</f>
        <v>92</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15.75" thickTop="1">
      <c r="A95" s="368"/>
      <c r="B95" s="467" t="s">
        <v>1907</v>
      </c>
      <c r="C95" s="507" t="s">
        <v>1721</v>
      </c>
      <c r="D95" s="507" t="s">
        <v>1722</v>
      </c>
      <c r="E95" s="507" t="s">
        <v>1723</v>
      </c>
      <c r="F95" s="507" t="s">
        <v>1724</v>
      </c>
      <c r="G95" s="507" t="s">
        <v>1725</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98</v>
      </c>
      <c r="E96" s="473">
        <f>D96-$K23</f>
        <v>96</v>
      </c>
      <c r="F96" s="473">
        <f>E96-$K23</f>
        <v>94</v>
      </c>
      <c r="G96" s="473">
        <f>F96-$K23</f>
        <v>92</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7.75" thickTop="1">
      <c r="A97" s="368"/>
      <c r="B97" s="467" t="s">
        <v>1908</v>
      </c>
      <c r="C97" s="502" t="s">
        <v>1721</v>
      </c>
      <c r="D97" s="502" t="s">
        <v>1722</v>
      </c>
      <c r="E97" s="502" t="s">
        <v>1723</v>
      </c>
      <c r="F97" s="502" t="s">
        <v>1724</v>
      </c>
      <c r="G97" s="502" t="s">
        <v>1725</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98</v>
      </c>
      <c r="E98" s="473">
        <f>D98-$K25</f>
        <v>96</v>
      </c>
      <c r="F98" s="473">
        <f>E98-$K25</f>
        <v>94</v>
      </c>
      <c r="G98" s="473">
        <f>F98-$K25</f>
        <v>92</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33">C104-$K31</f>
        <v>100</v>
      </c>
      <c r="E104" s="473">
        <f t="shared" si="33"/>
        <v>100</v>
      </c>
      <c r="F104" s="473">
        <f t="shared" si="33"/>
        <v>100</v>
      </c>
      <c r="G104" s="473">
        <f t="shared" si="33"/>
        <v>100</v>
      </c>
      <c r="H104" s="473">
        <f t="shared" si="33"/>
        <v>100</v>
      </c>
      <c r="I104" s="473">
        <f t="shared" si="33"/>
        <v>100</v>
      </c>
      <c r="J104" s="473">
        <f t="shared" si="33"/>
        <v>100</v>
      </c>
      <c r="K104" s="473">
        <f t="shared" si="33"/>
        <v>100</v>
      </c>
      <c r="L104" s="473">
        <f t="shared" si="33"/>
        <v>100</v>
      </c>
      <c r="M104" s="473">
        <f t="shared" si="3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1815</v>
      </c>
      <c r="C105" s="483"/>
      <c r="D105" s="483"/>
      <c r="E105" s="483"/>
      <c r="F105" s="483"/>
      <c r="G105" s="483"/>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34">C106-$K32</f>
        <v>100</v>
      </c>
      <c r="E106" s="473">
        <f t="shared" si="34"/>
        <v>100</v>
      </c>
      <c r="F106" s="473">
        <f t="shared" si="34"/>
        <v>100</v>
      </c>
      <c r="G106" s="473">
        <f t="shared" si="34"/>
        <v>100</v>
      </c>
      <c r="H106" s="473">
        <f t="shared" si="34"/>
        <v>100</v>
      </c>
      <c r="I106" s="473">
        <f t="shared" si="34"/>
        <v>100</v>
      </c>
      <c r="J106" s="473">
        <f t="shared" si="34"/>
        <v>100</v>
      </c>
      <c r="K106" s="473">
        <f t="shared" si="34"/>
        <v>100</v>
      </c>
      <c r="L106" s="473">
        <f t="shared" si="34"/>
        <v>100</v>
      </c>
      <c r="M106" s="473">
        <f t="shared" si="34"/>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1873</v>
      </c>
      <c r="C107" s="511"/>
      <c r="D107" s="511"/>
      <c r="E107" s="511"/>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35">C108-$K34</f>
        <v>100</v>
      </c>
      <c r="E108" s="473">
        <f t="shared" si="35"/>
        <v>100</v>
      </c>
      <c r="F108" s="473">
        <f t="shared" si="35"/>
        <v>100</v>
      </c>
      <c r="G108" s="473">
        <f t="shared" si="35"/>
        <v>100</v>
      </c>
      <c r="H108" s="473">
        <f t="shared" si="35"/>
        <v>100</v>
      </c>
      <c r="I108" s="473">
        <f t="shared" si="35"/>
        <v>100</v>
      </c>
      <c r="J108" s="473">
        <f t="shared" si="35"/>
        <v>100</v>
      </c>
      <c r="K108" s="473">
        <f t="shared" si="35"/>
        <v>100</v>
      </c>
      <c r="L108" s="473">
        <f t="shared" si="35"/>
        <v>100</v>
      </c>
      <c r="M108" s="473">
        <f t="shared" si="3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1694</v>
      </c>
      <c r="B115" s="458" t="s">
        <v>1913</v>
      </c>
      <c r="C115" s="459" t="str">
        <f>C116&amp;"(含)"&amp;"-"&amp;D116</f>
        <v>0(含)-10000</v>
      </c>
      <c r="D115" s="459" t="str">
        <f t="shared" ref="D115:M115" si="36">D116&amp;"(含)"&amp;"-"&amp;E116</f>
        <v>10000(含)-20000</v>
      </c>
      <c r="E115" s="459" t="str">
        <f t="shared" si="36"/>
        <v>20000(含)-30000</v>
      </c>
      <c r="F115" s="459" t="str">
        <f t="shared" si="36"/>
        <v>30000(含)-50000</v>
      </c>
      <c r="G115" s="459" t="str">
        <f t="shared" si="36"/>
        <v>50000(含)-80000</v>
      </c>
      <c r="H115" s="459" t="str">
        <f t="shared" si="36"/>
        <v>80000(含)-100000</v>
      </c>
      <c r="I115" s="459" t="str">
        <f t="shared" si="36"/>
        <v>100000(含)-150000</v>
      </c>
      <c r="J115" s="459" t="str">
        <f t="shared" si="36"/>
        <v>150000(含)-200000</v>
      </c>
      <c r="K115" s="459" t="str">
        <f t="shared" si="36"/>
        <v>200000(含)-300000</v>
      </c>
      <c r="L115" s="459" t="str">
        <f t="shared" si="36"/>
        <v>300000(含)-500000</v>
      </c>
      <c r="M115" s="459" t="str">
        <f t="shared" si="36"/>
        <v>500000(含)-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10000</v>
      </c>
      <c r="E116" s="6">
        <v>20000</v>
      </c>
      <c r="F116" s="6">
        <v>30000</v>
      </c>
      <c r="G116" s="6">
        <v>50000</v>
      </c>
      <c r="H116" s="6">
        <v>80000</v>
      </c>
      <c r="I116" s="6">
        <v>100000</v>
      </c>
      <c r="J116" s="6">
        <v>150000</v>
      </c>
      <c r="K116" s="6">
        <v>200000</v>
      </c>
      <c r="L116" s="6">
        <v>300000</v>
      </c>
      <c r="M116" s="6">
        <v>500000</v>
      </c>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100.5</v>
      </c>
      <c r="E117" s="499">
        <v>101</v>
      </c>
      <c r="F117" s="519">
        <v>101.5</v>
      </c>
      <c r="G117" s="499">
        <v>102</v>
      </c>
      <c r="H117" s="519">
        <v>102.5</v>
      </c>
      <c r="I117" s="499">
        <v>103</v>
      </c>
      <c r="J117" s="519">
        <v>103.5</v>
      </c>
      <c r="K117" s="499">
        <v>104</v>
      </c>
      <c r="L117" s="519">
        <v>104.5</v>
      </c>
      <c r="M117" s="499">
        <v>105</v>
      </c>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1914</v>
      </c>
      <c r="C118" s="3190" t="s">
        <v>3515</v>
      </c>
      <c r="D118" s="511"/>
      <c r="E118" s="511"/>
      <c r="F118" s="511"/>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37">C119-$K39</f>
        <v>99</v>
      </c>
      <c r="E119" s="473">
        <f t="shared" si="37"/>
        <v>98</v>
      </c>
      <c r="F119" s="473">
        <f t="shared" si="37"/>
        <v>97</v>
      </c>
      <c r="G119" s="473">
        <f t="shared" si="37"/>
        <v>96</v>
      </c>
      <c r="H119" s="473">
        <f t="shared" si="37"/>
        <v>95</v>
      </c>
      <c r="I119" s="473">
        <f t="shared" si="37"/>
        <v>94</v>
      </c>
      <c r="J119" s="473">
        <f t="shared" si="37"/>
        <v>93</v>
      </c>
      <c r="K119" s="473">
        <f t="shared" si="37"/>
        <v>92</v>
      </c>
      <c r="L119" s="473">
        <f t="shared" si="37"/>
        <v>91</v>
      </c>
      <c r="M119" s="474">
        <f t="shared" si="37"/>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1915</v>
      </c>
      <c r="C120" s="3191" t="s">
        <v>3516</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38">C121-$K40</f>
        <v>99</v>
      </c>
      <c r="E121" s="473">
        <f t="shared" si="38"/>
        <v>98</v>
      </c>
      <c r="F121" s="473">
        <f t="shared" si="38"/>
        <v>97</v>
      </c>
      <c r="G121" s="473">
        <f t="shared" si="38"/>
        <v>96</v>
      </c>
      <c r="H121" s="473">
        <f t="shared" si="38"/>
        <v>95</v>
      </c>
      <c r="I121" s="473">
        <f t="shared" si="38"/>
        <v>94</v>
      </c>
      <c r="J121" s="473">
        <f t="shared" si="38"/>
        <v>93</v>
      </c>
      <c r="K121" s="473">
        <f t="shared" si="38"/>
        <v>92</v>
      </c>
      <c r="L121" s="473">
        <f t="shared" si="38"/>
        <v>91</v>
      </c>
      <c r="M121" s="474">
        <f t="shared" si="38"/>
        <v>90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1916</v>
      </c>
      <c r="C122" s="3191" t="s">
        <v>3517</v>
      </c>
      <c r="D122" s="3191" t="s">
        <v>3518</v>
      </c>
      <c r="E122" s="3191" t="s">
        <v>3519</v>
      </c>
      <c r="F122" s="3191" t="s">
        <v>3520</v>
      </c>
      <c r="G122" s="3191" t="s">
        <v>3521</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39">C123-$K41</f>
        <v>99</v>
      </c>
      <c r="E123" s="473">
        <f t="shared" si="39"/>
        <v>98</v>
      </c>
      <c r="F123" s="473">
        <f t="shared" si="39"/>
        <v>97</v>
      </c>
      <c r="G123" s="473">
        <f t="shared" si="39"/>
        <v>96</v>
      </c>
      <c r="H123" s="473">
        <f t="shared" si="39"/>
        <v>95</v>
      </c>
      <c r="I123" s="473">
        <f t="shared" si="39"/>
        <v>94</v>
      </c>
      <c r="J123" s="473">
        <f t="shared" si="39"/>
        <v>93</v>
      </c>
      <c r="K123" s="473">
        <f t="shared" si="39"/>
        <v>92</v>
      </c>
      <c r="L123" s="473">
        <f t="shared" si="39"/>
        <v>91</v>
      </c>
      <c r="M123" s="474">
        <f t="shared" si="39"/>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1917</v>
      </c>
      <c r="C124" s="3191" t="s">
        <v>3522</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40">C125-$K42</f>
        <v>99</v>
      </c>
      <c r="E125" s="473">
        <f t="shared" si="40"/>
        <v>98</v>
      </c>
      <c r="F125" s="473">
        <f t="shared" si="40"/>
        <v>97</v>
      </c>
      <c r="G125" s="473">
        <f t="shared" si="40"/>
        <v>96</v>
      </c>
      <c r="H125" s="473">
        <f t="shared" si="40"/>
        <v>95</v>
      </c>
      <c r="I125" s="473">
        <f t="shared" si="40"/>
        <v>94</v>
      </c>
      <c r="J125" s="473">
        <f t="shared" si="40"/>
        <v>93</v>
      </c>
      <c r="K125" s="473">
        <f t="shared" si="40"/>
        <v>92</v>
      </c>
      <c r="L125" s="473">
        <f t="shared" si="40"/>
        <v>91</v>
      </c>
      <c r="M125" s="474">
        <f t="shared" si="40"/>
        <v>90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1769</v>
      </c>
      <c r="B4" s="344"/>
      <c r="C4" s="3472" t="s">
        <v>1770</v>
      </c>
      <c r="D4" s="3473"/>
      <c r="E4" s="3474" t="s">
        <v>1771</v>
      </c>
      <c r="F4" s="3475"/>
      <c r="G4" s="3472" t="s">
        <v>1772</v>
      </c>
      <c r="H4" s="3473"/>
      <c r="I4" s="3472" t="s">
        <v>1773</v>
      </c>
      <c r="J4" s="3473"/>
      <c r="K4" s="535" t="s">
        <v>1774</v>
      </c>
      <c r="L4" s="2484"/>
      <c r="M4" s="2485"/>
      <c r="N4" s="2485"/>
      <c r="O4" s="2485"/>
      <c r="P4" s="3476" t="s">
        <v>1775</v>
      </c>
      <c r="Q4" s="3477"/>
      <c r="R4" s="3459" t="s">
        <v>1771</v>
      </c>
      <c r="S4" s="3460"/>
      <c r="T4" s="3459" t="s">
        <v>1772</v>
      </c>
      <c r="U4" s="3460"/>
      <c r="V4" s="3484" t="s">
        <v>1773</v>
      </c>
      <c r="W4" s="3484"/>
      <c r="X4" s="1262"/>
      <c r="Y4" s="3459" t="s">
        <v>1775</v>
      </c>
      <c r="Z4" s="3460"/>
      <c r="AA4" s="3454" t="s">
        <v>1771</v>
      </c>
      <c r="AB4" s="3455" t="s">
        <v>1772</v>
      </c>
      <c r="AC4" s="3454" t="s">
        <v>1773</v>
      </c>
    </row>
    <row r="5" spans="1:29" ht="15">
      <c r="A5" s="346"/>
      <c r="B5" s="347"/>
      <c r="C5" s="3465" t="s">
        <v>1673</v>
      </c>
      <c r="D5" s="3466"/>
      <c r="E5" s="3463" t="s">
        <v>1674</v>
      </c>
      <c r="F5" s="3464"/>
      <c r="G5" s="3465" t="s">
        <v>1675</v>
      </c>
      <c r="H5" s="3466"/>
      <c r="I5" s="3465" t="s">
        <v>1676</v>
      </c>
      <c r="J5" s="3466"/>
      <c r="K5" s="535"/>
      <c r="L5" s="2484"/>
      <c r="M5" s="2485"/>
      <c r="N5" s="2485"/>
      <c r="O5" s="2485"/>
      <c r="P5" s="3478"/>
      <c r="Q5" s="3479"/>
      <c r="R5" s="3461"/>
      <c r="S5" s="3462"/>
      <c r="T5" s="3461"/>
      <c r="U5" s="3462"/>
      <c r="V5" s="3484"/>
      <c r="W5" s="3484"/>
      <c r="X5" s="1262"/>
      <c r="Y5" s="3461"/>
      <c r="Z5" s="3462"/>
      <c r="AA5" s="3455"/>
      <c r="AB5" s="3455"/>
      <c r="AC5" s="3455"/>
    </row>
    <row r="6" spans="1:29" ht="15.75" thickBot="1">
      <c r="A6" s="348"/>
      <c r="B6" s="349"/>
      <c r="C6" s="3519" t="s">
        <v>1919</v>
      </c>
      <c r="D6" s="3520"/>
      <c r="E6" s="3521" t="s">
        <v>1919</v>
      </c>
      <c r="F6" s="3522"/>
      <c r="G6" s="3519" t="s">
        <v>1919</v>
      </c>
      <c r="H6" s="3520"/>
      <c r="I6" s="3519" t="s">
        <v>1919</v>
      </c>
      <c r="J6" s="3520"/>
      <c r="K6" s="535" t="s">
        <v>1678</v>
      </c>
      <c r="L6" s="2484"/>
      <c r="M6" s="2485"/>
      <c r="N6" s="2485"/>
      <c r="O6" s="2485"/>
      <c r="P6" s="3480"/>
      <c r="Q6" s="3481"/>
      <c r="R6" s="3461"/>
      <c r="S6" s="3462"/>
      <c r="T6" s="3482"/>
      <c r="U6" s="3483"/>
      <c r="V6" s="3484"/>
      <c r="W6" s="3484"/>
      <c r="X6" s="1262"/>
      <c r="Y6" s="3482"/>
      <c r="Z6" s="3483"/>
      <c r="AA6" s="3456"/>
      <c r="AB6" s="3456"/>
      <c r="AC6" s="3456"/>
    </row>
    <row r="7" spans="1:29" s="102" customFormat="1" ht="15.75" thickBot="1">
      <c r="A7" s="350" t="s">
        <v>1679</v>
      </c>
      <c r="B7" s="351"/>
      <c r="C7" s="352">
        <f>'数据-取费表'!B2</f>
        <v>45986</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57" t="s">
        <v>1680</v>
      </c>
      <c r="Q7" s="3485"/>
      <c r="R7" s="662" t="s">
        <v>14</v>
      </c>
      <c r="S7" s="663">
        <f t="shared" ref="S7:S15" si="0">F7</f>
        <v>0</v>
      </c>
      <c r="T7" s="662" t="s">
        <v>14</v>
      </c>
      <c r="U7" s="663">
        <f t="shared" ref="U7:U15" si="1">H7</f>
        <v>0</v>
      </c>
      <c r="V7" s="662" t="s">
        <v>14</v>
      </c>
      <c r="W7" s="663">
        <f t="shared" ref="W7:W15" si="2">J7</f>
        <v>0</v>
      </c>
      <c r="X7" s="664"/>
      <c r="Y7" s="3457" t="s">
        <v>1680</v>
      </c>
      <c r="Z7" s="3458"/>
      <c r="AA7" s="50" t="e">
        <f>D7/F7</f>
        <v>#DIV/0!</v>
      </c>
      <c r="AB7" s="50" t="e">
        <f>D7/H7</f>
        <v>#DIV/0!</v>
      </c>
      <c r="AC7" s="50" t="e">
        <f>D7/J7</f>
        <v>#DIV/0!</v>
      </c>
    </row>
    <row r="8" spans="1:29" s="102"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57" t="s">
        <v>1683</v>
      </c>
      <c r="Q8" s="3458"/>
      <c r="R8" s="662" t="s">
        <v>14</v>
      </c>
      <c r="S8" s="663">
        <f t="shared" si="0"/>
        <v>0</v>
      </c>
      <c r="T8" s="662" t="s">
        <v>14</v>
      </c>
      <c r="U8" s="663">
        <f t="shared" si="1"/>
        <v>0</v>
      </c>
      <c r="V8" s="662" t="s">
        <v>14</v>
      </c>
      <c r="W8" s="663">
        <f t="shared" si="2"/>
        <v>0</v>
      </c>
      <c r="X8" s="664"/>
      <c r="Y8" s="3457" t="s">
        <v>1683</v>
      </c>
      <c r="Z8" s="3458"/>
      <c r="AA8" s="50" t="e">
        <f t="shared" ref="AA8:AA40" si="3">D8/F8</f>
        <v>#DIV/0!</v>
      </c>
      <c r="AB8" s="50" t="e">
        <f t="shared" ref="AB8:AB40" si="4">D8/H8</f>
        <v>#DIV/0!</v>
      </c>
      <c r="AC8" s="50" t="e">
        <f t="shared" ref="AC8:AC40" si="5">D8/J8</f>
        <v>#DIV/0!</v>
      </c>
    </row>
    <row r="9" spans="1:29" s="102" customFormat="1">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89" t="s">
        <v>1686</v>
      </c>
      <c r="Q9" s="528" t="str">
        <f t="shared" ref="Q9:Q15" si="6">B9</f>
        <v>用途</v>
      </c>
      <c r="R9" s="662" t="s">
        <v>14</v>
      </c>
      <c r="S9" s="663">
        <f t="shared" si="0"/>
        <v>100</v>
      </c>
      <c r="T9" s="662" t="s">
        <v>14</v>
      </c>
      <c r="U9" s="663">
        <f t="shared" si="1"/>
        <v>100</v>
      </c>
      <c r="V9" s="662" t="s">
        <v>14</v>
      </c>
      <c r="W9" s="663">
        <f t="shared" si="2"/>
        <v>100</v>
      </c>
      <c r="X9" s="664"/>
      <c r="Y9" s="3401"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111</v>
      </c>
      <c r="G10" s="369"/>
      <c r="H10" s="117">
        <f>ROUND(100/'数据-取费表'!G16,0)</f>
        <v>111</v>
      </c>
      <c r="I10" s="369"/>
      <c r="J10" s="117">
        <f>ROUND(100/'数据-取费表'!G16,0)</f>
        <v>111</v>
      </c>
      <c r="K10" s="590"/>
      <c r="L10" s="2487"/>
      <c r="M10" s="2488"/>
      <c r="N10" s="2488"/>
      <c r="O10" s="2539"/>
      <c r="P10" s="3489"/>
      <c r="Q10" s="528" t="str">
        <f t="shared" si="6"/>
        <v>土地使用年限（年）</v>
      </c>
      <c r="R10" s="662" t="s">
        <v>14</v>
      </c>
      <c r="S10" s="663">
        <f t="shared" si="0"/>
        <v>111</v>
      </c>
      <c r="T10" s="662" t="s">
        <v>14</v>
      </c>
      <c r="U10" s="663">
        <f t="shared" si="1"/>
        <v>111</v>
      </c>
      <c r="V10" s="662" t="s">
        <v>14</v>
      </c>
      <c r="W10" s="663">
        <f t="shared" si="2"/>
        <v>111</v>
      </c>
      <c r="X10" s="664"/>
      <c r="Y10" s="3401"/>
      <c r="Z10" s="50" t="str">
        <f t="shared" si="7"/>
        <v>土地使用年限（年）</v>
      </c>
      <c r="AA10" s="50">
        <f t="shared" si="3"/>
        <v>0.90090090090090091</v>
      </c>
      <c r="AB10" s="50">
        <f t="shared" si="4"/>
        <v>0.90090090090090091</v>
      </c>
      <c r="AC10" s="50">
        <f t="shared" si="5"/>
        <v>0.90090090090090091</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489"/>
      <c r="Q11" s="528" t="str">
        <f t="shared" si="6"/>
        <v>容积率</v>
      </c>
      <c r="R11" s="662" t="s">
        <v>14</v>
      </c>
      <c r="S11" s="663" t="e">
        <f t="shared" si="0"/>
        <v>#N/A</v>
      </c>
      <c r="T11" s="662" t="s">
        <v>14</v>
      </c>
      <c r="U11" s="663" t="e">
        <f t="shared" si="1"/>
        <v>#N/A</v>
      </c>
      <c r="V11" s="662" t="s">
        <v>14</v>
      </c>
      <c r="W11" s="663" t="e">
        <f t="shared" si="2"/>
        <v>#N/A</v>
      </c>
      <c r="X11" s="664"/>
      <c r="Y11" s="3401"/>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489"/>
      <c r="Q12" s="528">
        <f t="shared" si="6"/>
        <v>111</v>
      </c>
      <c r="R12" s="662" t="s">
        <v>14</v>
      </c>
      <c r="S12" s="663">
        <f t="shared" si="0"/>
        <v>100</v>
      </c>
      <c r="T12" s="662" t="s">
        <v>14</v>
      </c>
      <c r="U12" s="663">
        <f t="shared" si="1"/>
        <v>100</v>
      </c>
      <c r="V12" s="662" t="s">
        <v>14</v>
      </c>
      <c r="W12" s="663">
        <f t="shared" si="2"/>
        <v>100</v>
      </c>
      <c r="X12" s="664"/>
      <c r="Y12" s="3401"/>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489"/>
      <c r="Q13" s="528">
        <f t="shared" si="6"/>
        <v>111</v>
      </c>
      <c r="R13" s="662" t="s">
        <v>14</v>
      </c>
      <c r="S13" s="663">
        <f t="shared" si="0"/>
        <v>100</v>
      </c>
      <c r="T13" s="662" t="s">
        <v>14</v>
      </c>
      <c r="U13" s="663">
        <f t="shared" si="1"/>
        <v>100</v>
      </c>
      <c r="V13" s="662" t="s">
        <v>14</v>
      </c>
      <c r="W13" s="663">
        <f t="shared" si="2"/>
        <v>100</v>
      </c>
      <c r="X13" s="664"/>
      <c r="Y13" s="3401"/>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489"/>
      <c r="Q14" s="528">
        <f t="shared" si="6"/>
        <v>111</v>
      </c>
      <c r="R14" s="662" t="s">
        <v>14</v>
      </c>
      <c r="S14" s="663">
        <f t="shared" si="0"/>
        <v>100</v>
      </c>
      <c r="T14" s="662" t="s">
        <v>14</v>
      </c>
      <c r="U14" s="663">
        <f t="shared" si="1"/>
        <v>100</v>
      </c>
      <c r="V14" s="662" t="s">
        <v>14</v>
      </c>
      <c r="W14" s="663">
        <f t="shared" si="2"/>
        <v>100</v>
      </c>
      <c r="X14" s="664"/>
      <c r="Y14" s="3401"/>
      <c r="Z14" s="50">
        <f t="shared" si="7"/>
        <v>111</v>
      </c>
      <c r="AA14" s="50">
        <f t="shared" si="3"/>
        <v>1</v>
      </c>
      <c r="AB14" s="50">
        <f t="shared" si="4"/>
        <v>1</v>
      </c>
      <c r="AC14" s="50">
        <f t="shared" si="5"/>
        <v>1</v>
      </c>
    </row>
    <row r="15" spans="1:29" ht="15">
      <c r="A15" s="377" t="s">
        <v>1690</v>
      </c>
      <c r="B15" s="552" t="s">
        <v>1920</v>
      </c>
      <c r="C15" s="1816">
        <f>估价对象房地状况!G15</f>
        <v>0</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490" t="s">
        <v>1691</v>
      </c>
      <c r="Q15" s="1260" t="str">
        <f t="shared" si="6"/>
        <v>产业集聚程度</v>
      </c>
      <c r="R15" s="665" t="s">
        <v>14</v>
      </c>
      <c r="S15" s="666">
        <f t="shared" si="0"/>
        <v>100</v>
      </c>
      <c r="T15" s="665" t="s">
        <v>14</v>
      </c>
      <c r="U15" s="666">
        <f t="shared" si="1"/>
        <v>100</v>
      </c>
      <c r="V15" s="665" t="s">
        <v>14</v>
      </c>
      <c r="W15" s="666">
        <f t="shared" si="2"/>
        <v>100</v>
      </c>
      <c r="X15" s="1262"/>
      <c r="Y15" s="3490"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491"/>
      <c r="Q16" s="1260"/>
      <c r="R16" s="665"/>
      <c r="S16" s="666"/>
      <c r="T16" s="665"/>
      <c r="U16" s="666"/>
      <c r="V16" s="665"/>
      <c r="W16" s="666"/>
      <c r="X16" s="1262"/>
      <c r="Y16" s="3491"/>
      <c r="Z16" s="1261"/>
      <c r="AA16" s="1261">
        <v>1</v>
      </c>
      <c r="AB16" s="1261">
        <v>1</v>
      </c>
      <c r="AC16" s="1261">
        <v>1</v>
      </c>
    </row>
    <row r="17" spans="1:29" ht="15">
      <c r="A17" s="365"/>
      <c r="B17" s="554" t="s">
        <v>1833</v>
      </c>
      <c r="C17" s="1751">
        <f>估价对象房地状况!G16</f>
        <v>0</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491"/>
      <c r="Q17" s="1260" t="str">
        <f>B17</f>
        <v>交通便捷度</v>
      </c>
      <c r="R17" s="665" t="s">
        <v>14</v>
      </c>
      <c r="S17" s="666">
        <f>F17</f>
        <v>100</v>
      </c>
      <c r="T17" s="665" t="s">
        <v>14</v>
      </c>
      <c r="U17" s="666">
        <f>H17</f>
        <v>100</v>
      </c>
      <c r="V17" s="665" t="s">
        <v>14</v>
      </c>
      <c r="W17" s="666">
        <f>J17</f>
        <v>100</v>
      </c>
      <c r="X17" s="1262"/>
      <c r="Y17" s="3491"/>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491"/>
      <c r="Q18" s="1260"/>
      <c r="R18" s="665"/>
      <c r="S18" s="666"/>
      <c r="T18" s="665"/>
      <c r="U18" s="666"/>
      <c r="V18" s="665"/>
      <c r="W18" s="666"/>
      <c r="X18" s="1262"/>
      <c r="Y18" s="3491"/>
      <c r="Z18" s="1261"/>
      <c r="AA18" s="1261">
        <v>1</v>
      </c>
      <c r="AB18" s="1261">
        <v>1</v>
      </c>
      <c r="AC18" s="1261">
        <v>1</v>
      </c>
    </row>
    <row r="19" spans="1:29" ht="15">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491"/>
      <c r="Q19" s="1260" t="str">
        <f t="shared" ref="Q19:Q33" si="8">B19</f>
        <v>区域土地利用方向</v>
      </c>
      <c r="R19" s="665" t="s">
        <v>14</v>
      </c>
      <c r="S19" s="666">
        <f>F19</f>
        <v>100</v>
      </c>
      <c r="T19" s="665" t="s">
        <v>14</v>
      </c>
      <c r="U19" s="666">
        <f>H19</f>
        <v>100</v>
      </c>
      <c r="V19" s="665" t="s">
        <v>14</v>
      </c>
      <c r="W19" s="666">
        <f>J19</f>
        <v>100</v>
      </c>
      <c r="X19" s="1262"/>
      <c r="Y19" s="3491"/>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491"/>
      <c r="Q20" s="1260"/>
      <c r="R20" s="665"/>
      <c r="S20" s="666"/>
      <c r="T20" s="665"/>
      <c r="U20" s="666"/>
      <c r="V20" s="665"/>
      <c r="W20" s="666"/>
      <c r="X20" s="1262"/>
      <c r="Y20" s="3491"/>
      <c r="Z20" s="1261"/>
      <c r="AA20" s="1261"/>
      <c r="AB20" s="1261"/>
      <c r="AC20" s="1261"/>
    </row>
    <row r="21" spans="1:29" ht="15">
      <c r="A21" s="346"/>
      <c r="B21" s="554" t="s">
        <v>1921</v>
      </c>
      <c r="C21" s="1751">
        <f>估价对象房地状况!G18</f>
        <v>0</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491"/>
      <c r="Q21" s="1260" t="str">
        <f t="shared" si="8"/>
        <v>环境状况</v>
      </c>
      <c r="R21" s="665" t="s">
        <v>14</v>
      </c>
      <c r="S21" s="666">
        <f>F21</f>
        <v>100</v>
      </c>
      <c r="T21" s="665" t="s">
        <v>14</v>
      </c>
      <c r="U21" s="666">
        <f>H21</f>
        <v>100</v>
      </c>
      <c r="V21" s="665" t="s">
        <v>14</v>
      </c>
      <c r="W21" s="666">
        <f>J21</f>
        <v>100</v>
      </c>
      <c r="X21" s="1262"/>
      <c r="Y21" s="3491"/>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491"/>
      <c r="Q22" s="1260"/>
      <c r="R22" s="665"/>
      <c r="S22" s="666"/>
      <c r="T22" s="665"/>
      <c r="U22" s="666"/>
      <c r="V22" s="665"/>
      <c r="W22" s="666"/>
      <c r="X22" s="1262"/>
      <c r="Y22" s="3491"/>
      <c r="Z22" s="1261"/>
      <c r="AA22" s="1261">
        <v>1</v>
      </c>
      <c r="AB22" s="1261">
        <v>1</v>
      </c>
      <c r="AC22" s="1261">
        <v>1</v>
      </c>
    </row>
    <row r="23" spans="1:29" s="102" customFormat="1" ht="15">
      <c r="A23" s="441"/>
      <c r="B23" s="555" t="s">
        <v>1778</v>
      </c>
      <c r="C23" s="1751">
        <f>估价对象房地状况!G19</f>
        <v>0</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491"/>
      <c r="Q23" s="528" t="str">
        <f t="shared" si="8"/>
        <v>公共配套设施</v>
      </c>
      <c r="R23" s="662" t="s">
        <v>14</v>
      </c>
      <c r="S23" s="663">
        <f>F23</f>
        <v>100</v>
      </c>
      <c r="T23" s="662" t="s">
        <v>14</v>
      </c>
      <c r="U23" s="663">
        <f>H23</f>
        <v>100</v>
      </c>
      <c r="V23" s="662" t="s">
        <v>14</v>
      </c>
      <c r="W23" s="663">
        <f>J23</f>
        <v>100</v>
      </c>
      <c r="X23" s="664"/>
      <c r="Y23" s="3491"/>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491"/>
      <c r="Q24" s="528"/>
      <c r="R24" s="662"/>
      <c r="S24" s="663"/>
      <c r="T24" s="662"/>
      <c r="U24" s="663"/>
      <c r="V24" s="662"/>
      <c r="W24" s="663"/>
      <c r="X24" s="664"/>
      <c r="Y24" s="3491"/>
      <c r="Z24" s="50"/>
      <c r="AA24" s="50">
        <v>1</v>
      </c>
      <c r="AB24" s="50">
        <v>1</v>
      </c>
      <c r="AC24" s="50">
        <v>1</v>
      </c>
    </row>
    <row r="25" spans="1:29" s="102" customFormat="1" ht="15">
      <c r="A25" s="441"/>
      <c r="B25" s="555" t="s">
        <v>1779</v>
      </c>
      <c r="C25" s="1751">
        <f>估价对象房地状况!G20</f>
        <v>0</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491"/>
      <c r="Q25" s="528" t="str">
        <f t="shared" ref="Q25" si="9">B25</f>
        <v>基础设施水平</v>
      </c>
      <c r="R25" s="662" t="s">
        <v>14</v>
      </c>
      <c r="S25" s="663">
        <f>F25</f>
        <v>100</v>
      </c>
      <c r="T25" s="662" t="s">
        <v>14</v>
      </c>
      <c r="U25" s="663">
        <f>H25</f>
        <v>100</v>
      </c>
      <c r="V25" s="662" t="s">
        <v>14</v>
      </c>
      <c r="W25" s="663">
        <f>J25</f>
        <v>100</v>
      </c>
      <c r="X25" s="664"/>
      <c r="Y25" s="3491"/>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491"/>
      <c r="Q26" s="528"/>
      <c r="R26" s="662"/>
      <c r="S26" s="663"/>
      <c r="T26" s="662"/>
      <c r="U26" s="663"/>
      <c r="V26" s="662"/>
      <c r="W26" s="663"/>
      <c r="X26" s="664"/>
      <c r="Y26" s="3491"/>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49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91"/>
      <c r="Z27" s="1261" t="str">
        <f t="shared" ref="Z27:Z40" si="13">Q27</f>
        <v>临街状况</v>
      </c>
      <c r="AA27" s="1261">
        <f t="shared" si="3"/>
        <v>1</v>
      </c>
      <c r="AB27" s="1261">
        <f t="shared" si="4"/>
        <v>1</v>
      </c>
      <c r="AC27" s="1261">
        <f t="shared" si="5"/>
        <v>1</v>
      </c>
    </row>
    <row r="28" spans="1:29" ht="27">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491"/>
      <c r="Q28" s="1260" t="str">
        <f t="shared" si="8"/>
        <v>毗邻道路的类型与等级</v>
      </c>
      <c r="R28" s="665" t="s">
        <v>14</v>
      </c>
      <c r="S28" s="666">
        <f t="shared" si="10"/>
        <v>100</v>
      </c>
      <c r="T28" s="665" t="s">
        <v>14</v>
      </c>
      <c r="U28" s="666">
        <f t="shared" si="11"/>
        <v>100</v>
      </c>
      <c r="V28" s="665" t="s">
        <v>14</v>
      </c>
      <c r="W28" s="666">
        <f t="shared" si="12"/>
        <v>100</v>
      </c>
      <c r="X28" s="1262"/>
      <c r="Y28" s="3491"/>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491"/>
      <c r="Q29" s="1260"/>
      <c r="R29" s="665"/>
      <c r="S29" s="666"/>
      <c r="T29" s="665"/>
      <c r="U29" s="666"/>
      <c r="V29" s="665"/>
      <c r="W29" s="666"/>
      <c r="X29" s="1262"/>
      <c r="Y29" s="3491"/>
      <c r="Z29" s="1261"/>
      <c r="AA29" s="1261">
        <v>1</v>
      </c>
      <c r="AB29" s="1261">
        <v>1</v>
      </c>
      <c r="AC29" s="1261">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491"/>
      <c r="Q30" s="1260" t="str">
        <f t="shared" si="8"/>
        <v>土地级别</v>
      </c>
      <c r="R30" s="665" t="s">
        <v>14</v>
      </c>
      <c r="S30" s="666">
        <f t="shared" si="10"/>
        <v>100</v>
      </c>
      <c r="T30" s="665" t="s">
        <v>14</v>
      </c>
      <c r="U30" s="666">
        <f t="shared" si="11"/>
        <v>100</v>
      </c>
      <c r="V30" s="665" t="s">
        <v>14</v>
      </c>
      <c r="W30" s="666">
        <f t="shared" si="12"/>
        <v>100</v>
      </c>
      <c r="X30" s="1262"/>
      <c r="Y30" s="3491"/>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491"/>
      <c r="Q31" s="1260">
        <f t="shared" si="8"/>
        <v>111</v>
      </c>
      <c r="R31" s="665" t="s">
        <v>14</v>
      </c>
      <c r="S31" s="666">
        <f t="shared" si="10"/>
        <v>100</v>
      </c>
      <c r="T31" s="665" t="s">
        <v>14</v>
      </c>
      <c r="U31" s="666">
        <f t="shared" si="11"/>
        <v>100</v>
      </c>
      <c r="V31" s="665" t="s">
        <v>14</v>
      </c>
      <c r="W31" s="666">
        <f t="shared" si="12"/>
        <v>100</v>
      </c>
      <c r="X31" s="1262"/>
      <c r="Y31" s="3491"/>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514" t="s">
        <v>1696</v>
      </c>
      <c r="Q32" s="1260">
        <f t="shared" si="8"/>
        <v>111</v>
      </c>
      <c r="R32" s="665" t="s">
        <v>14</v>
      </c>
      <c r="S32" s="666">
        <f t="shared" si="10"/>
        <v>100</v>
      </c>
      <c r="T32" s="665" t="s">
        <v>14</v>
      </c>
      <c r="U32" s="666">
        <f t="shared" si="11"/>
        <v>100</v>
      </c>
      <c r="V32" s="665" t="s">
        <v>14</v>
      </c>
      <c r="W32" s="666">
        <f t="shared" si="12"/>
        <v>100</v>
      </c>
      <c r="X32" s="1262"/>
      <c r="Y32" s="3495" t="s">
        <v>1696</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495"/>
      <c r="Q33" s="1260">
        <f t="shared" si="8"/>
        <v>111</v>
      </c>
      <c r="R33" s="667" t="s">
        <v>14</v>
      </c>
      <c r="S33" s="668">
        <f t="shared" si="10"/>
        <v>100</v>
      </c>
      <c r="T33" s="667" t="s">
        <v>14</v>
      </c>
      <c r="U33" s="668">
        <f t="shared" si="11"/>
        <v>100</v>
      </c>
      <c r="V33" s="667" t="s">
        <v>14</v>
      </c>
      <c r="W33" s="668">
        <f t="shared" si="12"/>
        <v>100</v>
      </c>
      <c r="X33" s="669"/>
      <c r="Y33" s="3495"/>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495"/>
      <c r="Q34" s="1260" t="str">
        <f>B34</f>
        <v>宗地面积</v>
      </c>
      <c r="R34" s="665" t="s">
        <v>14</v>
      </c>
      <c r="S34" s="666" t="e">
        <f t="shared" si="10"/>
        <v>#N/A</v>
      </c>
      <c r="T34" s="665" t="s">
        <v>14</v>
      </c>
      <c r="U34" s="666" t="e">
        <f t="shared" si="11"/>
        <v>#N/A</v>
      </c>
      <c r="V34" s="665" t="s">
        <v>14</v>
      </c>
      <c r="W34" s="666" t="e">
        <f t="shared" si="12"/>
        <v>#N/A</v>
      </c>
      <c r="X34" s="1262"/>
      <c r="Y34" s="3495"/>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495"/>
      <c r="Q35" s="1260" t="str">
        <f t="shared" ref="Q35:Q40" si="14">B35</f>
        <v>宗地形状</v>
      </c>
      <c r="R35" s="665" t="s">
        <v>14</v>
      </c>
      <c r="S35" s="666">
        <f t="shared" si="10"/>
        <v>100</v>
      </c>
      <c r="T35" s="665" t="s">
        <v>14</v>
      </c>
      <c r="U35" s="666">
        <f t="shared" si="11"/>
        <v>100</v>
      </c>
      <c r="V35" s="665" t="s">
        <v>14</v>
      </c>
      <c r="W35" s="666">
        <f t="shared" si="12"/>
        <v>100</v>
      </c>
      <c r="X35" s="1262"/>
      <c r="Y35" s="3495"/>
      <c r="Z35" s="1261" t="str">
        <f t="shared" si="13"/>
        <v>宗地形状</v>
      </c>
      <c r="AA35" s="1261">
        <f t="shared" si="3"/>
        <v>1</v>
      </c>
      <c r="AB35" s="1261">
        <f t="shared" si="4"/>
        <v>1</v>
      </c>
      <c r="AC35" s="1261">
        <f t="shared" si="5"/>
        <v>1</v>
      </c>
    </row>
    <row r="36" spans="1:31" s="102"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495"/>
      <c r="Q36" s="1260" t="str">
        <f t="shared" si="14"/>
        <v>宗地开发程度</v>
      </c>
      <c r="R36" s="662" t="s">
        <v>14</v>
      </c>
      <c r="S36" s="663">
        <f t="shared" si="10"/>
        <v>100</v>
      </c>
      <c r="T36" s="662" t="s">
        <v>14</v>
      </c>
      <c r="U36" s="663">
        <f t="shared" si="11"/>
        <v>100</v>
      </c>
      <c r="V36" s="662" t="s">
        <v>14</v>
      </c>
      <c r="W36" s="663">
        <f t="shared" si="12"/>
        <v>100</v>
      </c>
      <c r="X36" s="664"/>
      <c r="Y36" s="3495"/>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495" t="s">
        <v>1696</v>
      </c>
      <c r="Q37" s="1260" t="str">
        <f t="shared" si="14"/>
        <v>工程地质条件</v>
      </c>
      <c r="R37" s="665" t="s">
        <v>14</v>
      </c>
      <c r="S37" s="666">
        <f t="shared" si="10"/>
        <v>100</v>
      </c>
      <c r="T37" s="665" t="s">
        <v>14</v>
      </c>
      <c r="U37" s="666">
        <f t="shared" si="11"/>
        <v>100</v>
      </c>
      <c r="V37" s="665" t="s">
        <v>14</v>
      </c>
      <c r="W37" s="666">
        <f t="shared" si="12"/>
        <v>100</v>
      </c>
      <c r="X37" s="1262"/>
      <c r="Y37" s="3495" t="s">
        <v>1696</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495"/>
      <c r="Q38" s="1260">
        <f t="shared" si="14"/>
        <v>111</v>
      </c>
      <c r="R38" s="665" t="s">
        <v>14</v>
      </c>
      <c r="S38" s="666">
        <f t="shared" si="10"/>
        <v>100</v>
      </c>
      <c r="T38" s="665" t="s">
        <v>14</v>
      </c>
      <c r="U38" s="666">
        <f t="shared" si="11"/>
        <v>100</v>
      </c>
      <c r="V38" s="665" t="s">
        <v>14</v>
      </c>
      <c r="W38" s="666">
        <f t="shared" si="12"/>
        <v>100</v>
      </c>
      <c r="X38" s="1262"/>
      <c r="Y38" s="3495"/>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495"/>
      <c r="Q39" s="1260">
        <f t="shared" si="14"/>
        <v>111</v>
      </c>
      <c r="R39" s="665" t="s">
        <v>14</v>
      </c>
      <c r="S39" s="666">
        <f t="shared" si="10"/>
        <v>100</v>
      </c>
      <c r="T39" s="665" t="s">
        <v>14</v>
      </c>
      <c r="U39" s="666">
        <f t="shared" si="11"/>
        <v>100</v>
      </c>
      <c r="V39" s="665" t="s">
        <v>14</v>
      </c>
      <c r="W39" s="666">
        <f t="shared" si="12"/>
        <v>100</v>
      </c>
      <c r="X39" s="1262"/>
      <c r="Y39" s="3495"/>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495"/>
      <c r="Q40" s="1260">
        <f t="shared" si="14"/>
        <v>111</v>
      </c>
      <c r="R40" s="667" t="s">
        <v>14</v>
      </c>
      <c r="S40" s="668">
        <f t="shared" si="10"/>
        <v>100</v>
      </c>
      <c r="T40" s="667" t="s">
        <v>14</v>
      </c>
      <c r="U40" s="668">
        <f t="shared" si="11"/>
        <v>100</v>
      </c>
      <c r="V40" s="667" t="s">
        <v>14</v>
      </c>
      <c r="W40" s="668">
        <f t="shared" si="12"/>
        <v>100</v>
      </c>
      <c r="X40" s="669"/>
      <c r="Y40" s="3495"/>
      <c r="Z40" s="670">
        <f t="shared" si="13"/>
        <v>111</v>
      </c>
      <c r="AA40" s="1261">
        <f t="shared" si="3"/>
        <v>1</v>
      </c>
      <c r="AB40" s="1261">
        <f t="shared" si="4"/>
        <v>1</v>
      </c>
      <c r="AC40" s="1261">
        <f t="shared" si="5"/>
        <v>1</v>
      </c>
    </row>
    <row r="41" spans="1:31" ht="15">
      <c r="A41" s="414" t="s">
        <v>1844</v>
      </c>
      <c r="B41" s="1827" t="s">
        <v>1922</v>
      </c>
      <c r="C41" s="600" t="s">
        <v>0</v>
      </c>
      <c r="D41" s="416"/>
      <c r="E41" s="417"/>
      <c r="F41" s="418"/>
      <c r="G41" s="419"/>
      <c r="H41" s="420"/>
      <c r="I41" s="417"/>
      <c r="J41" s="420"/>
      <c r="K41" s="672"/>
      <c r="L41" s="2492"/>
      <c r="M41" s="2485"/>
      <c r="N41" s="2485"/>
      <c r="O41" s="2485"/>
      <c r="P41" s="3489" t="str">
        <f>A41</f>
        <v>成交单价</v>
      </c>
      <c r="Q41" s="3489"/>
      <c r="R41" s="3484">
        <f>E41</f>
        <v>0</v>
      </c>
      <c r="S41" s="3484"/>
      <c r="T41" s="3484">
        <f>G41</f>
        <v>0</v>
      </c>
      <c r="U41" s="3484"/>
      <c r="V41" s="3484">
        <f>I41</f>
        <v>0</v>
      </c>
      <c r="W41" s="3484"/>
      <c r="X41" s="383"/>
      <c r="Y41" s="671"/>
      <c r="Z41" s="383"/>
      <c r="AA41" s="383"/>
      <c r="AB41" s="383"/>
      <c r="AC41" s="383"/>
    </row>
    <row r="42" spans="1:31" ht="15.75" thickBot="1">
      <c r="A42" s="421" t="s">
        <v>1793</v>
      </c>
      <c r="B42" s="601"/>
      <c r="C42" s="424" t="e">
        <f>R43</f>
        <v>#DIV/0!</v>
      </c>
      <c r="D42" s="2138" t="s">
        <v>2135</v>
      </c>
      <c r="E42" s="424" t="e">
        <f>R42</f>
        <v>#DIV/0!</v>
      </c>
      <c r="F42" s="2139"/>
      <c r="G42" s="423" t="e">
        <f>T42</f>
        <v>#DIV/0!</v>
      </c>
      <c r="H42" s="2139"/>
      <c r="I42" s="424" t="e">
        <f>V42</f>
        <v>#DIV/0!</v>
      </c>
      <c r="J42" s="2139"/>
      <c r="K42" s="2141">
        <f>F42+H42+J42</f>
        <v>0</v>
      </c>
      <c r="L42" s="2492"/>
      <c r="M42" s="2485"/>
      <c r="N42" s="2485"/>
      <c r="O42" s="2485"/>
      <c r="P42" s="3489" t="str">
        <f>A42</f>
        <v>比较价值（元/平方米）</v>
      </c>
      <c r="Q42" s="3489"/>
      <c r="R42" s="3516" t="e">
        <f>ROUND(PRODUCT(R41,AA7:AA40),0)</f>
        <v>#DIV/0!</v>
      </c>
      <c r="S42" s="3516"/>
      <c r="T42" s="3516" t="e">
        <f>ROUND(PRODUCT(T41,AB7:AB40),0)</f>
        <v>#DIV/0!</v>
      </c>
      <c r="U42" s="3516"/>
      <c r="V42" s="3516" t="e">
        <f>ROUND(PRODUCT(V41,AC7:AC40),0)</f>
        <v>#DIV/0!</v>
      </c>
      <c r="W42" s="3516"/>
      <c r="X42" s="383"/>
      <c r="Y42" s="383"/>
      <c r="Z42" s="383"/>
      <c r="AA42" s="383"/>
      <c r="AB42" s="383"/>
      <c r="AC42" s="383"/>
    </row>
    <row r="43" spans="1:31" ht="15.75" thickBot="1">
      <c r="A43" s="425" t="s">
        <v>1794</v>
      </c>
      <c r="B43" s="426"/>
      <c r="C43" s="427" t="e">
        <f>R43</f>
        <v>#DIV/0!</v>
      </c>
      <c r="D43" s="427"/>
      <c r="E43" s="427"/>
      <c r="F43" s="427"/>
      <c r="G43" s="427"/>
      <c r="H43" s="427"/>
      <c r="I43" s="427"/>
      <c r="J43" s="427"/>
      <c r="K43" s="673"/>
      <c r="L43" s="2492"/>
      <c r="M43" s="2485"/>
      <c r="N43" s="2485"/>
      <c r="O43" s="2485"/>
      <c r="P43" s="3486" t="str">
        <f>A43</f>
        <v>估价对象XX用房的比较价值（楼面单价，元/平方米）</v>
      </c>
      <c r="Q43" s="3487"/>
      <c r="R43" s="3517" t="e">
        <f>ROUND(IF(D42="简单平均",AVERAGE(R42:W42),R42*F42+T42*H42+V42*J42),0)</f>
        <v>#DIV/0!</v>
      </c>
      <c r="S43" s="3517"/>
      <c r="T43" s="3517"/>
      <c r="U43" s="3517"/>
      <c r="V43" s="3517"/>
      <c r="W43" s="3517"/>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1881</v>
      </c>
      <c r="B50" s="603" t="s">
        <v>1882</v>
      </c>
      <c r="C50" s="1828" t="s">
        <v>1883</v>
      </c>
      <c r="D50" s="1829" t="s">
        <v>1884</v>
      </c>
      <c r="E50" s="604" t="s">
        <v>1885</v>
      </c>
      <c r="F50" s="605" t="s">
        <v>1886</v>
      </c>
      <c r="G50" s="3472" t="s">
        <v>1887</v>
      </c>
      <c r="H50" s="3518"/>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1890</v>
      </c>
      <c r="B51" s="607" t="e">
        <f>C43</f>
        <v>#DIV/0!</v>
      </c>
      <c r="C51" s="608">
        <v>1</v>
      </c>
      <c r="D51" s="888">
        <v>1</v>
      </c>
      <c r="E51" s="608">
        <f>'数据-汇总表'!E8+'数据-汇总表'!E9</f>
        <v>742.75</v>
      </c>
      <c r="F51" s="609" t="e">
        <f t="shared" ref="F51:F60" si="15">ROUND(B51*E51/10000,0)</f>
        <v>#DIV/0!</v>
      </c>
      <c r="G51" s="3471"/>
      <c r="H51" s="3489"/>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1891</v>
      </c>
      <c r="B52" s="208" t="e">
        <f>ROUND($C$43*C52*D52,0)</f>
        <v>#DIV/0!</v>
      </c>
      <c r="C52" s="161">
        <f t="shared" ref="C52:C60" si="16">IF($C$50="北京市系数",I52,J52)</f>
        <v>0</v>
      </c>
      <c r="D52" s="889">
        <v>0.25</v>
      </c>
      <c r="E52" s="612"/>
      <c r="F52" s="609" t="e">
        <f t="shared" si="15"/>
        <v>#DIV/0!</v>
      </c>
      <c r="G52" s="2748" t="s">
        <v>1892</v>
      </c>
      <c r="H52" s="832">
        <f>项目基本情况!B37</f>
        <v>0</v>
      </c>
      <c r="I52" s="725">
        <f>SUMIF(修正!A59:A70,H52,修正!B59:B70)</f>
        <v>0</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1893</v>
      </c>
      <c r="B53" s="208" t="e">
        <f t="shared" ref="B53:B60" si="17">ROUND($C$43*C53*D53,0)</f>
        <v>#DIV/0!</v>
      </c>
      <c r="C53" s="161">
        <f t="shared" si="16"/>
        <v>0</v>
      </c>
      <c r="D53" s="889">
        <v>0.25</v>
      </c>
      <c r="E53" s="612"/>
      <c r="F53" s="609" t="e">
        <f t="shared" si="15"/>
        <v>#DIV/0!</v>
      </c>
      <c r="G53" s="2749"/>
      <c r="H53" s="832">
        <f>项目基本情况!B37</f>
        <v>0</v>
      </c>
      <c r="I53" s="725">
        <f>SUMIF(修正!A59:A70,H53,修正!C59:C70)</f>
        <v>0</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1894</v>
      </c>
      <c r="B54" s="208" t="e">
        <f t="shared" si="17"/>
        <v>#DIV/0!</v>
      </c>
      <c r="C54" s="161">
        <f t="shared" si="16"/>
        <v>0</v>
      </c>
      <c r="D54" s="889">
        <v>0.25</v>
      </c>
      <c r="E54" s="612"/>
      <c r="F54" s="609" t="e">
        <f t="shared" si="15"/>
        <v>#DIV/0!</v>
      </c>
      <c r="G54" s="2749"/>
      <c r="H54" s="832">
        <f>项目基本情况!B37</f>
        <v>0</v>
      </c>
      <c r="I54" s="725">
        <f>SUMIF(修正!A59:A70,H54,修正!D59:D70)</f>
        <v>0</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1895</v>
      </c>
      <c r="B56" s="208" t="e">
        <f t="shared" si="17"/>
        <v>#DIV/0!</v>
      </c>
      <c r="C56" s="161">
        <f t="shared" si="16"/>
        <v>0.2</v>
      </c>
      <c r="D56" s="889">
        <v>0.25</v>
      </c>
      <c r="E56" s="207">
        <f>'数据-汇总表'!E11</f>
        <v>0</v>
      </c>
      <c r="F56" s="609" t="e">
        <f t="shared" si="15"/>
        <v>#DIV/0!</v>
      </c>
      <c r="G56" s="1832" t="s">
        <v>1896</v>
      </c>
      <c r="H56" s="832" t="str">
        <f>项目基本情况!C37</f>
        <v>八级</v>
      </c>
      <c r="I56" s="725">
        <f>SUMIF(修正!A59:A70,H56,修正!E59:E70)</f>
        <v>0.2</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1897</v>
      </c>
      <c r="B57" s="208" t="e">
        <f t="shared" si="17"/>
        <v>#DIV/0!</v>
      </c>
      <c r="C57" s="161">
        <f t="shared" si="16"/>
        <v>0.2</v>
      </c>
      <c r="D57" s="889">
        <v>0.25</v>
      </c>
      <c r="E57" s="207">
        <f>'数据-汇总表'!E12</f>
        <v>0</v>
      </c>
      <c r="F57" s="609" t="e">
        <f t="shared" si="15"/>
        <v>#DIV/0!</v>
      </c>
      <c r="G57" s="837" t="s">
        <v>1898</v>
      </c>
      <c r="H57" s="832" t="str">
        <f>IF(G57="商业",项目基本情况!B37,IF(G57="办公",项目基本情况!C37,IF(G57="住宅",项目基本情况!D37,项目基本情况!E37)))</f>
        <v>八级</v>
      </c>
      <c r="I57" s="725">
        <f>SUMIF(修正!A59:A70,H57,修正!F59:F70)</f>
        <v>0.2</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SUMIF(修正!A59:A70,H58,修正!G59:G70)</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1901</v>
      </c>
      <c r="B59" s="208" t="e">
        <f t="shared" si="17"/>
        <v>#DIV/0!</v>
      </c>
      <c r="C59" s="161">
        <f t="shared" si="16"/>
        <v>0</v>
      </c>
      <c r="D59" s="889">
        <v>0.25</v>
      </c>
      <c r="E59" s="207">
        <f>'数据-汇总表'!E14</f>
        <v>0</v>
      </c>
      <c r="F59" s="609" t="e">
        <f t="shared" si="15"/>
        <v>#DIV/0!</v>
      </c>
      <c r="G59" s="1832" t="s">
        <v>1892</v>
      </c>
      <c r="H59" s="832">
        <f>项目基本情况!B37</f>
        <v>0</v>
      </c>
      <c r="I59" s="725">
        <f>SUMIF(修正!A59:A70,H59,修正!G59:G70)</f>
        <v>0</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1902</v>
      </c>
      <c r="B60" s="208" t="e">
        <f t="shared" si="17"/>
        <v>#DIV/0!</v>
      </c>
      <c r="C60" s="161">
        <f t="shared" si="16"/>
        <v>0.1</v>
      </c>
      <c r="D60" s="889">
        <v>0.25</v>
      </c>
      <c r="E60" s="207">
        <f>'数据-汇总表'!E15</f>
        <v>0</v>
      </c>
      <c r="F60" s="609" t="e">
        <f t="shared" si="15"/>
        <v>#DIV/0!</v>
      </c>
      <c r="G60" s="1833" t="s">
        <v>1896</v>
      </c>
      <c r="H60" s="842" t="str">
        <f>项目基本情况!C37</f>
        <v>八级</v>
      </c>
      <c r="I60" s="725">
        <f>SUMIF(修正!A59:A70,H60,修正!G59:G70)</f>
        <v>0.1</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1903</v>
      </c>
      <c r="B61" s="614" t="s">
        <v>22</v>
      </c>
      <c r="C61" s="614" t="s">
        <v>23</v>
      </c>
      <c r="D61" s="614" t="s">
        <v>392</v>
      </c>
      <c r="E61" s="614">
        <f>IF(B41="楼面地价",SUM(E51:E60),'数据-汇总表'!D3)</f>
        <v>891.05</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2025-11-1</v>
      </c>
      <c r="D63" s="654">
        <f>EDATE(C63,-3)</f>
        <v>45870</v>
      </c>
      <c r="E63" s="654">
        <f>EDATE(D63,-3)</f>
        <v>45778</v>
      </c>
      <c r="F63" s="654">
        <f t="shared" ref="F63:O63" si="18">EDATE(E63,-3)</f>
        <v>45689</v>
      </c>
      <c r="G63" s="654">
        <f t="shared" si="18"/>
        <v>45597</v>
      </c>
      <c r="H63" s="654">
        <f t="shared" si="18"/>
        <v>45505</v>
      </c>
      <c r="I63" s="654">
        <f t="shared" si="18"/>
        <v>45413</v>
      </c>
      <c r="J63" s="654">
        <f t="shared" si="18"/>
        <v>45323</v>
      </c>
      <c r="K63" s="654">
        <f t="shared" si="18"/>
        <v>45231</v>
      </c>
      <c r="L63" s="654">
        <f t="shared" si="18"/>
        <v>45139</v>
      </c>
      <c r="M63" s="654">
        <f t="shared" si="18"/>
        <v>45047</v>
      </c>
      <c r="N63" s="654">
        <f t="shared" si="18"/>
        <v>44958</v>
      </c>
      <c r="O63" s="654">
        <f t="shared" si="18"/>
        <v>44866</v>
      </c>
      <c r="P63" s="2485"/>
      <c r="Q63" s="2485"/>
      <c r="R63" s="2485"/>
      <c r="S63" s="2485"/>
      <c r="T63" s="2485"/>
      <c r="U63" s="2485"/>
      <c r="V63" s="2485"/>
      <c r="W63" s="2485"/>
      <c r="X63" s="2485"/>
      <c r="Y63" s="2485"/>
      <c r="Z63" s="2485"/>
      <c r="AA63" s="2485"/>
      <c r="AB63" s="2485"/>
      <c r="AC63" s="2485"/>
      <c r="AD63" s="2485"/>
      <c r="AE63" s="2485"/>
    </row>
    <row r="64" spans="1:31" ht="21.75" thickBot="1">
      <c r="A64" s="656" t="s">
        <v>1798</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5">
      <c r="A65" s="1627" t="s">
        <v>1904</v>
      </c>
      <c r="B65" s="1044"/>
      <c r="C65" s="1098" t="str">
        <f>YEAR(C63)&amp;"-"&amp;ROUNDUP(MONTH(C63)/3,0)</f>
        <v>2025-4</v>
      </c>
      <c r="D65" s="1098" t="str">
        <f t="shared" ref="D65:O65" si="19">YEAR(D63)&amp;"-"&amp;ROUNDUP(MONTH(D63)/3,0)</f>
        <v>2025-3</v>
      </c>
      <c r="E65" s="1098" t="str">
        <f t="shared" si="19"/>
        <v>2025-2</v>
      </c>
      <c r="F65" s="1098" t="str">
        <f t="shared" si="19"/>
        <v>2025-1</v>
      </c>
      <c r="G65" s="1098" t="str">
        <f t="shared" si="19"/>
        <v>2024-4</v>
      </c>
      <c r="H65" s="1098" t="str">
        <f t="shared" si="19"/>
        <v>2024-3</v>
      </c>
      <c r="I65" s="1098" t="str">
        <f t="shared" si="19"/>
        <v>2024-2</v>
      </c>
      <c r="J65" s="1098" t="str">
        <f t="shared" si="19"/>
        <v>2024-1</v>
      </c>
      <c r="K65" s="1098" t="str">
        <f t="shared" si="19"/>
        <v>2023-4</v>
      </c>
      <c r="L65" s="1098" t="str">
        <f t="shared" si="19"/>
        <v>2023-3</v>
      </c>
      <c r="M65" s="1098" t="str">
        <f t="shared" si="19"/>
        <v>2023-2</v>
      </c>
      <c r="N65" s="1098" t="str">
        <f t="shared" si="19"/>
        <v>2023-1</v>
      </c>
      <c r="O65" s="1098"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7" t="s">
        <v>1716</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5">
      <c r="A68" s="453" t="s">
        <v>1681</v>
      </c>
      <c r="B68" s="442"/>
      <c r="C68" s="454" t="s">
        <v>1776</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1719</v>
      </c>
      <c r="B70" s="458" t="s">
        <v>1685</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1688</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1690</v>
      </c>
      <c r="B83" s="458" t="s">
        <v>1829</v>
      </c>
      <c r="C83" s="502" t="s">
        <v>1721</v>
      </c>
      <c r="D83" s="502" t="s">
        <v>1722</v>
      </c>
      <c r="E83" s="502" t="s">
        <v>1723</v>
      </c>
      <c r="F83" s="502" t="s">
        <v>1724</v>
      </c>
      <c r="G83" s="502" t="s">
        <v>1725</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1726</v>
      </c>
      <c r="C85" s="507" t="s">
        <v>1721</v>
      </c>
      <c r="D85" s="507" t="s">
        <v>1722</v>
      </c>
      <c r="E85" s="507" t="s">
        <v>1723</v>
      </c>
      <c r="F85" s="507" t="s">
        <v>1724</v>
      </c>
      <c r="G85" s="507" t="s">
        <v>1725</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8"/>
      <c r="B87" s="467" t="s">
        <v>1907</v>
      </c>
      <c r="C87" s="502" t="s">
        <v>1721</v>
      </c>
      <c r="D87" s="502" t="s">
        <v>1722</v>
      </c>
      <c r="E87" s="502" t="s">
        <v>1723</v>
      </c>
      <c r="F87" s="502" t="s">
        <v>1724</v>
      </c>
      <c r="G87" s="502" t="s">
        <v>1725</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8"/>
      <c r="B89" s="467" t="s">
        <v>1908</v>
      </c>
      <c r="C89" s="502" t="s">
        <v>1721</v>
      </c>
      <c r="D89" s="502" t="s">
        <v>1722</v>
      </c>
      <c r="E89" s="502" t="s">
        <v>1723</v>
      </c>
      <c r="F89" s="502" t="s">
        <v>1724</v>
      </c>
      <c r="G89" s="502" t="s">
        <v>1725</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1815</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1873</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1914</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1916</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1917</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15698</v>
      </c>
      <c r="C2" s="1981" t="s">
        <v>2074</v>
      </c>
      <c r="D2" s="1981" t="s">
        <v>2075</v>
      </c>
      <c r="E2" s="2395">
        <f ca="1">SUMIF(E6:E13,"&lt;&gt;#ref!",E6:E13)</f>
        <v>21560.34</v>
      </c>
      <c r="F2" s="2542"/>
      <c r="G2" s="2542"/>
      <c r="H2" s="2542"/>
      <c r="I2" s="2542"/>
      <c r="J2" s="2542"/>
      <c r="K2" s="2542"/>
      <c r="L2" s="2542"/>
      <c r="M2" s="2542"/>
      <c r="N2" s="2542"/>
      <c r="O2" s="2542"/>
      <c r="P2" s="2542"/>
    </row>
    <row r="3" spans="1:16" ht="15.75">
      <c r="A3" s="1981" t="s">
        <v>2076</v>
      </c>
      <c r="B3" s="2385">
        <f ca="1">ROUND(B2*10000/E2,0)</f>
        <v>7281</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f ca="1">SUMIF(INDIRECT("'"&amp;A6&amp;"'"&amp;"!A:A"),"总价",INDIRECT("'"&amp;A6&amp;"'"&amp;"!B:B"))</f>
        <v>15698</v>
      </c>
      <c r="C6" s="1981" t="s">
        <v>2074</v>
      </c>
      <c r="D6" s="2542"/>
      <c r="E6" s="2395">
        <f ca="1">SUMIF(INDIRECT("'"&amp;A6&amp;"'"&amp;"!C:C"),"建筑面积",INDIRECT("'"&amp;A6&amp;"'"&amp;"!D:D"))</f>
        <v>21560.34</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526" t="s">
        <v>2084</v>
      </c>
      <c r="D1" s="3527"/>
      <c r="E1" s="3527"/>
      <c r="F1" s="3527"/>
      <c r="G1" s="3527"/>
      <c r="H1" s="3527"/>
      <c r="I1" s="3527"/>
      <c r="J1" s="3527"/>
      <c r="K1" s="3527"/>
      <c r="L1" s="3527"/>
      <c r="M1" s="3527"/>
      <c r="N1" s="3527"/>
      <c r="O1" s="3527"/>
      <c r="P1" s="3527"/>
      <c r="Q1" s="3527"/>
      <c r="R1" s="3527"/>
      <c r="S1" s="3528"/>
      <c r="T1" s="927" t="s">
        <v>2085</v>
      </c>
    </row>
    <row r="2" spans="1:45" s="623" customFormat="1" ht="25.5">
      <c r="A2" s="928"/>
      <c r="B2" s="620" t="s">
        <v>2086</v>
      </c>
      <c r="C2" s="14" t="str">
        <f t="shared" ref="C2:L2" si="0">C3&amp;"(含)"&amp;"-"&amp;D3</f>
        <v>0(含)-1000</v>
      </c>
      <c r="D2" s="621" t="str">
        <f t="shared" si="0"/>
        <v>1000(含)-2000</v>
      </c>
      <c r="E2" s="621" t="str">
        <f t="shared" si="0"/>
        <v>2000(含)-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v>0</v>
      </c>
      <c r="D3" s="626">
        <v>1000</v>
      </c>
      <c r="E3" s="626">
        <v>2000</v>
      </c>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v>100</v>
      </c>
      <c r="D4" s="934">
        <v>99</v>
      </c>
      <c r="E4" s="934">
        <v>98</v>
      </c>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3225" t="s">
        <v>4030</v>
      </c>
      <c r="C5" s="3224" t="s">
        <v>4029</v>
      </c>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25.5">
      <c r="A7" s="923"/>
      <c r="B7" s="3226" t="s">
        <v>4031</v>
      </c>
      <c r="C7" s="849" t="s">
        <v>4033</v>
      </c>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2087</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2091</v>
      </c>
      <c r="B17" s="1984" t="s">
        <v>2092</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2093</v>
      </c>
      <c r="E19" s="1250"/>
      <c r="F19" s="1250"/>
      <c r="G19" s="1250"/>
      <c r="H19" s="994"/>
      <c r="I19" s="149"/>
      <c r="J19" s="149"/>
      <c r="K19" s="149"/>
      <c r="L19" s="149"/>
      <c r="M19" s="149"/>
      <c r="N19" s="149"/>
      <c r="O19" s="149"/>
      <c r="P19" s="149"/>
      <c r="Q19" s="149"/>
      <c r="R19" s="149"/>
      <c r="S19" s="119"/>
    </row>
    <row r="20" spans="1:45" ht="16.5" thickBot="1">
      <c r="A20" s="630" t="s">
        <v>2094</v>
      </c>
      <c r="B20" s="284">
        <f ca="1">IF(D20="——",S22,S22-F20)</f>
        <v>5980</v>
      </c>
      <c r="C20" s="149"/>
      <c r="D20" s="1986" t="s">
        <v>43</v>
      </c>
      <c r="E20" s="1251"/>
      <c r="F20" s="927" t="e">
        <f ca="1">SUMIF(INDIRECT("'"&amp;H20&amp;"'"&amp;"!A:A"),"承租人权益价值",INDIRECT("'"&amp;H20&amp;"'"&amp;"!c:c"))</f>
        <v>#REF!</v>
      </c>
      <c r="G20" s="927" t="s">
        <v>2095</v>
      </c>
      <c r="H20" s="1987"/>
      <c r="I20" s="149"/>
      <c r="J20" s="149"/>
      <c r="K20" s="149"/>
      <c r="L20" s="149"/>
      <c r="M20" s="149"/>
      <c r="N20" s="149"/>
      <c r="O20" s="149"/>
      <c r="P20" s="149"/>
      <c r="Q20" s="149"/>
      <c r="R20" s="149"/>
      <c r="S20" s="119"/>
    </row>
    <row r="21" spans="1:45" ht="15.75">
      <c r="A21" s="630" t="s">
        <v>2096</v>
      </c>
      <c r="B21" s="284">
        <f ca="1">ROUND(B20*10000/B22,0)</f>
        <v>24254</v>
      </c>
      <c r="C21" s="149"/>
      <c r="D21" s="149"/>
      <c r="E21" s="149"/>
      <c r="F21" s="149"/>
      <c r="G21" s="149"/>
      <c r="H21" s="149"/>
      <c r="I21" s="149"/>
      <c r="J21" s="149"/>
      <c r="K21" s="149"/>
      <c r="L21" s="149"/>
      <c r="M21" s="149"/>
      <c r="N21" s="149"/>
      <c r="O21" s="149"/>
      <c r="P21" s="149"/>
      <c r="Q21" s="149"/>
      <c r="R21" s="149"/>
      <c r="S21" s="119"/>
    </row>
    <row r="22" spans="1:45">
      <c r="A22" s="306" t="s">
        <v>2097</v>
      </c>
      <c r="B22" s="21">
        <f>SUM(B24:B10000)</f>
        <v>2465.58</v>
      </c>
      <c r="C22" s="3523" t="s">
        <v>27</v>
      </c>
      <c r="D22" s="3524"/>
      <c r="E22" s="3524"/>
      <c r="F22" s="3524"/>
      <c r="G22" s="3524"/>
      <c r="H22" s="3524"/>
      <c r="I22" s="3524"/>
      <c r="J22" s="3524"/>
      <c r="K22" s="3524"/>
      <c r="L22" s="3524"/>
      <c r="M22" s="3524"/>
      <c r="N22" s="3524"/>
      <c r="O22" s="3524"/>
      <c r="P22" s="3524"/>
      <c r="Q22" s="3525"/>
      <c r="R22" s="21">
        <f ca="1">ROUND(S22*10000/B22,0)</f>
        <v>24254</v>
      </c>
      <c r="S22" s="21">
        <f ca="1">SUM(S24:S10000)</f>
        <v>5980</v>
      </c>
    </row>
    <row r="23" spans="1:45" s="9" customFormat="1" ht="24">
      <c r="A23" s="8" t="s">
        <v>2098</v>
      </c>
      <c r="B23" s="8" t="s">
        <v>2099</v>
      </c>
      <c r="C23" s="8" t="s">
        <v>2100</v>
      </c>
      <c r="D23" s="8" t="str">
        <f>B5</f>
        <v>装修</v>
      </c>
      <c r="E23" s="8" t="s">
        <v>2100</v>
      </c>
      <c r="F23" s="8" t="str">
        <f>B7</f>
        <v>成新度</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tr">
        <f>[2]Sheet1!B14</f>
        <v>昌平区顺沙路58号院11号</v>
      </c>
      <c r="B24" s="631">
        <f>[2]Sheet1!C14</f>
        <v>1232.79</v>
      </c>
      <c r="C24" s="2568">
        <v>1</v>
      </c>
      <c r="D24" s="2569" t="s">
        <v>4034</v>
      </c>
      <c r="E24" s="2568">
        <v>1</v>
      </c>
      <c r="F24" s="2569" t="s">
        <v>4032</v>
      </c>
      <c r="G24" s="2568">
        <v>1</v>
      </c>
      <c r="H24" s="2569"/>
      <c r="I24" s="2568">
        <v>1</v>
      </c>
      <c r="J24" s="2569"/>
      <c r="K24" s="2568">
        <v>1</v>
      </c>
      <c r="L24" s="2569"/>
      <c r="M24" s="2568">
        <v>1</v>
      </c>
      <c r="N24" s="2569"/>
      <c r="O24" s="2568">
        <v>1</v>
      </c>
      <c r="P24" s="2569"/>
      <c r="Q24" s="2568">
        <v>1</v>
      </c>
      <c r="R24" s="631">
        <f ca="1">结果表!G20</f>
        <v>24256</v>
      </c>
      <c r="S24" s="632">
        <f t="shared" ref="S24:S54" ca="1" si="11">ROUND(R24*B24/10000,0)</f>
        <v>2990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t="str">
        <f>[2]Sheet1!B15</f>
        <v>昌平区顺沙路58号院12号</v>
      </c>
      <c r="B25" s="631">
        <f>[2]Sheet1!C15</f>
        <v>1232.79</v>
      </c>
      <c r="C25" s="21">
        <f>IF(B25="",1,(LOOKUP(B25,$3:$3,$4:$4)-LOOKUP($B$24,$3:$3,$4:$4)+100)/100)</f>
        <v>1</v>
      </c>
      <c r="D25" s="633" t="s">
        <v>4034</v>
      </c>
      <c r="E25" s="21">
        <f>(SUMIF($5:$5,D25,$6:$6)-SUMIF($5:$5,$D$24,$6:$6)+100)/100</f>
        <v>1</v>
      </c>
      <c r="F25" s="633" t="s">
        <v>4032</v>
      </c>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 ca="1">IF(B25="",0,ROUND($R$24*C25*E25*G25*I25*K25*M25*O25*Q25,0))</f>
        <v>24256</v>
      </c>
      <c r="S25" s="306">
        <f t="shared" ca="1" si="11"/>
        <v>2990</v>
      </c>
    </row>
    <row r="26" spans="1:45">
      <c r="A26" s="140"/>
      <c r="B26" s="52"/>
      <c r="C26" s="21">
        <f t="shared" ref="C26:C89" si="12">IF(B26="",1,(LOOKUP(B26,$3:$3,$4:$4)-LOOKUP($B$24,$3:$3,$4:$4)+100)/100)</f>
        <v>1</v>
      </c>
      <c r="D26" s="633"/>
      <c r="E26" s="21">
        <f t="shared" ref="E26:E89" si="13">(SUMIF($5:$5,D26,$6:$6)-SUMIF($5:$5,$D$24,$6:$6)+100)/100</f>
        <v>0</v>
      </c>
      <c r="F26" s="633"/>
      <c r="G26" s="21">
        <f t="shared" ref="G26:G89" si="14">(SUMIF($7:$7,F26,$8:$8)-SUMIF($7:$7,$F$24,$8:$8)+100)/100</f>
        <v>0</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0</v>
      </c>
      <c r="F27" s="633"/>
      <c r="G27" s="21">
        <f t="shared" si="14"/>
        <v>0</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0</v>
      </c>
      <c r="F28" s="633"/>
      <c r="G28" s="21">
        <f t="shared" si="14"/>
        <v>0</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0</v>
      </c>
      <c r="F29" s="633"/>
      <c r="G29" s="21">
        <f t="shared" si="14"/>
        <v>0</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0</v>
      </c>
      <c r="F30" s="633"/>
      <c r="G30" s="21">
        <f t="shared" si="14"/>
        <v>0</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0</v>
      </c>
      <c r="F31" s="633"/>
      <c r="G31" s="21">
        <f t="shared" si="14"/>
        <v>0</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0</v>
      </c>
      <c r="F32" s="633"/>
      <c r="G32" s="21">
        <f t="shared" si="14"/>
        <v>0</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0</v>
      </c>
      <c r="F33" s="633"/>
      <c r="G33" s="21">
        <f t="shared" si="14"/>
        <v>0</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0</v>
      </c>
      <c r="F34" s="633"/>
      <c r="G34" s="21">
        <f t="shared" si="14"/>
        <v>0</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0</v>
      </c>
      <c r="F35" s="633"/>
      <c r="G35" s="21">
        <f t="shared" si="14"/>
        <v>0</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0</v>
      </c>
      <c r="F36" s="633"/>
      <c r="G36" s="21">
        <f t="shared" si="14"/>
        <v>0</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0</v>
      </c>
      <c r="F37" s="633"/>
      <c r="G37" s="21">
        <f t="shared" si="14"/>
        <v>0</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0</v>
      </c>
      <c r="F38" s="633"/>
      <c r="G38" s="21">
        <f t="shared" si="14"/>
        <v>0</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0</v>
      </c>
      <c r="F39" s="633"/>
      <c r="G39" s="21">
        <f t="shared" si="14"/>
        <v>0</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0</v>
      </c>
      <c r="F40" s="633"/>
      <c r="G40" s="21">
        <f t="shared" si="14"/>
        <v>0</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0</v>
      </c>
      <c r="F41" s="633"/>
      <c r="G41" s="21">
        <f t="shared" si="14"/>
        <v>0</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0</v>
      </c>
      <c r="F42" s="633"/>
      <c r="G42" s="21">
        <f t="shared" si="14"/>
        <v>0</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0</v>
      </c>
      <c r="F43" s="633"/>
      <c r="G43" s="21">
        <f t="shared" si="14"/>
        <v>0</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0</v>
      </c>
      <c r="F44" s="633"/>
      <c r="G44" s="21">
        <f t="shared" si="14"/>
        <v>0</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0</v>
      </c>
      <c r="F45" s="633"/>
      <c r="G45" s="21">
        <f t="shared" si="14"/>
        <v>0</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0</v>
      </c>
      <c r="F46" s="633"/>
      <c r="G46" s="21">
        <f t="shared" si="14"/>
        <v>0</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0</v>
      </c>
      <c r="F47" s="633"/>
      <c r="G47" s="21">
        <f t="shared" si="14"/>
        <v>0</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0</v>
      </c>
      <c r="F48" s="633"/>
      <c r="G48" s="21">
        <f t="shared" si="14"/>
        <v>0</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0</v>
      </c>
      <c r="F49" s="633"/>
      <c r="G49" s="21">
        <f t="shared" si="14"/>
        <v>0</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0</v>
      </c>
      <c r="F50" s="633"/>
      <c r="G50" s="21">
        <f t="shared" si="14"/>
        <v>0</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0</v>
      </c>
      <c r="F51" s="633"/>
      <c r="G51" s="21">
        <f t="shared" si="14"/>
        <v>0</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0</v>
      </c>
      <c r="F52" s="633"/>
      <c r="G52" s="21">
        <f t="shared" si="14"/>
        <v>0</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0</v>
      </c>
      <c r="F53" s="633"/>
      <c r="G53" s="21">
        <f t="shared" si="14"/>
        <v>0</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0</v>
      </c>
      <c r="F54" s="633"/>
      <c r="G54" s="21">
        <f t="shared" si="14"/>
        <v>0</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0</v>
      </c>
      <c r="F55" s="633"/>
      <c r="G55" s="21">
        <f t="shared" si="14"/>
        <v>0</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0</v>
      </c>
      <c r="F56" s="633"/>
      <c r="G56" s="21">
        <f t="shared" si="14"/>
        <v>0</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0</v>
      </c>
      <c r="F57" s="633"/>
      <c r="G57" s="21">
        <f t="shared" si="14"/>
        <v>0</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0</v>
      </c>
      <c r="F58" s="633"/>
      <c r="G58" s="21">
        <f t="shared" si="14"/>
        <v>0</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0</v>
      </c>
      <c r="F59" s="633"/>
      <c r="G59" s="21">
        <f t="shared" si="14"/>
        <v>0</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0</v>
      </c>
      <c r="F60" s="633"/>
      <c r="G60" s="21">
        <f t="shared" si="14"/>
        <v>0</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0</v>
      </c>
      <c r="F61" s="633"/>
      <c r="G61" s="21">
        <f t="shared" si="14"/>
        <v>0</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0</v>
      </c>
      <c r="F62" s="633"/>
      <c r="G62" s="21">
        <f t="shared" si="14"/>
        <v>0</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0</v>
      </c>
      <c r="F63" s="633"/>
      <c r="G63" s="21">
        <f t="shared" si="14"/>
        <v>0</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0</v>
      </c>
      <c r="F64" s="633"/>
      <c r="G64" s="21">
        <f t="shared" si="14"/>
        <v>0</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0</v>
      </c>
      <c r="F65" s="633"/>
      <c r="G65" s="21">
        <f t="shared" si="14"/>
        <v>0</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0</v>
      </c>
      <c r="F66" s="633"/>
      <c r="G66" s="21">
        <f t="shared" si="14"/>
        <v>0</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0</v>
      </c>
      <c r="F67" s="633"/>
      <c r="G67" s="21">
        <f t="shared" si="14"/>
        <v>0</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0</v>
      </c>
      <c r="F68" s="633"/>
      <c r="G68" s="21">
        <f t="shared" si="14"/>
        <v>0</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0</v>
      </c>
      <c r="F69" s="633"/>
      <c r="G69" s="21">
        <f t="shared" si="14"/>
        <v>0</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0</v>
      </c>
      <c r="F70" s="633"/>
      <c r="G70" s="21">
        <f t="shared" si="14"/>
        <v>0</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0</v>
      </c>
      <c r="F71" s="633"/>
      <c r="G71" s="21">
        <f t="shared" si="14"/>
        <v>0</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0</v>
      </c>
      <c r="F72" s="633"/>
      <c r="G72" s="21">
        <f t="shared" si="14"/>
        <v>0</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0</v>
      </c>
      <c r="F73" s="633"/>
      <c r="G73" s="21">
        <f t="shared" si="14"/>
        <v>0</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0</v>
      </c>
      <c r="F74" s="633"/>
      <c r="G74" s="21">
        <f t="shared" si="14"/>
        <v>0</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0</v>
      </c>
      <c r="F75" s="633"/>
      <c r="G75" s="21">
        <f t="shared" si="14"/>
        <v>0</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0</v>
      </c>
      <c r="F76" s="633"/>
      <c r="G76" s="21">
        <f t="shared" si="14"/>
        <v>0</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0</v>
      </c>
      <c r="F77" s="633"/>
      <c r="G77" s="21">
        <f t="shared" si="14"/>
        <v>0</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0</v>
      </c>
      <c r="F78" s="633"/>
      <c r="G78" s="21">
        <f t="shared" si="14"/>
        <v>0</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0</v>
      </c>
      <c r="F79" s="633"/>
      <c r="G79" s="21">
        <f t="shared" si="14"/>
        <v>0</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0</v>
      </c>
      <c r="F80" s="633"/>
      <c r="G80" s="21">
        <f t="shared" si="14"/>
        <v>0</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0</v>
      </c>
      <c r="F81" s="633"/>
      <c r="G81" s="21">
        <f t="shared" si="14"/>
        <v>0</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0</v>
      </c>
      <c r="F82" s="633"/>
      <c r="G82" s="21">
        <f t="shared" si="14"/>
        <v>0</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0</v>
      </c>
      <c r="F83" s="633"/>
      <c r="G83" s="21">
        <f t="shared" si="14"/>
        <v>0</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0</v>
      </c>
      <c r="F84" s="633"/>
      <c r="G84" s="21">
        <f t="shared" si="14"/>
        <v>0</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0</v>
      </c>
      <c r="F85" s="633"/>
      <c r="G85" s="21">
        <f t="shared" si="14"/>
        <v>0</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0</v>
      </c>
      <c r="F86" s="633"/>
      <c r="G86" s="21">
        <f t="shared" si="14"/>
        <v>0</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0</v>
      </c>
      <c r="F87" s="633"/>
      <c r="G87" s="21">
        <f t="shared" si="14"/>
        <v>0</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0</v>
      </c>
      <c r="F88" s="633"/>
      <c r="G88" s="21">
        <f t="shared" si="14"/>
        <v>0</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0</v>
      </c>
      <c r="F89" s="633"/>
      <c r="G89" s="21">
        <f t="shared" si="14"/>
        <v>0</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0</v>
      </c>
      <c r="F90" s="633"/>
      <c r="G90" s="21">
        <f t="shared" ref="G90:G153" si="25">(SUMIF($7:$7,F90,$8:$8)-SUMIF($7:$7,$F$24,$8:$8)+100)/100</f>
        <v>0</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0</v>
      </c>
      <c r="F91" s="633"/>
      <c r="G91" s="21">
        <f t="shared" si="25"/>
        <v>0</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0</v>
      </c>
      <c r="F92" s="633"/>
      <c r="G92" s="21">
        <f t="shared" si="25"/>
        <v>0</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0</v>
      </c>
      <c r="F93" s="633"/>
      <c r="G93" s="21">
        <f t="shared" si="25"/>
        <v>0</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0</v>
      </c>
      <c r="F94" s="633"/>
      <c r="G94" s="21">
        <f t="shared" si="25"/>
        <v>0</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0</v>
      </c>
      <c r="F95" s="633"/>
      <c r="G95" s="21">
        <f t="shared" si="25"/>
        <v>0</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0</v>
      </c>
      <c r="F96" s="633"/>
      <c r="G96" s="21">
        <f t="shared" si="25"/>
        <v>0</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0</v>
      </c>
      <c r="F97" s="633"/>
      <c r="G97" s="21">
        <f t="shared" si="25"/>
        <v>0</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0</v>
      </c>
      <c r="F98" s="633"/>
      <c r="G98" s="21">
        <f t="shared" si="25"/>
        <v>0</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0</v>
      </c>
      <c r="F99" s="633"/>
      <c r="G99" s="21">
        <f t="shared" si="25"/>
        <v>0</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0</v>
      </c>
      <c r="F100" s="633"/>
      <c r="G100" s="21">
        <f t="shared" si="25"/>
        <v>0</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0</v>
      </c>
      <c r="F101" s="633"/>
      <c r="G101" s="21">
        <f t="shared" si="25"/>
        <v>0</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0</v>
      </c>
      <c r="F102" s="633"/>
      <c r="G102" s="21">
        <f t="shared" si="25"/>
        <v>0</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0</v>
      </c>
      <c r="F103" s="633"/>
      <c r="G103" s="21">
        <f t="shared" si="25"/>
        <v>0</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0</v>
      </c>
      <c r="F104" s="633"/>
      <c r="G104" s="21">
        <f t="shared" si="25"/>
        <v>0</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0</v>
      </c>
      <c r="F105" s="633"/>
      <c r="G105" s="21">
        <f t="shared" si="25"/>
        <v>0</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0</v>
      </c>
      <c r="F106" s="633"/>
      <c r="G106" s="21">
        <f t="shared" si="25"/>
        <v>0</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0</v>
      </c>
      <c r="F107" s="633"/>
      <c r="G107" s="21">
        <f t="shared" si="25"/>
        <v>0</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0</v>
      </c>
      <c r="F108" s="633"/>
      <c r="G108" s="21">
        <f t="shared" si="25"/>
        <v>0</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0</v>
      </c>
      <c r="F109" s="633"/>
      <c r="G109" s="21">
        <f t="shared" si="25"/>
        <v>0</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0</v>
      </c>
      <c r="F110" s="633"/>
      <c r="G110" s="21">
        <f t="shared" si="25"/>
        <v>0</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0</v>
      </c>
      <c r="F111" s="633"/>
      <c r="G111" s="21">
        <f t="shared" si="25"/>
        <v>0</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0</v>
      </c>
      <c r="F112" s="633"/>
      <c r="G112" s="21">
        <f t="shared" si="25"/>
        <v>0</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0</v>
      </c>
      <c r="F113" s="633"/>
      <c r="G113" s="21">
        <f t="shared" si="25"/>
        <v>0</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0</v>
      </c>
      <c r="F114" s="633"/>
      <c r="G114" s="21">
        <f t="shared" si="25"/>
        <v>0</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0</v>
      </c>
      <c r="F115" s="633"/>
      <c r="G115" s="21">
        <f t="shared" si="25"/>
        <v>0</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0</v>
      </c>
      <c r="F116" s="633"/>
      <c r="G116" s="21">
        <f t="shared" si="25"/>
        <v>0</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0</v>
      </c>
      <c r="F117" s="633"/>
      <c r="G117" s="21">
        <f t="shared" si="25"/>
        <v>0</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0</v>
      </c>
      <c r="F118" s="633"/>
      <c r="G118" s="21">
        <f t="shared" si="25"/>
        <v>0</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0</v>
      </c>
      <c r="F119" s="633"/>
      <c r="G119" s="21">
        <f t="shared" si="25"/>
        <v>0</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0</v>
      </c>
      <c r="F120" s="633"/>
      <c r="G120" s="21">
        <f t="shared" si="25"/>
        <v>0</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0</v>
      </c>
      <c r="F121" s="633"/>
      <c r="G121" s="21">
        <f t="shared" si="25"/>
        <v>0</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0</v>
      </c>
      <c r="F122" s="633"/>
      <c r="G122" s="21">
        <f t="shared" si="25"/>
        <v>0</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0</v>
      </c>
      <c r="F123" s="633"/>
      <c r="G123" s="21">
        <f t="shared" si="25"/>
        <v>0</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0</v>
      </c>
      <c r="F124" s="633"/>
      <c r="G124" s="21">
        <f t="shared" si="25"/>
        <v>0</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0</v>
      </c>
      <c r="F125" s="633"/>
      <c r="G125" s="21">
        <f t="shared" si="25"/>
        <v>0</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0</v>
      </c>
      <c r="F126" s="633"/>
      <c r="G126" s="21">
        <f t="shared" si="25"/>
        <v>0</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0</v>
      </c>
      <c r="F127" s="633"/>
      <c r="G127" s="21">
        <f t="shared" si="25"/>
        <v>0</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0</v>
      </c>
      <c r="F128" s="633"/>
      <c r="G128" s="21">
        <f t="shared" si="25"/>
        <v>0</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0</v>
      </c>
      <c r="F129" s="633"/>
      <c r="G129" s="21">
        <f t="shared" si="25"/>
        <v>0</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0</v>
      </c>
      <c r="F130" s="633"/>
      <c r="G130" s="21">
        <f t="shared" si="25"/>
        <v>0</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0</v>
      </c>
      <c r="F131" s="633"/>
      <c r="G131" s="21">
        <f t="shared" si="25"/>
        <v>0</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0</v>
      </c>
      <c r="F132" s="633"/>
      <c r="G132" s="21">
        <f t="shared" si="25"/>
        <v>0</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0</v>
      </c>
      <c r="F133" s="633"/>
      <c r="G133" s="21">
        <f t="shared" si="25"/>
        <v>0</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0</v>
      </c>
      <c r="F134" s="633"/>
      <c r="G134" s="21">
        <f t="shared" si="25"/>
        <v>0</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0</v>
      </c>
      <c r="F135" s="633"/>
      <c r="G135" s="21">
        <f t="shared" si="25"/>
        <v>0</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0</v>
      </c>
      <c r="F136" s="633"/>
      <c r="G136" s="21">
        <f t="shared" si="25"/>
        <v>0</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0</v>
      </c>
      <c r="F137" s="633"/>
      <c r="G137" s="21">
        <f t="shared" si="25"/>
        <v>0</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0</v>
      </c>
      <c r="F138" s="633"/>
      <c r="G138" s="21">
        <f t="shared" si="25"/>
        <v>0</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0</v>
      </c>
      <c r="F139" s="633"/>
      <c r="G139" s="21">
        <f t="shared" si="25"/>
        <v>0</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0</v>
      </c>
      <c r="F140" s="633"/>
      <c r="G140" s="21">
        <f t="shared" si="25"/>
        <v>0</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0</v>
      </c>
      <c r="F141" s="633"/>
      <c r="G141" s="21">
        <f t="shared" si="25"/>
        <v>0</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0</v>
      </c>
      <c r="F142" s="633"/>
      <c r="G142" s="21">
        <f t="shared" si="25"/>
        <v>0</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0</v>
      </c>
      <c r="F143" s="633"/>
      <c r="G143" s="21">
        <f t="shared" si="25"/>
        <v>0</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0</v>
      </c>
      <c r="F144" s="633"/>
      <c r="G144" s="21">
        <f t="shared" si="25"/>
        <v>0</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0</v>
      </c>
      <c r="F145" s="633"/>
      <c r="G145" s="21">
        <f t="shared" si="25"/>
        <v>0</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0</v>
      </c>
      <c r="F146" s="633"/>
      <c r="G146" s="21">
        <f t="shared" si="25"/>
        <v>0</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0</v>
      </c>
      <c r="F147" s="633"/>
      <c r="G147" s="21">
        <f t="shared" si="25"/>
        <v>0</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0</v>
      </c>
      <c r="F148" s="633"/>
      <c r="G148" s="21">
        <f t="shared" si="25"/>
        <v>0</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0</v>
      </c>
      <c r="F149" s="633"/>
      <c r="G149" s="21">
        <f t="shared" si="25"/>
        <v>0</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0</v>
      </c>
      <c r="F150" s="633"/>
      <c r="G150" s="21">
        <f t="shared" si="25"/>
        <v>0</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0</v>
      </c>
      <c r="F151" s="633"/>
      <c r="G151" s="21">
        <f t="shared" si="25"/>
        <v>0</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0</v>
      </c>
      <c r="F152" s="633"/>
      <c r="G152" s="21">
        <f t="shared" si="25"/>
        <v>0</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0</v>
      </c>
      <c r="F153" s="633"/>
      <c r="G153" s="21">
        <f t="shared" si="25"/>
        <v>0</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0</v>
      </c>
      <c r="F154" s="633"/>
      <c r="G154" s="21">
        <f t="shared" ref="G154:G217" si="35">(SUMIF($7:$7,F154,$8:$8)-SUMIF($7:$7,$F$24,$8:$8)+100)/100</f>
        <v>0</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0</v>
      </c>
      <c r="F155" s="633"/>
      <c r="G155" s="21">
        <f t="shared" si="35"/>
        <v>0</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0</v>
      </c>
      <c r="F156" s="633"/>
      <c r="G156" s="21">
        <f t="shared" si="35"/>
        <v>0</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0</v>
      </c>
      <c r="F157" s="633"/>
      <c r="G157" s="21">
        <f t="shared" si="35"/>
        <v>0</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0</v>
      </c>
      <c r="F158" s="633"/>
      <c r="G158" s="21">
        <f t="shared" si="35"/>
        <v>0</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0</v>
      </c>
      <c r="F159" s="633"/>
      <c r="G159" s="21">
        <f t="shared" si="35"/>
        <v>0</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0</v>
      </c>
      <c r="F160" s="633"/>
      <c r="G160" s="21">
        <f t="shared" si="35"/>
        <v>0</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0</v>
      </c>
      <c r="F161" s="633"/>
      <c r="G161" s="21">
        <f t="shared" si="35"/>
        <v>0</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0</v>
      </c>
      <c r="F162" s="633"/>
      <c r="G162" s="21">
        <f t="shared" si="35"/>
        <v>0</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0</v>
      </c>
      <c r="F163" s="633"/>
      <c r="G163" s="21">
        <f t="shared" si="35"/>
        <v>0</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0</v>
      </c>
      <c r="F164" s="633"/>
      <c r="G164" s="21">
        <f t="shared" si="35"/>
        <v>0</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0</v>
      </c>
      <c r="F165" s="633"/>
      <c r="G165" s="21">
        <f t="shared" si="35"/>
        <v>0</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0</v>
      </c>
      <c r="F166" s="633"/>
      <c r="G166" s="21">
        <f t="shared" si="35"/>
        <v>0</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0</v>
      </c>
      <c r="F167" s="633"/>
      <c r="G167" s="21">
        <f t="shared" si="35"/>
        <v>0</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0</v>
      </c>
      <c r="F168" s="633"/>
      <c r="G168" s="21">
        <f t="shared" si="35"/>
        <v>0</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0</v>
      </c>
      <c r="F169" s="633"/>
      <c r="G169" s="21">
        <f t="shared" si="35"/>
        <v>0</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0</v>
      </c>
      <c r="F170" s="633"/>
      <c r="G170" s="21">
        <f t="shared" si="35"/>
        <v>0</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0</v>
      </c>
      <c r="F171" s="633"/>
      <c r="G171" s="21">
        <f t="shared" si="35"/>
        <v>0</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0</v>
      </c>
      <c r="F172" s="633"/>
      <c r="G172" s="21">
        <f t="shared" si="35"/>
        <v>0</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0</v>
      </c>
      <c r="F173" s="633"/>
      <c r="G173" s="21">
        <f t="shared" si="35"/>
        <v>0</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0</v>
      </c>
      <c r="F174" s="633"/>
      <c r="G174" s="21">
        <f t="shared" si="35"/>
        <v>0</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0</v>
      </c>
      <c r="F175" s="633"/>
      <c r="G175" s="21">
        <f t="shared" si="35"/>
        <v>0</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0</v>
      </c>
      <c r="F176" s="633"/>
      <c r="G176" s="21">
        <f t="shared" si="35"/>
        <v>0</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0</v>
      </c>
      <c r="F177" s="633"/>
      <c r="G177" s="21">
        <f t="shared" si="35"/>
        <v>0</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0</v>
      </c>
      <c r="F178" s="633"/>
      <c r="G178" s="21">
        <f t="shared" si="35"/>
        <v>0</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0</v>
      </c>
      <c r="F179" s="633"/>
      <c r="G179" s="21">
        <f t="shared" si="35"/>
        <v>0</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0</v>
      </c>
      <c r="F180" s="633"/>
      <c r="G180" s="21">
        <f t="shared" si="35"/>
        <v>0</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0</v>
      </c>
      <c r="F181" s="633"/>
      <c r="G181" s="21">
        <f t="shared" si="35"/>
        <v>0</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0</v>
      </c>
      <c r="F182" s="633"/>
      <c r="G182" s="21">
        <f t="shared" si="35"/>
        <v>0</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0</v>
      </c>
      <c r="F183" s="633"/>
      <c r="G183" s="21">
        <f t="shared" si="35"/>
        <v>0</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0</v>
      </c>
      <c r="F184" s="633"/>
      <c r="G184" s="21">
        <f t="shared" si="35"/>
        <v>0</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0</v>
      </c>
      <c r="F185" s="633"/>
      <c r="G185" s="21">
        <f t="shared" si="35"/>
        <v>0</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0</v>
      </c>
      <c r="F186" s="633"/>
      <c r="G186" s="21">
        <f t="shared" si="35"/>
        <v>0</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0</v>
      </c>
      <c r="F187" s="633"/>
      <c r="G187" s="21">
        <f t="shared" si="35"/>
        <v>0</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0</v>
      </c>
      <c r="F188" s="633"/>
      <c r="G188" s="21">
        <f t="shared" si="35"/>
        <v>0</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0</v>
      </c>
      <c r="F189" s="633"/>
      <c r="G189" s="21">
        <f t="shared" si="35"/>
        <v>0</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0</v>
      </c>
      <c r="F190" s="633"/>
      <c r="G190" s="21">
        <f t="shared" si="35"/>
        <v>0</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0</v>
      </c>
      <c r="F191" s="633"/>
      <c r="G191" s="21">
        <f t="shared" si="35"/>
        <v>0</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0</v>
      </c>
      <c r="F192" s="633"/>
      <c r="G192" s="21">
        <f t="shared" si="35"/>
        <v>0</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0</v>
      </c>
      <c r="F193" s="633"/>
      <c r="G193" s="21">
        <f t="shared" si="35"/>
        <v>0</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0</v>
      </c>
      <c r="F194" s="633"/>
      <c r="G194" s="21">
        <f t="shared" si="35"/>
        <v>0</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0</v>
      </c>
      <c r="F195" s="633"/>
      <c r="G195" s="21">
        <f t="shared" si="35"/>
        <v>0</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0</v>
      </c>
      <c r="F196" s="633"/>
      <c r="G196" s="21">
        <f t="shared" si="35"/>
        <v>0</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0</v>
      </c>
      <c r="F197" s="633"/>
      <c r="G197" s="21">
        <f t="shared" si="35"/>
        <v>0</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0</v>
      </c>
      <c r="F198" s="633"/>
      <c r="G198" s="21">
        <f t="shared" si="35"/>
        <v>0</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0</v>
      </c>
      <c r="F199" s="633"/>
      <c r="G199" s="21">
        <f t="shared" si="35"/>
        <v>0</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0</v>
      </c>
      <c r="F200" s="633"/>
      <c r="G200" s="21">
        <f t="shared" si="35"/>
        <v>0</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0</v>
      </c>
      <c r="F201" s="633"/>
      <c r="G201" s="21">
        <f t="shared" si="35"/>
        <v>0</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0</v>
      </c>
      <c r="F202" s="633"/>
      <c r="G202" s="21">
        <f t="shared" si="35"/>
        <v>0</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0</v>
      </c>
      <c r="F203" s="633"/>
      <c r="G203" s="21">
        <f t="shared" si="35"/>
        <v>0</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0</v>
      </c>
      <c r="F204" s="633"/>
      <c r="G204" s="21">
        <f t="shared" si="35"/>
        <v>0</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0</v>
      </c>
      <c r="F205" s="633"/>
      <c r="G205" s="21">
        <f t="shared" si="35"/>
        <v>0</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0</v>
      </c>
      <c r="F206" s="633"/>
      <c r="G206" s="21">
        <f t="shared" si="35"/>
        <v>0</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0</v>
      </c>
      <c r="F207" s="633"/>
      <c r="G207" s="21">
        <f t="shared" si="35"/>
        <v>0</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0</v>
      </c>
      <c r="F208" s="633"/>
      <c r="G208" s="21">
        <f t="shared" si="35"/>
        <v>0</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0</v>
      </c>
      <c r="F209" s="633"/>
      <c r="G209" s="21">
        <f t="shared" si="35"/>
        <v>0</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0</v>
      </c>
      <c r="F210" s="633"/>
      <c r="G210" s="21">
        <f t="shared" si="35"/>
        <v>0</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0</v>
      </c>
      <c r="F211" s="633"/>
      <c r="G211" s="21">
        <f t="shared" si="35"/>
        <v>0</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0</v>
      </c>
      <c r="F212" s="633"/>
      <c r="G212" s="21">
        <f t="shared" si="35"/>
        <v>0</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0</v>
      </c>
      <c r="F213" s="633"/>
      <c r="G213" s="21">
        <f t="shared" si="35"/>
        <v>0</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0</v>
      </c>
      <c r="F214" s="633"/>
      <c r="G214" s="21">
        <f t="shared" si="35"/>
        <v>0</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0</v>
      </c>
      <c r="F215" s="633"/>
      <c r="G215" s="21">
        <f t="shared" si="35"/>
        <v>0</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0</v>
      </c>
      <c r="F216" s="633"/>
      <c r="G216" s="21">
        <f t="shared" si="35"/>
        <v>0</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0</v>
      </c>
      <c r="F217" s="633"/>
      <c r="G217" s="21">
        <f t="shared" si="35"/>
        <v>0</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0</v>
      </c>
      <c r="F218" s="633"/>
      <c r="G218" s="21">
        <f t="shared" ref="G218:G281" si="45">(SUMIF($7:$7,F218,$8:$8)-SUMIF($7:$7,$F$24,$8:$8)+100)/100</f>
        <v>0</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0</v>
      </c>
      <c r="F219" s="633"/>
      <c r="G219" s="21">
        <f t="shared" si="45"/>
        <v>0</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0</v>
      </c>
      <c r="F220" s="633"/>
      <c r="G220" s="21">
        <f t="shared" si="45"/>
        <v>0</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0</v>
      </c>
      <c r="F221" s="633"/>
      <c r="G221" s="21">
        <f t="shared" si="45"/>
        <v>0</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0</v>
      </c>
      <c r="F222" s="633"/>
      <c r="G222" s="21">
        <f t="shared" si="45"/>
        <v>0</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0</v>
      </c>
      <c r="F223" s="633"/>
      <c r="G223" s="21">
        <f t="shared" si="45"/>
        <v>0</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0</v>
      </c>
      <c r="F224" s="633"/>
      <c r="G224" s="21">
        <f t="shared" si="45"/>
        <v>0</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0</v>
      </c>
      <c r="F225" s="633"/>
      <c r="G225" s="21">
        <f t="shared" si="45"/>
        <v>0</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0</v>
      </c>
      <c r="F226" s="633"/>
      <c r="G226" s="21">
        <f t="shared" si="45"/>
        <v>0</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0</v>
      </c>
      <c r="F227" s="633"/>
      <c r="G227" s="21">
        <f t="shared" si="45"/>
        <v>0</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0</v>
      </c>
      <c r="F228" s="633"/>
      <c r="G228" s="21">
        <f t="shared" si="45"/>
        <v>0</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0</v>
      </c>
      <c r="F229" s="633"/>
      <c r="G229" s="21">
        <f t="shared" si="45"/>
        <v>0</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0</v>
      </c>
      <c r="F230" s="633"/>
      <c r="G230" s="21">
        <f t="shared" si="45"/>
        <v>0</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0</v>
      </c>
      <c r="F231" s="633"/>
      <c r="G231" s="21">
        <f t="shared" si="45"/>
        <v>0</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0</v>
      </c>
      <c r="F232" s="633"/>
      <c r="G232" s="21">
        <f t="shared" si="45"/>
        <v>0</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0</v>
      </c>
      <c r="F233" s="633"/>
      <c r="G233" s="21">
        <f t="shared" si="45"/>
        <v>0</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0</v>
      </c>
      <c r="F234" s="633"/>
      <c r="G234" s="21">
        <f t="shared" si="45"/>
        <v>0</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0</v>
      </c>
      <c r="F235" s="633"/>
      <c r="G235" s="21">
        <f t="shared" si="45"/>
        <v>0</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0</v>
      </c>
      <c r="F236" s="633"/>
      <c r="G236" s="21">
        <f t="shared" si="45"/>
        <v>0</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0</v>
      </c>
      <c r="F237" s="633"/>
      <c r="G237" s="21">
        <f t="shared" si="45"/>
        <v>0</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0</v>
      </c>
      <c r="F238" s="633"/>
      <c r="G238" s="21">
        <f t="shared" si="45"/>
        <v>0</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0</v>
      </c>
      <c r="F239" s="633"/>
      <c r="G239" s="21">
        <f t="shared" si="45"/>
        <v>0</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0</v>
      </c>
      <c r="F240" s="633"/>
      <c r="G240" s="21">
        <f t="shared" si="45"/>
        <v>0</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0</v>
      </c>
      <c r="F241" s="633"/>
      <c r="G241" s="21">
        <f t="shared" si="45"/>
        <v>0</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0</v>
      </c>
      <c r="F242" s="633"/>
      <c r="G242" s="21">
        <f t="shared" si="45"/>
        <v>0</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0</v>
      </c>
      <c r="F243" s="633"/>
      <c r="G243" s="21">
        <f t="shared" si="45"/>
        <v>0</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0</v>
      </c>
      <c r="F244" s="633"/>
      <c r="G244" s="21">
        <f t="shared" si="45"/>
        <v>0</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0</v>
      </c>
      <c r="F245" s="633"/>
      <c r="G245" s="21">
        <f t="shared" si="45"/>
        <v>0</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0</v>
      </c>
      <c r="F246" s="633"/>
      <c r="G246" s="21">
        <f t="shared" si="45"/>
        <v>0</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0</v>
      </c>
      <c r="F247" s="633"/>
      <c r="G247" s="21">
        <f t="shared" si="45"/>
        <v>0</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0</v>
      </c>
      <c r="F248" s="633"/>
      <c r="G248" s="21">
        <f t="shared" si="45"/>
        <v>0</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0</v>
      </c>
      <c r="F249" s="633"/>
      <c r="G249" s="21">
        <f t="shared" si="45"/>
        <v>0</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0</v>
      </c>
      <c r="F250" s="633"/>
      <c r="G250" s="21">
        <f t="shared" si="45"/>
        <v>0</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0</v>
      </c>
      <c r="F251" s="633"/>
      <c r="G251" s="21">
        <f t="shared" si="45"/>
        <v>0</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0</v>
      </c>
      <c r="F252" s="633"/>
      <c r="G252" s="21">
        <f t="shared" si="45"/>
        <v>0</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0</v>
      </c>
      <c r="F253" s="633"/>
      <c r="G253" s="21">
        <f t="shared" si="45"/>
        <v>0</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0</v>
      </c>
      <c r="F254" s="633"/>
      <c r="G254" s="21">
        <f t="shared" si="45"/>
        <v>0</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0</v>
      </c>
      <c r="F255" s="633"/>
      <c r="G255" s="21">
        <f t="shared" si="45"/>
        <v>0</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0</v>
      </c>
      <c r="F256" s="633"/>
      <c r="G256" s="21">
        <f t="shared" si="45"/>
        <v>0</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0</v>
      </c>
      <c r="F257" s="633"/>
      <c r="G257" s="21">
        <f t="shared" si="45"/>
        <v>0</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0</v>
      </c>
      <c r="F258" s="633"/>
      <c r="G258" s="21">
        <f t="shared" si="45"/>
        <v>0</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0</v>
      </c>
      <c r="F259" s="633"/>
      <c r="G259" s="21">
        <f t="shared" si="45"/>
        <v>0</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0</v>
      </c>
      <c r="F260" s="633"/>
      <c r="G260" s="21">
        <f t="shared" si="45"/>
        <v>0</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0</v>
      </c>
      <c r="F261" s="633"/>
      <c r="G261" s="21">
        <f t="shared" si="45"/>
        <v>0</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0</v>
      </c>
      <c r="F262" s="633"/>
      <c r="G262" s="21">
        <f t="shared" si="45"/>
        <v>0</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0</v>
      </c>
      <c r="F263" s="633"/>
      <c r="G263" s="21">
        <f t="shared" si="45"/>
        <v>0</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0</v>
      </c>
      <c r="F264" s="633"/>
      <c r="G264" s="21">
        <f t="shared" si="45"/>
        <v>0</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0</v>
      </c>
      <c r="F265" s="633"/>
      <c r="G265" s="21">
        <f t="shared" si="45"/>
        <v>0</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0</v>
      </c>
      <c r="F266" s="633"/>
      <c r="G266" s="21">
        <f t="shared" si="45"/>
        <v>0</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0</v>
      </c>
      <c r="F267" s="633"/>
      <c r="G267" s="21">
        <f t="shared" si="45"/>
        <v>0</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0</v>
      </c>
      <c r="F268" s="633"/>
      <c r="G268" s="21">
        <f t="shared" si="45"/>
        <v>0</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0</v>
      </c>
      <c r="F269" s="633"/>
      <c r="G269" s="21">
        <f t="shared" si="45"/>
        <v>0</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0</v>
      </c>
      <c r="F270" s="633"/>
      <c r="G270" s="21">
        <f t="shared" si="45"/>
        <v>0</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0</v>
      </c>
      <c r="F271" s="633"/>
      <c r="G271" s="21">
        <f t="shared" si="45"/>
        <v>0</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0</v>
      </c>
      <c r="F272" s="633"/>
      <c r="G272" s="21">
        <f t="shared" si="45"/>
        <v>0</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0</v>
      </c>
      <c r="F273" s="633"/>
      <c r="G273" s="21">
        <f t="shared" si="45"/>
        <v>0</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0</v>
      </c>
      <c r="F274" s="633"/>
      <c r="G274" s="21">
        <f t="shared" si="45"/>
        <v>0</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0</v>
      </c>
      <c r="F275" s="633"/>
      <c r="G275" s="21">
        <f t="shared" si="45"/>
        <v>0</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0</v>
      </c>
      <c r="F276" s="633"/>
      <c r="G276" s="21">
        <f t="shared" si="45"/>
        <v>0</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0</v>
      </c>
      <c r="F277" s="633"/>
      <c r="G277" s="21">
        <f t="shared" si="45"/>
        <v>0</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0</v>
      </c>
      <c r="F278" s="633"/>
      <c r="G278" s="21">
        <f t="shared" si="45"/>
        <v>0</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0</v>
      </c>
      <c r="F279" s="633"/>
      <c r="G279" s="21">
        <f t="shared" si="45"/>
        <v>0</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0</v>
      </c>
      <c r="F280" s="633"/>
      <c r="G280" s="21">
        <f t="shared" si="45"/>
        <v>0</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0</v>
      </c>
      <c r="F281" s="633"/>
      <c r="G281" s="21">
        <f t="shared" si="45"/>
        <v>0</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0</v>
      </c>
      <c r="F282" s="633"/>
      <c r="G282" s="21">
        <f t="shared" ref="G282:G345" si="55">(SUMIF($7:$7,F282,$8:$8)-SUMIF($7:$7,$F$24,$8:$8)+100)/100</f>
        <v>0</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0</v>
      </c>
      <c r="F283" s="633"/>
      <c r="G283" s="21">
        <f t="shared" si="55"/>
        <v>0</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0</v>
      </c>
      <c r="F284" s="633"/>
      <c r="G284" s="21">
        <f t="shared" si="55"/>
        <v>0</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0</v>
      </c>
      <c r="F285" s="633"/>
      <c r="G285" s="21">
        <f t="shared" si="55"/>
        <v>0</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0</v>
      </c>
      <c r="F286" s="633"/>
      <c r="G286" s="21">
        <f t="shared" si="55"/>
        <v>0</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0</v>
      </c>
      <c r="F287" s="633"/>
      <c r="G287" s="21">
        <f t="shared" si="55"/>
        <v>0</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0</v>
      </c>
      <c r="F288" s="633"/>
      <c r="G288" s="21">
        <f t="shared" si="55"/>
        <v>0</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0</v>
      </c>
      <c r="F289" s="633"/>
      <c r="G289" s="21">
        <f t="shared" si="55"/>
        <v>0</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0</v>
      </c>
      <c r="F290" s="633"/>
      <c r="G290" s="21">
        <f t="shared" si="55"/>
        <v>0</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0</v>
      </c>
      <c r="F291" s="633"/>
      <c r="G291" s="21">
        <f t="shared" si="55"/>
        <v>0</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0</v>
      </c>
      <c r="F292" s="633"/>
      <c r="G292" s="21">
        <f t="shared" si="55"/>
        <v>0</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0</v>
      </c>
      <c r="F293" s="633"/>
      <c r="G293" s="21">
        <f t="shared" si="55"/>
        <v>0</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0</v>
      </c>
      <c r="F294" s="633"/>
      <c r="G294" s="21">
        <f t="shared" si="55"/>
        <v>0</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0</v>
      </c>
      <c r="F295" s="633"/>
      <c r="G295" s="21">
        <f t="shared" si="55"/>
        <v>0</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0</v>
      </c>
      <c r="F296" s="633"/>
      <c r="G296" s="21">
        <f t="shared" si="55"/>
        <v>0</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0</v>
      </c>
      <c r="F297" s="633"/>
      <c r="G297" s="21">
        <f t="shared" si="55"/>
        <v>0</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0</v>
      </c>
      <c r="F298" s="633"/>
      <c r="G298" s="21">
        <f t="shared" si="55"/>
        <v>0</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0</v>
      </c>
      <c r="F299" s="633"/>
      <c r="G299" s="21">
        <f t="shared" si="55"/>
        <v>0</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0</v>
      </c>
      <c r="F300" s="633"/>
      <c r="G300" s="21">
        <f t="shared" si="55"/>
        <v>0</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0</v>
      </c>
      <c r="F301" s="633"/>
      <c r="G301" s="21">
        <f t="shared" si="55"/>
        <v>0</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0</v>
      </c>
      <c r="F302" s="633"/>
      <c r="G302" s="21">
        <f t="shared" si="55"/>
        <v>0</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0</v>
      </c>
      <c r="F303" s="633"/>
      <c r="G303" s="21">
        <f t="shared" si="55"/>
        <v>0</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0</v>
      </c>
      <c r="F304" s="633"/>
      <c r="G304" s="21">
        <f t="shared" si="55"/>
        <v>0</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0</v>
      </c>
      <c r="F305" s="633"/>
      <c r="G305" s="21">
        <f t="shared" si="55"/>
        <v>0</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0</v>
      </c>
      <c r="F306" s="633"/>
      <c r="G306" s="21">
        <f t="shared" si="55"/>
        <v>0</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0</v>
      </c>
      <c r="F307" s="633"/>
      <c r="G307" s="21">
        <f t="shared" si="55"/>
        <v>0</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0</v>
      </c>
      <c r="F308" s="633"/>
      <c r="G308" s="21">
        <f t="shared" si="55"/>
        <v>0</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0</v>
      </c>
      <c r="F309" s="633"/>
      <c r="G309" s="21">
        <f t="shared" si="55"/>
        <v>0</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0</v>
      </c>
      <c r="F310" s="633"/>
      <c r="G310" s="21">
        <f t="shared" si="55"/>
        <v>0</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0</v>
      </c>
      <c r="F311" s="633"/>
      <c r="G311" s="21">
        <f t="shared" si="55"/>
        <v>0</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0</v>
      </c>
      <c r="F312" s="633"/>
      <c r="G312" s="21">
        <f t="shared" si="55"/>
        <v>0</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0</v>
      </c>
      <c r="F313" s="633"/>
      <c r="G313" s="21">
        <f t="shared" si="55"/>
        <v>0</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0</v>
      </c>
      <c r="F314" s="633"/>
      <c r="G314" s="21">
        <f t="shared" si="55"/>
        <v>0</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0</v>
      </c>
      <c r="F315" s="633"/>
      <c r="G315" s="21">
        <f t="shared" si="55"/>
        <v>0</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0</v>
      </c>
      <c r="F316" s="633"/>
      <c r="G316" s="21">
        <f t="shared" si="55"/>
        <v>0</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0</v>
      </c>
      <c r="F317" s="633"/>
      <c r="G317" s="21">
        <f t="shared" si="55"/>
        <v>0</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0</v>
      </c>
      <c r="F318" s="633"/>
      <c r="G318" s="21">
        <f t="shared" si="55"/>
        <v>0</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0</v>
      </c>
      <c r="F319" s="633"/>
      <c r="G319" s="21">
        <f t="shared" si="55"/>
        <v>0</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0</v>
      </c>
      <c r="F320" s="633"/>
      <c r="G320" s="21">
        <f t="shared" si="55"/>
        <v>0</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0</v>
      </c>
      <c r="F321" s="633"/>
      <c r="G321" s="21">
        <f t="shared" si="55"/>
        <v>0</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0</v>
      </c>
      <c r="F322" s="633"/>
      <c r="G322" s="21">
        <f t="shared" si="55"/>
        <v>0</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0</v>
      </c>
      <c r="F323" s="633"/>
      <c r="G323" s="21">
        <f t="shared" si="55"/>
        <v>0</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0</v>
      </c>
      <c r="F324" s="633"/>
      <c r="G324" s="21">
        <f t="shared" si="55"/>
        <v>0</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0</v>
      </c>
      <c r="F325" s="633"/>
      <c r="G325" s="21">
        <f t="shared" si="55"/>
        <v>0</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0</v>
      </c>
      <c r="F326" s="633"/>
      <c r="G326" s="21">
        <f t="shared" si="55"/>
        <v>0</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0</v>
      </c>
      <c r="F327" s="633"/>
      <c r="G327" s="21">
        <f t="shared" si="55"/>
        <v>0</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0</v>
      </c>
      <c r="F328" s="633"/>
      <c r="G328" s="21">
        <f t="shared" si="55"/>
        <v>0</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0</v>
      </c>
      <c r="F329" s="633"/>
      <c r="G329" s="21">
        <f t="shared" si="55"/>
        <v>0</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0</v>
      </c>
      <c r="F330" s="633"/>
      <c r="G330" s="21">
        <f t="shared" si="55"/>
        <v>0</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0</v>
      </c>
      <c r="F331" s="633"/>
      <c r="G331" s="21">
        <f t="shared" si="55"/>
        <v>0</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0</v>
      </c>
      <c r="F332" s="633"/>
      <c r="G332" s="21">
        <f t="shared" si="55"/>
        <v>0</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0</v>
      </c>
      <c r="F333" s="633"/>
      <c r="G333" s="21">
        <f t="shared" si="55"/>
        <v>0</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0</v>
      </c>
      <c r="F334" s="633"/>
      <c r="G334" s="21">
        <f t="shared" si="55"/>
        <v>0</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0</v>
      </c>
      <c r="F335" s="633"/>
      <c r="G335" s="21">
        <f t="shared" si="55"/>
        <v>0</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0</v>
      </c>
      <c r="F336" s="633"/>
      <c r="G336" s="21">
        <f t="shared" si="55"/>
        <v>0</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0</v>
      </c>
      <c r="F337" s="633"/>
      <c r="G337" s="21">
        <f t="shared" si="55"/>
        <v>0</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0</v>
      </c>
      <c r="F338" s="633"/>
      <c r="G338" s="21">
        <f t="shared" si="55"/>
        <v>0</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0</v>
      </c>
      <c r="F339" s="633"/>
      <c r="G339" s="21">
        <f t="shared" si="55"/>
        <v>0</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0</v>
      </c>
      <c r="F340" s="633"/>
      <c r="G340" s="21">
        <f t="shared" si="55"/>
        <v>0</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0</v>
      </c>
      <c r="F341" s="633"/>
      <c r="G341" s="21">
        <f t="shared" si="55"/>
        <v>0</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0</v>
      </c>
      <c r="F342" s="633"/>
      <c r="G342" s="21">
        <f t="shared" si="55"/>
        <v>0</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0</v>
      </c>
      <c r="F343" s="633"/>
      <c r="G343" s="21">
        <f t="shared" si="55"/>
        <v>0</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0</v>
      </c>
      <c r="F344" s="633"/>
      <c r="G344" s="21">
        <f t="shared" si="55"/>
        <v>0</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0</v>
      </c>
      <c r="F345" s="633"/>
      <c r="G345" s="21">
        <f t="shared" si="55"/>
        <v>0</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0</v>
      </c>
      <c r="F346" s="633"/>
      <c r="G346" s="21">
        <f t="shared" ref="G346:G409" si="66">(SUMIF($7:$7,F346,$8:$8)-SUMIF($7:$7,$F$24,$8:$8)+100)/100</f>
        <v>0</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0</v>
      </c>
      <c r="F347" s="633"/>
      <c r="G347" s="21">
        <f t="shared" si="66"/>
        <v>0</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0</v>
      </c>
      <c r="F348" s="633"/>
      <c r="G348" s="21">
        <f t="shared" si="66"/>
        <v>0</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0</v>
      </c>
      <c r="F349" s="633"/>
      <c r="G349" s="21">
        <f t="shared" si="66"/>
        <v>0</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0</v>
      </c>
      <c r="F350" s="633"/>
      <c r="G350" s="21">
        <f t="shared" si="66"/>
        <v>0</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0</v>
      </c>
      <c r="F351" s="633"/>
      <c r="G351" s="21">
        <f t="shared" si="66"/>
        <v>0</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0</v>
      </c>
      <c r="F352" s="633"/>
      <c r="G352" s="21">
        <f t="shared" si="66"/>
        <v>0</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0</v>
      </c>
      <c r="F353" s="633"/>
      <c r="G353" s="21">
        <f t="shared" si="66"/>
        <v>0</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0</v>
      </c>
      <c r="F354" s="633"/>
      <c r="G354" s="21">
        <f t="shared" si="66"/>
        <v>0</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0</v>
      </c>
      <c r="F355" s="633"/>
      <c r="G355" s="21">
        <f t="shared" si="66"/>
        <v>0</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0</v>
      </c>
      <c r="F356" s="633"/>
      <c r="G356" s="21">
        <f t="shared" si="66"/>
        <v>0</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0</v>
      </c>
      <c r="F357" s="633"/>
      <c r="G357" s="21">
        <f t="shared" si="66"/>
        <v>0</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0</v>
      </c>
      <c r="F358" s="633"/>
      <c r="G358" s="21">
        <f t="shared" si="66"/>
        <v>0</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0</v>
      </c>
      <c r="F359" s="633"/>
      <c r="G359" s="21">
        <f t="shared" si="66"/>
        <v>0</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0</v>
      </c>
      <c r="F360" s="633"/>
      <c r="G360" s="21">
        <f t="shared" si="66"/>
        <v>0</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0</v>
      </c>
      <c r="F361" s="633"/>
      <c r="G361" s="21">
        <f t="shared" si="66"/>
        <v>0</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0</v>
      </c>
      <c r="F362" s="633"/>
      <c r="G362" s="21">
        <f t="shared" si="66"/>
        <v>0</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0</v>
      </c>
      <c r="F363" s="633"/>
      <c r="G363" s="21">
        <f t="shared" si="66"/>
        <v>0</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0</v>
      </c>
      <c r="F364" s="633"/>
      <c r="G364" s="21">
        <f t="shared" si="66"/>
        <v>0</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0</v>
      </c>
      <c r="F365" s="633"/>
      <c r="G365" s="21">
        <f t="shared" si="66"/>
        <v>0</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0</v>
      </c>
      <c r="F366" s="633"/>
      <c r="G366" s="21">
        <f t="shared" si="66"/>
        <v>0</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0</v>
      </c>
      <c r="F367" s="633"/>
      <c r="G367" s="21">
        <f t="shared" si="66"/>
        <v>0</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0</v>
      </c>
      <c r="F368" s="633"/>
      <c r="G368" s="21">
        <f t="shared" si="66"/>
        <v>0</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0</v>
      </c>
      <c r="F369" s="633"/>
      <c r="G369" s="21">
        <f t="shared" si="66"/>
        <v>0</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0</v>
      </c>
      <c r="F370" s="633"/>
      <c r="G370" s="21">
        <f t="shared" si="66"/>
        <v>0</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0</v>
      </c>
      <c r="F371" s="633"/>
      <c r="G371" s="21">
        <f t="shared" si="66"/>
        <v>0</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0</v>
      </c>
      <c r="F372" s="633"/>
      <c r="G372" s="21">
        <f t="shared" si="66"/>
        <v>0</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0</v>
      </c>
      <c r="F373" s="633"/>
      <c r="G373" s="21">
        <f t="shared" si="66"/>
        <v>0</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0</v>
      </c>
      <c r="F374" s="633"/>
      <c r="G374" s="21">
        <f t="shared" si="66"/>
        <v>0</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0</v>
      </c>
      <c r="F375" s="633"/>
      <c r="G375" s="21">
        <f t="shared" si="66"/>
        <v>0</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0</v>
      </c>
      <c r="F376" s="633"/>
      <c r="G376" s="21">
        <f t="shared" si="66"/>
        <v>0</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0</v>
      </c>
      <c r="F377" s="633"/>
      <c r="G377" s="21">
        <f t="shared" si="66"/>
        <v>0</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0</v>
      </c>
      <c r="F378" s="633"/>
      <c r="G378" s="21">
        <f t="shared" si="66"/>
        <v>0</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0</v>
      </c>
      <c r="F379" s="633"/>
      <c r="G379" s="21">
        <f t="shared" si="66"/>
        <v>0</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0</v>
      </c>
      <c r="F380" s="633"/>
      <c r="G380" s="21">
        <f t="shared" si="66"/>
        <v>0</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0</v>
      </c>
      <c r="F381" s="633"/>
      <c r="G381" s="21">
        <f t="shared" si="66"/>
        <v>0</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0</v>
      </c>
      <c r="F382" s="633"/>
      <c r="G382" s="21">
        <f t="shared" si="66"/>
        <v>0</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0</v>
      </c>
      <c r="F383" s="633"/>
      <c r="G383" s="21">
        <f t="shared" si="66"/>
        <v>0</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0</v>
      </c>
      <c r="F384" s="633"/>
      <c r="G384" s="21">
        <f t="shared" si="66"/>
        <v>0</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0</v>
      </c>
      <c r="F385" s="633"/>
      <c r="G385" s="21">
        <f t="shared" si="66"/>
        <v>0</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0</v>
      </c>
      <c r="F386" s="633"/>
      <c r="G386" s="21">
        <f t="shared" si="66"/>
        <v>0</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0</v>
      </c>
      <c r="F387" s="633"/>
      <c r="G387" s="21">
        <f t="shared" si="66"/>
        <v>0</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0</v>
      </c>
      <c r="F388" s="633"/>
      <c r="G388" s="21">
        <f t="shared" si="66"/>
        <v>0</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0</v>
      </c>
      <c r="F389" s="633"/>
      <c r="G389" s="21">
        <f t="shared" si="66"/>
        <v>0</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0</v>
      </c>
      <c r="F390" s="633"/>
      <c r="G390" s="21">
        <f t="shared" si="66"/>
        <v>0</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0</v>
      </c>
      <c r="F391" s="633"/>
      <c r="G391" s="21">
        <f t="shared" si="66"/>
        <v>0</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0</v>
      </c>
      <c r="F392" s="633"/>
      <c r="G392" s="21">
        <f t="shared" si="66"/>
        <v>0</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0</v>
      </c>
      <c r="F393" s="633"/>
      <c r="G393" s="21">
        <f t="shared" si="66"/>
        <v>0</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0</v>
      </c>
      <c r="F394" s="633"/>
      <c r="G394" s="21">
        <f t="shared" si="66"/>
        <v>0</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0</v>
      </c>
      <c r="F395" s="633"/>
      <c r="G395" s="21">
        <f t="shared" si="66"/>
        <v>0</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0</v>
      </c>
      <c r="F396" s="633"/>
      <c r="G396" s="21">
        <f t="shared" si="66"/>
        <v>0</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0</v>
      </c>
      <c r="F397" s="633"/>
      <c r="G397" s="21">
        <f t="shared" si="66"/>
        <v>0</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0</v>
      </c>
      <c r="F398" s="633"/>
      <c r="G398" s="21">
        <f t="shared" si="66"/>
        <v>0</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0</v>
      </c>
      <c r="F399" s="633"/>
      <c r="G399" s="21">
        <f t="shared" si="66"/>
        <v>0</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0</v>
      </c>
      <c r="F400" s="633"/>
      <c r="G400" s="21">
        <f t="shared" si="66"/>
        <v>0</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0</v>
      </c>
      <c r="F401" s="633"/>
      <c r="G401" s="21">
        <f t="shared" si="66"/>
        <v>0</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0</v>
      </c>
      <c r="F402" s="633"/>
      <c r="G402" s="21">
        <f t="shared" si="66"/>
        <v>0</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0</v>
      </c>
      <c r="F403" s="633"/>
      <c r="G403" s="21">
        <f t="shared" si="66"/>
        <v>0</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0</v>
      </c>
      <c r="F404" s="633"/>
      <c r="G404" s="21">
        <f t="shared" si="66"/>
        <v>0</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0</v>
      </c>
      <c r="F405" s="633"/>
      <c r="G405" s="21">
        <f t="shared" si="66"/>
        <v>0</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0</v>
      </c>
      <c r="F406" s="633"/>
      <c r="G406" s="21">
        <f t="shared" si="66"/>
        <v>0</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0</v>
      </c>
      <c r="F407" s="633"/>
      <c r="G407" s="21">
        <f t="shared" si="66"/>
        <v>0</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0</v>
      </c>
      <c r="F408" s="633"/>
      <c r="G408" s="21">
        <f t="shared" si="66"/>
        <v>0</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0</v>
      </c>
      <c r="F409" s="633"/>
      <c r="G409" s="21">
        <f t="shared" si="66"/>
        <v>0</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0</v>
      </c>
      <c r="F410" s="633"/>
      <c r="G410" s="21">
        <f t="shared" ref="G410:G473" si="76">(SUMIF($7:$7,F410,$8:$8)-SUMIF($7:$7,$F$24,$8:$8)+100)/100</f>
        <v>0</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0</v>
      </c>
      <c r="F411" s="633"/>
      <c r="G411" s="21">
        <f t="shared" si="76"/>
        <v>0</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0</v>
      </c>
      <c r="F412" s="633"/>
      <c r="G412" s="21">
        <f t="shared" si="76"/>
        <v>0</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0</v>
      </c>
      <c r="F413" s="633"/>
      <c r="G413" s="21">
        <f t="shared" si="76"/>
        <v>0</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0</v>
      </c>
      <c r="F414" s="633"/>
      <c r="G414" s="21">
        <f t="shared" si="76"/>
        <v>0</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0</v>
      </c>
      <c r="F415" s="633"/>
      <c r="G415" s="21">
        <f t="shared" si="76"/>
        <v>0</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0</v>
      </c>
      <c r="F416" s="633"/>
      <c r="G416" s="21">
        <f t="shared" si="76"/>
        <v>0</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0</v>
      </c>
      <c r="F417" s="633"/>
      <c r="G417" s="21">
        <f t="shared" si="76"/>
        <v>0</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0</v>
      </c>
      <c r="F418" s="633"/>
      <c r="G418" s="21">
        <f t="shared" si="76"/>
        <v>0</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0</v>
      </c>
      <c r="F419" s="633"/>
      <c r="G419" s="21">
        <f t="shared" si="76"/>
        <v>0</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0</v>
      </c>
      <c r="F420" s="633"/>
      <c r="G420" s="21">
        <f t="shared" si="76"/>
        <v>0</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0</v>
      </c>
      <c r="F421" s="633"/>
      <c r="G421" s="21">
        <f t="shared" si="76"/>
        <v>0</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0</v>
      </c>
      <c r="F422" s="633"/>
      <c r="G422" s="21">
        <f t="shared" si="76"/>
        <v>0</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0</v>
      </c>
      <c r="F423" s="633"/>
      <c r="G423" s="21">
        <f t="shared" si="76"/>
        <v>0</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0</v>
      </c>
      <c r="F424" s="633"/>
      <c r="G424" s="21">
        <f t="shared" si="76"/>
        <v>0</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0</v>
      </c>
      <c r="F425" s="633"/>
      <c r="G425" s="21">
        <f t="shared" si="76"/>
        <v>0</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0</v>
      </c>
      <c r="F426" s="633"/>
      <c r="G426" s="21">
        <f t="shared" si="76"/>
        <v>0</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0</v>
      </c>
      <c r="F427" s="633"/>
      <c r="G427" s="21">
        <f t="shared" si="76"/>
        <v>0</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0</v>
      </c>
      <c r="F428" s="633"/>
      <c r="G428" s="21">
        <f t="shared" si="76"/>
        <v>0</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0</v>
      </c>
      <c r="F429" s="633"/>
      <c r="G429" s="21">
        <f t="shared" si="76"/>
        <v>0</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0</v>
      </c>
      <c r="F430" s="633"/>
      <c r="G430" s="21">
        <f t="shared" si="76"/>
        <v>0</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0</v>
      </c>
      <c r="F431" s="633"/>
      <c r="G431" s="21">
        <f t="shared" si="76"/>
        <v>0</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0</v>
      </c>
      <c r="F432" s="633"/>
      <c r="G432" s="21">
        <f t="shared" si="76"/>
        <v>0</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0</v>
      </c>
      <c r="F433" s="633"/>
      <c r="G433" s="21">
        <f t="shared" si="76"/>
        <v>0</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0</v>
      </c>
      <c r="F434" s="633"/>
      <c r="G434" s="21">
        <f t="shared" si="76"/>
        <v>0</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0</v>
      </c>
      <c r="F435" s="633"/>
      <c r="G435" s="21">
        <f t="shared" si="76"/>
        <v>0</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0</v>
      </c>
      <c r="F436" s="633"/>
      <c r="G436" s="21">
        <f t="shared" si="76"/>
        <v>0</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0</v>
      </c>
      <c r="F437" s="633"/>
      <c r="G437" s="21">
        <f t="shared" si="76"/>
        <v>0</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0</v>
      </c>
      <c r="F438" s="633"/>
      <c r="G438" s="21">
        <f t="shared" si="76"/>
        <v>0</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0</v>
      </c>
      <c r="F439" s="633"/>
      <c r="G439" s="21">
        <f t="shared" si="76"/>
        <v>0</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0</v>
      </c>
      <c r="F440" s="633"/>
      <c r="G440" s="21">
        <f t="shared" si="76"/>
        <v>0</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0</v>
      </c>
      <c r="F441" s="633"/>
      <c r="G441" s="21">
        <f t="shared" si="76"/>
        <v>0</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0</v>
      </c>
      <c r="F442" s="633"/>
      <c r="G442" s="21">
        <f t="shared" si="76"/>
        <v>0</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0</v>
      </c>
      <c r="F443" s="633"/>
      <c r="G443" s="21">
        <f t="shared" si="76"/>
        <v>0</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0</v>
      </c>
      <c r="F444" s="633"/>
      <c r="G444" s="21">
        <f t="shared" si="76"/>
        <v>0</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0</v>
      </c>
      <c r="F445" s="633"/>
      <c r="G445" s="21">
        <f t="shared" si="76"/>
        <v>0</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0</v>
      </c>
      <c r="F446" s="633"/>
      <c r="G446" s="21">
        <f t="shared" si="76"/>
        <v>0</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0</v>
      </c>
      <c r="F447" s="633"/>
      <c r="G447" s="21">
        <f t="shared" si="76"/>
        <v>0</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0</v>
      </c>
      <c r="F448" s="633"/>
      <c r="G448" s="21">
        <f t="shared" si="76"/>
        <v>0</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0</v>
      </c>
      <c r="F449" s="633"/>
      <c r="G449" s="21">
        <f t="shared" si="76"/>
        <v>0</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0</v>
      </c>
      <c r="F450" s="633"/>
      <c r="G450" s="21">
        <f t="shared" si="76"/>
        <v>0</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0</v>
      </c>
      <c r="F451" s="633"/>
      <c r="G451" s="21">
        <f t="shared" si="76"/>
        <v>0</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0</v>
      </c>
      <c r="F452" s="633"/>
      <c r="G452" s="21">
        <f t="shared" si="76"/>
        <v>0</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0</v>
      </c>
      <c r="F453" s="633"/>
      <c r="G453" s="21">
        <f t="shared" si="76"/>
        <v>0</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0</v>
      </c>
      <c r="F454" s="633"/>
      <c r="G454" s="21">
        <f t="shared" si="76"/>
        <v>0</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0</v>
      </c>
      <c r="F455" s="633"/>
      <c r="G455" s="21">
        <f t="shared" si="76"/>
        <v>0</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0</v>
      </c>
      <c r="F456" s="633"/>
      <c r="G456" s="21">
        <f t="shared" si="76"/>
        <v>0</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0</v>
      </c>
      <c r="F457" s="633"/>
      <c r="G457" s="21">
        <f t="shared" si="76"/>
        <v>0</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0</v>
      </c>
      <c r="F458" s="633"/>
      <c r="G458" s="21">
        <f t="shared" si="76"/>
        <v>0</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0</v>
      </c>
      <c r="F459" s="633"/>
      <c r="G459" s="21">
        <f t="shared" si="76"/>
        <v>0</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0</v>
      </c>
      <c r="F460" s="633"/>
      <c r="G460" s="21">
        <f t="shared" si="76"/>
        <v>0</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0</v>
      </c>
      <c r="F461" s="633"/>
      <c r="G461" s="21">
        <f t="shared" si="76"/>
        <v>0</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0</v>
      </c>
      <c r="F462" s="633"/>
      <c r="G462" s="21">
        <f t="shared" si="76"/>
        <v>0</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0</v>
      </c>
      <c r="F463" s="633"/>
      <c r="G463" s="21">
        <f t="shared" si="76"/>
        <v>0</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0</v>
      </c>
      <c r="F464" s="633"/>
      <c r="G464" s="21">
        <f t="shared" si="76"/>
        <v>0</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0</v>
      </c>
      <c r="F465" s="633"/>
      <c r="G465" s="21">
        <f t="shared" si="76"/>
        <v>0</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0</v>
      </c>
      <c r="F466" s="633"/>
      <c r="G466" s="21">
        <f t="shared" si="76"/>
        <v>0</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0</v>
      </c>
      <c r="F467" s="633"/>
      <c r="G467" s="21">
        <f t="shared" si="76"/>
        <v>0</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0</v>
      </c>
      <c r="F468" s="633"/>
      <c r="G468" s="21">
        <f t="shared" si="76"/>
        <v>0</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0</v>
      </c>
      <c r="F469" s="633"/>
      <c r="G469" s="21">
        <f t="shared" si="76"/>
        <v>0</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0</v>
      </c>
      <c r="F470" s="633"/>
      <c r="G470" s="21">
        <f t="shared" si="76"/>
        <v>0</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0</v>
      </c>
      <c r="F471" s="633"/>
      <c r="G471" s="21">
        <f t="shared" si="76"/>
        <v>0</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0</v>
      </c>
      <c r="F472" s="633"/>
      <c r="G472" s="21">
        <f t="shared" si="76"/>
        <v>0</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0</v>
      </c>
      <c r="F473" s="633"/>
      <c r="G473" s="21">
        <f t="shared" si="76"/>
        <v>0</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0</v>
      </c>
      <c r="F474" s="633"/>
      <c r="G474" s="21">
        <f t="shared" ref="G474:G524" si="87">(SUMIF($7:$7,F474,$8:$8)-SUMIF($7:$7,$F$24,$8:$8)+100)/100</f>
        <v>0</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0</v>
      </c>
      <c r="F475" s="633"/>
      <c r="G475" s="21">
        <f t="shared" si="87"/>
        <v>0</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0</v>
      </c>
      <c r="F476" s="633"/>
      <c r="G476" s="21">
        <f t="shared" si="87"/>
        <v>0</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0</v>
      </c>
      <c r="F477" s="633"/>
      <c r="G477" s="21">
        <f t="shared" si="87"/>
        <v>0</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0</v>
      </c>
      <c r="F478" s="633"/>
      <c r="G478" s="21">
        <f t="shared" si="87"/>
        <v>0</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0</v>
      </c>
      <c r="F479" s="633"/>
      <c r="G479" s="21">
        <f t="shared" si="87"/>
        <v>0</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0</v>
      </c>
      <c r="F480" s="633"/>
      <c r="G480" s="21">
        <f t="shared" si="87"/>
        <v>0</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0</v>
      </c>
      <c r="F481" s="633"/>
      <c r="G481" s="21">
        <f t="shared" si="87"/>
        <v>0</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0</v>
      </c>
      <c r="F482" s="633"/>
      <c r="G482" s="21">
        <f t="shared" si="87"/>
        <v>0</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0</v>
      </c>
      <c r="F483" s="633"/>
      <c r="G483" s="21">
        <f t="shared" si="87"/>
        <v>0</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0</v>
      </c>
      <c r="F484" s="633"/>
      <c r="G484" s="21">
        <f t="shared" si="87"/>
        <v>0</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0</v>
      </c>
      <c r="F485" s="633"/>
      <c r="G485" s="21">
        <f t="shared" si="87"/>
        <v>0</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0</v>
      </c>
      <c r="F486" s="633"/>
      <c r="G486" s="21">
        <f t="shared" si="87"/>
        <v>0</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0</v>
      </c>
      <c r="F487" s="633"/>
      <c r="G487" s="21">
        <f t="shared" si="87"/>
        <v>0</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0</v>
      </c>
      <c r="F488" s="633"/>
      <c r="G488" s="21">
        <f t="shared" si="87"/>
        <v>0</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0</v>
      </c>
      <c r="F489" s="633"/>
      <c r="G489" s="21">
        <f t="shared" si="87"/>
        <v>0</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0</v>
      </c>
      <c r="F490" s="633"/>
      <c r="G490" s="21">
        <f t="shared" si="87"/>
        <v>0</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0</v>
      </c>
      <c r="F491" s="633"/>
      <c r="G491" s="21">
        <f t="shared" si="87"/>
        <v>0</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0</v>
      </c>
      <c r="F492" s="633"/>
      <c r="G492" s="21">
        <f t="shared" si="87"/>
        <v>0</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0</v>
      </c>
      <c r="F493" s="633"/>
      <c r="G493" s="21">
        <f t="shared" si="87"/>
        <v>0</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0</v>
      </c>
      <c r="F494" s="633"/>
      <c r="G494" s="21">
        <f t="shared" si="87"/>
        <v>0</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0</v>
      </c>
      <c r="F495" s="633"/>
      <c r="G495" s="21">
        <f t="shared" si="87"/>
        <v>0</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0</v>
      </c>
      <c r="F496" s="633"/>
      <c r="G496" s="21">
        <f t="shared" si="87"/>
        <v>0</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0</v>
      </c>
      <c r="F497" s="633"/>
      <c r="G497" s="21">
        <f t="shared" si="87"/>
        <v>0</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0</v>
      </c>
      <c r="F498" s="633"/>
      <c r="G498" s="21">
        <f t="shared" si="87"/>
        <v>0</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0</v>
      </c>
      <c r="F499" s="633"/>
      <c r="G499" s="21">
        <f t="shared" si="87"/>
        <v>0</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0</v>
      </c>
      <c r="F500" s="633"/>
      <c r="G500" s="21">
        <f t="shared" si="87"/>
        <v>0</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0</v>
      </c>
      <c r="F501" s="633"/>
      <c r="G501" s="21">
        <f t="shared" si="87"/>
        <v>0</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0</v>
      </c>
      <c r="F502" s="633"/>
      <c r="G502" s="21">
        <f t="shared" si="87"/>
        <v>0</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0</v>
      </c>
      <c r="F503" s="633"/>
      <c r="G503" s="21">
        <f t="shared" si="87"/>
        <v>0</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0</v>
      </c>
      <c r="F504" s="633"/>
      <c r="G504" s="21">
        <f t="shared" si="87"/>
        <v>0</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0</v>
      </c>
      <c r="F505" s="633"/>
      <c r="G505" s="21">
        <f t="shared" si="87"/>
        <v>0</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0</v>
      </c>
      <c r="F506" s="633"/>
      <c r="G506" s="21">
        <f t="shared" si="87"/>
        <v>0</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0</v>
      </c>
      <c r="F507" s="633"/>
      <c r="G507" s="21">
        <f t="shared" si="87"/>
        <v>0</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0</v>
      </c>
      <c r="F508" s="633"/>
      <c r="G508" s="21">
        <f t="shared" si="87"/>
        <v>0</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0</v>
      </c>
      <c r="F509" s="633"/>
      <c r="G509" s="21">
        <f t="shared" si="87"/>
        <v>0</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0</v>
      </c>
      <c r="F510" s="633"/>
      <c r="G510" s="21">
        <f t="shared" si="87"/>
        <v>0</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0</v>
      </c>
      <c r="F511" s="633"/>
      <c r="G511" s="21">
        <f t="shared" si="87"/>
        <v>0</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0</v>
      </c>
      <c r="F512" s="633"/>
      <c r="G512" s="21">
        <f t="shared" si="87"/>
        <v>0</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0</v>
      </c>
      <c r="F513" s="633"/>
      <c r="G513" s="21">
        <f t="shared" si="87"/>
        <v>0</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0</v>
      </c>
      <c r="F514" s="633"/>
      <c r="G514" s="21">
        <f t="shared" si="87"/>
        <v>0</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0</v>
      </c>
      <c r="F515" s="633"/>
      <c r="G515" s="21">
        <f t="shared" si="87"/>
        <v>0</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0</v>
      </c>
      <c r="F516" s="633"/>
      <c r="G516" s="21">
        <f t="shared" si="87"/>
        <v>0</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0</v>
      </c>
      <c r="F517" s="633"/>
      <c r="G517" s="21">
        <f t="shared" si="87"/>
        <v>0</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0</v>
      </c>
      <c r="F518" s="633"/>
      <c r="G518" s="21">
        <f t="shared" si="87"/>
        <v>0</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0</v>
      </c>
      <c r="F519" s="633"/>
      <c r="G519" s="21">
        <f t="shared" si="87"/>
        <v>0</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0</v>
      </c>
      <c r="F520" s="633"/>
      <c r="G520" s="21">
        <f t="shared" si="87"/>
        <v>0</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0</v>
      </c>
      <c r="F521" s="633"/>
      <c r="G521" s="21">
        <f t="shared" si="87"/>
        <v>0</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0</v>
      </c>
      <c r="F522" s="633"/>
      <c r="G522" s="21">
        <f t="shared" si="87"/>
        <v>0</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0</v>
      </c>
      <c r="F523" s="633"/>
      <c r="G523" s="21">
        <f t="shared" si="87"/>
        <v>0</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0</v>
      </c>
      <c r="F524" s="633"/>
      <c r="G524" s="21">
        <f t="shared" si="87"/>
        <v>0</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85" zoomScaleNormal="80" zoomScaleSheetLayoutView="85" workbookViewId="0">
      <selection activeCell="I24" sqref="I24"/>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1926</v>
      </c>
      <c r="B1" s="187"/>
      <c r="C1" s="191" t="s">
        <v>1927</v>
      </c>
      <c r="D1" s="331">
        <f>SUM(D33:D34,D37:D42)</f>
        <v>21560.34</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f>C30</f>
        <v>15698</v>
      </c>
      <c r="C2" s="1843" t="s">
        <v>1935</v>
      </c>
      <c r="D2" s="160" t="s">
        <v>1936</v>
      </c>
      <c r="E2" s="3118" t="s">
        <v>21</v>
      </c>
      <c r="F2" s="160" t="s">
        <v>1937</v>
      </c>
      <c r="G2" s="161" t="str">
        <f>IF(E2="商业",项目基本情况!B37,IF(E2="办公",项目基本情况!C37,IF(E2="住宅",项目基本情况!D37,IF(E2="工业",项目基本情况!E37,项目基本情况!F37))))</f>
        <v>八级</v>
      </c>
      <c r="H2" s="160" t="s">
        <v>1938</v>
      </c>
      <c r="I2" s="161" t="str">
        <f>IF(E2="商业",项目基本情况!B38,IF(E2="办公",项目基本情况!C38,IF(E2="住宅",项目基本情况!D38,IF(E2="工业",项目基本情况!E38,项目基本情况!F38))))</f>
        <v>Ⅷ-昌4</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1.5418000000000001</v>
      </c>
      <c r="T2" s="3061">
        <f t="shared" ref="T2:T16" si="0">ROUND($C$5*$C$22*$C$23*$C$24*S2*$C$28,0)</f>
        <v>9126</v>
      </c>
      <c r="U2" s="1127"/>
      <c r="V2" s="3061">
        <f>ROUND(T2*U2/10000,0)</f>
        <v>0</v>
      </c>
      <c r="W2" s="1130"/>
      <c r="X2" s="1130"/>
      <c r="Y2" s="1130"/>
      <c r="Z2" s="1130"/>
      <c r="AA2" s="1130"/>
      <c r="AB2" s="1130"/>
      <c r="AC2" s="1131"/>
      <c r="AD2" s="1132"/>
      <c r="AE2" s="1132"/>
      <c r="AF2" s="1132"/>
      <c r="AG2" s="1132"/>
      <c r="AH2" s="1132"/>
      <c r="AI2" s="1132"/>
      <c r="AJ2" s="1133"/>
    </row>
    <row r="3" spans="1:36" ht="15.75">
      <c r="A3" s="193" t="s">
        <v>1940</v>
      </c>
      <c r="B3" s="194">
        <f>ROUND(B2*10000/D1,0)</f>
        <v>7281</v>
      </c>
      <c r="C3" s="1843" t="s">
        <v>1941</v>
      </c>
      <c r="D3" s="160" t="s">
        <v>1942</v>
      </c>
      <c r="E3" s="3116" t="s">
        <v>3397</v>
      </c>
      <c r="F3" s="1845" t="s">
        <v>3491</v>
      </c>
      <c r="G3" s="706">
        <f>IF(F3="宗地容积率",'数据-汇总表'!I4,IF(F3="估价对象容积率",'数据-汇总表'!I6,'数据-汇总表'!I7))</f>
        <v>1</v>
      </c>
      <c r="H3" s="160"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1.1883999999999999</v>
      </c>
      <c r="T3" s="3061">
        <f t="shared" si="0"/>
        <v>7034</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536"/>
      <c r="B4" s="3537"/>
      <c r="C4" s="3537"/>
      <c r="D4" s="3538"/>
      <c r="E4" s="3538"/>
      <c r="F4" s="3538"/>
      <c r="G4" s="3538"/>
      <c r="H4" s="3538"/>
      <c r="I4" s="3538"/>
      <c r="J4" s="3539"/>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0.96940000000000004</v>
      </c>
      <c r="T4" s="3061">
        <f t="shared" si="0"/>
        <v>5738</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6905</v>
      </c>
      <c r="D5" s="1249">
        <f>ROUND(C6*C17+C20,0)</f>
        <v>6905</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0.82299999999999995</v>
      </c>
      <c r="T5" s="3061">
        <f t="shared" si="0"/>
        <v>4871</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6890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0.74980000000000002</v>
      </c>
      <c r="T6" s="3061">
        <f t="shared" si="0"/>
        <v>4438</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3225</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5"/>
      <c r="T7" s="3061">
        <f t="shared" si="0"/>
        <v>0</v>
      </c>
      <c r="U7" s="1127"/>
      <c r="V7" s="3061">
        <f t="shared" si="1"/>
        <v>0</v>
      </c>
      <c r="W7" s="1264" t="s">
        <v>1955</v>
      </c>
      <c r="X7" s="1128" t="str">
        <f>G2</f>
        <v>八级</v>
      </c>
      <c r="Y7" s="1128" t="s">
        <v>1956</v>
      </c>
      <c r="Z7" s="1129">
        <f>G3</f>
        <v>1</v>
      </c>
      <c r="AA7" s="1130"/>
      <c r="AB7" s="1130"/>
      <c r="AC7" s="1131"/>
      <c r="AD7" s="1132"/>
      <c r="AE7" s="1132"/>
      <c r="AF7" s="1132"/>
      <c r="AG7" s="1132"/>
      <c r="AH7" s="1132"/>
      <c r="AI7" s="1132"/>
      <c r="AJ7" s="1133"/>
    </row>
    <row r="8" spans="1:36" ht="25.5">
      <c r="A8" s="3007"/>
      <c r="B8" s="160" t="s">
        <v>1957</v>
      </c>
      <c r="C8" s="1867" t="s">
        <v>3492</v>
      </c>
      <c r="D8" s="710" t="s">
        <v>112</v>
      </c>
      <c r="E8" s="711" t="e">
        <f>ROUND(C11/E7,4)</f>
        <v>#DIV/0!</v>
      </c>
      <c r="F8" s="1868" t="s">
        <v>1958</v>
      </c>
      <c r="G8" s="1869"/>
      <c r="H8" s="1869"/>
      <c r="I8" s="1869"/>
      <c r="J8" s="1870"/>
      <c r="K8" s="1054"/>
      <c r="L8" s="1844" t="s">
        <v>1959</v>
      </c>
      <c r="M8" s="809">
        <f>SUMPRODUCT((区片价!B234:B276=I2)*(区片价!C3:G3=E2)*(区片价!C234:G276))</f>
        <v>6890</v>
      </c>
      <c r="N8" s="811">
        <f>SUMPRODUCT((因素修正幅度!B234:B276=I2)*(因素修正幅度!C3:G3=E2)*(因素修正幅度!C234:G276))</f>
        <v>0.14299999999999999</v>
      </c>
      <c r="O8" s="1054"/>
      <c r="P8" s="1054"/>
      <c r="Q8" s="1054"/>
      <c r="R8" s="1126">
        <v>7</v>
      </c>
      <c r="S8" s="1127"/>
      <c r="T8" s="3061">
        <f t="shared" si="0"/>
        <v>0</v>
      </c>
      <c r="U8" s="1127"/>
      <c r="V8" s="3061">
        <f t="shared" si="1"/>
        <v>0</v>
      </c>
      <c r="W8" s="3533" t="s">
        <v>1960</v>
      </c>
      <c r="X8" s="3534"/>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0" t="s">
        <v>1973</v>
      </c>
      <c r="C9" s="712">
        <f>SUMIF(修正!C73:C140,C8,修正!E73:E140)</f>
        <v>0</v>
      </c>
      <c r="D9" s="161" t="s">
        <v>113</v>
      </c>
      <c r="E9" s="161"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35"/>
      <c r="X9" s="3062" t="s">
        <v>3254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1976</v>
      </c>
      <c r="C10" s="161">
        <f>SUMIF(修正!C73:C140,C8,修正!F73:F140)</f>
        <v>0</v>
      </c>
      <c r="D10" s="161" t="s">
        <v>114</v>
      </c>
      <c r="E10" s="161"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3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3226</v>
      </c>
      <c r="B12" s="3011" t="s">
        <v>3227</v>
      </c>
      <c r="C12" s="3012">
        <v>1</v>
      </c>
      <c r="D12" s="3013" t="s">
        <v>3228</v>
      </c>
      <c r="E12" s="3014" t="s">
        <v>3229</v>
      </c>
      <c r="F12" s="3015"/>
      <c r="G12" s="3016"/>
      <c r="H12" s="3016"/>
      <c r="I12" s="3016"/>
      <c r="J12" s="3017"/>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3230</v>
      </c>
      <c r="B13" s="1875" t="s">
        <v>1982</v>
      </c>
      <c r="C13" s="709">
        <f>ROUND(C16*D16*E16*F16*G16*H16*I16*J16,4)</f>
        <v>0</v>
      </c>
      <c r="D13" s="1876" t="s">
        <v>1983</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3231</v>
      </c>
      <c r="G14" s="3018" t="s">
        <v>3231</v>
      </c>
      <c r="H14" s="3018" t="s">
        <v>3231</v>
      </c>
      <c r="I14" s="3018" t="s">
        <v>3231</v>
      </c>
      <c r="J14" s="3018" t="s">
        <v>3231</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3232</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3233</v>
      </c>
      <c r="B17" s="3025" t="s">
        <v>3234</v>
      </c>
      <c r="C17" s="3034">
        <f>ROUND(IF(OR(E2="工业",E2="公共服务"),1,IF(AND(E18=0,E19=0),1,IF(AND(E18=J24,E19=G19),0.8,IF(E19=0,1+E17*(-0.2),1+E17*G17*(-0.2))))),4)</f>
        <v>1</v>
      </c>
      <c r="D17" s="3026" t="s">
        <v>3235</v>
      </c>
      <c r="E17" s="3034">
        <f>ROUND(G18/I18,2)</f>
        <v>0</v>
      </c>
      <c r="F17" s="3026" t="s">
        <v>3238</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3236</v>
      </c>
      <c r="E18" s="2354"/>
      <c r="F18" s="3028" t="s">
        <v>3239</v>
      </c>
      <c r="G18" s="3032">
        <f>ROUND(1-(1/(POWER(1+G24,E18))),4)</f>
        <v>0</v>
      </c>
      <c r="H18" s="3028" t="s">
        <v>3241</v>
      </c>
      <c r="I18" s="3032">
        <f>ROUND(1-(1/(POWER(1+G24,J24))),4)</f>
        <v>0.93120000000000003</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3237</v>
      </c>
      <c r="E19" s="3041"/>
      <c r="F19" s="3042" t="s">
        <v>3240</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540" t="s">
        <v>3242</v>
      </c>
      <c r="B20" s="157" t="s">
        <v>1994</v>
      </c>
      <c r="C20" s="3029">
        <f>ROUND(IF(F21="与级别开发程度一致",0,(G21-E21)/C21),0)</f>
        <v>15</v>
      </c>
      <c r="D20" s="3044" t="s">
        <v>1998</v>
      </c>
      <c r="E20" s="3045"/>
      <c r="F20" s="3546" t="s">
        <v>1995</v>
      </c>
      <c r="G20" s="3547"/>
      <c r="H20" s="3030" t="s">
        <v>3494</v>
      </c>
      <c r="I20" s="3030" t="s">
        <v>3495</v>
      </c>
      <c r="J20" s="3031" t="s">
        <v>3496</v>
      </c>
      <c r="K20" s="1886" t="s">
        <v>3497</v>
      </c>
      <c r="L20" s="1886" t="s">
        <v>3498</v>
      </c>
      <c r="M20" s="1886" t="s">
        <v>3499</v>
      </c>
      <c r="N20" s="1886" t="s">
        <v>3500</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6.25" thickBot="1">
      <c r="A21" s="3541"/>
      <c r="B21" s="1999" t="s">
        <v>1997</v>
      </c>
      <c r="C21" s="2000">
        <f>IF(E3="M4科研用地",SUMPRODUCT((修正!A2:A7=E3)*(修正!B1:M1=G2)*(修正!B2:M7)),SUMPRODUCT((修正!A2:A7=E2)*(修正!B1:M1=G2)*(修正!B2:M7)))</f>
        <v>2</v>
      </c>
      <c r="D21" s="177" t="str">
        <f>IF(OR(G2="八级",G2="九级",G2="十级",G2="十一级",G2="十二级"),"五通一平","七通一平")</f>
        <v>五通一平</v>
      </c>
      <c r="E21" s="1990">
        <f>SUMPRODUCT((修正!B1:M1=G2)*(修正!B17:M17))</f>
        <v>185</v>
      </c>
      <c r="F21" s="1991" t="s">
        <v>3493</v>
      </c>
      <c r="G21" s="1992">
        <f>SUM(H21:O21)</f>
        <v>215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30</v>
      </c>
      <c r="N21" s="2000">
        <f>SUMPRODUCT((七通一平=N20)*(修正!B1:M1=G2)*(修正!B8:M16))</f>
        <v>10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2000</v>
      </c>
      <c r="C22" s="1995">
        <f>SUMIF(修正!C20:C53,E3,修正!E20:E53)</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3" t="s">
        <v>2002</v>
      </c>
      <c r="E23" s="715">
        <v>44197</v>
      </c>
      <c r="F23" s="1893" t="s">
        <v>2003</v>
      </c>
      <c r="G23" s="716">
        <f>'数据-取费表'!B2</f>
        <v>45986</v>
      </c>
      <c r="H23" s="3046" t="s">
        <v>3501</v>
      </c>
      <c r="I23" s="3047" t="str">
        <f>IF(H23="季度增幅（自定义）",SUMIF(N25:N28,E2,O25:O28),"")</f>
        <v/>
      </c>
      <c r="J23" s="3139" t="s">
        <v>3502</v>
      </c>
      <c r="K23" s="1059"/>
      <c r="L23" s="1894" t="s">
        <v>2004</v>
      </c>
      <c r="M23" s="1238">
        <f>ROUND(SUMIF(地价!B2:G2,E2,地价!B16:G16),0)</f>
        <v>350</v>
      </c>
      <c r="N23" s="1895" t="s">
        <v>2005</v>
      </c>
      <c r="O23" s="717">
        <f>ROUNDDOWN(DATEDIF(E23,G23,"M")/3,0)</f>
        <v>19</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f>ROUND(POWER(1+G24,J24-I24)*(POWER(1+G24,I24)-1)/(POWER(1+G24,J24)-1),4)</f>
        <v>0.9042</v>
      </c>
      <c r="D24" s="1899" t="s">
        <v>2007</v>
      </c>
      <c r="E24" s="1245">
        <f>存贷款利率!E28/100</f>
        <v>4.3499999999999997E-2</v>
      </c>
      <c r="F24" s="1899" t="s">
        <v>1999</v>
      </c>
      <c r="G24" s="722">
        <f>SUMIF(M30:Q30,E2,M33:Q33)</f>
        <v>5.5E-2</v>
      </c>
      <c r="H24" s="1899" t="s">
        <v>2008</v>
      </c>
      <c r="I24" s="723">
        <f>SUMIF('数据-取费表'!C6:C15,E2,'数据-取费表'!F6:F15)/COUNTIF('数据-取费表'!C6:C15,E2)</f>
        <v>34.46</v>
      </c>
      <c r="J24" s="724">
        <f>IF(E2="住宅",70,IF(E2="商业",40,50))</f>
        <v>50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3321</v>
      </c>
      <c r="C25" s="459">
        <f>IF(B25="容积率修正",IF(G3&lt;10,D26,J26),C27)</f>
        <v>1.2302</v>
      </c>
      <c r="D25" s="1906"/>
      <c r="E25" s="1906"/>
      <c r="F25" s="1906"/>
      <c r="G25" s="1906"/>
      <c r="H25" s="1906"/>
      <c r="I25" s="1906"/>
      <c r="J25" s="1907"/>
      <c r="K25" s="1059"/>
      <c r="L25" s="2550"/>
      <c r="M25" s="2550"/>
      <c r="N25" s="1908"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3243</v>
      </c>
      <c r="D26" s="1260">
        <f>IF(E26=G26,F26,IF(G3&lt;10,ROUND(F26+(H26-F26)*(G3-E26)/(G26-E26),4),"——"))</f>
        <v>1.2302</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09" t="s">
        <v>3244</v>
      </c>
      <c r="J26" s="372" t="str">
        <f>IF(G3&gt;=10,D115,"——")</f>
        <v>——</v>
      </c>
      <c r="K26" s="1059"/>
      <c r="L26" s="2550"/>
      <c r="M26" s="2550"/>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0.96509999999999996</v>
      </c>
      <c r="D28" s="1891"/>
      <c r="E28" s="1916"/>
      <c r="F28" s="1916"/>
      <c r="G28" s="1916"/>
      <c r="H28" s="1916"/>
      <c r="I28" s="1916"/>
      <c r="J28" s="1917"/>
      <c r="K28" s="1059"/>
      <c r="L28" s="2550"/>
      <c r="M28" s="2550"/>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2">
        <f>IF(B25="容积率修正",E33+SUM(E37:E42),SUM(V2:V16)+SUM(E37:E42))</f>
        <v>15698</v>
      </c>
      <c r="D30" s="1922"/>
      <c r="E30" s="1839"/>
      <c r="F30" s="1923"/>
      <c r="G30" s="1839"/>
      <c r="H30" s="1839"/>
      <c r="I30" s="1839"/>
      <c r="J30" s="1924"/>
      <c r="K30" s="1054"/>
      <c r="L30" s="3053" t="s">
        <v>1936</v>
      </c>
      <c r="M30" s="3054" t="s">
        <v>1990</v>
      </c>
      <c r="N30" s="3054" t="s">
        <v>1991</v>
      </c>
      <c r="O30" s="3054" t="s">
        <v>1992</v>
      </c>
      <c r="P30" s="3054" t="s">
        <v>1993</v>
      </c>
      <c r="Q30" s="3057" t="s">
        <v>3248</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f>E34+SUM(I37:I42)</f>
        <v>0</v>
      </c>
      <c r="D31" s="1926"/>
      <c r="E31" s="1927"/>
      <c r="F31" s="1928"/>
      <c r="G31" s="1927"/>
      <c r="H31" s="1927"/>
      <c r="I31" s="1927"/>
      <c r="J31" s="1929"/>
      <c r="K31" s="1054"/>
      <c r="L31" s="3055" t="s">
        <v>1996</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5">
        <f>ROUND(C5*C22*C23*C24*C25*C28,0)</f>
        <v>7281</v>
      </c>
      <c r="D33" s="1937">
        <f>'数据-基础表'!A3</f>
        <v>21560.34</v>
      </c>
      <c r="E33" s="725">
        <f>ROUND(C33*D33/10000,0)</f>
        <v>15698</v>
      </c>
      <c r="F33" s="3048" t="s">
        <v>3246</v>
      </c>
      <c r="G33" s="1938"/>
      <c r="H33" s="1938"/>
      <c r="I33" s="1938"/>
      <c r="J33" s="1939"/>
      <c r="K33" s="1054"/>
      <c r="L33" s="3051" t="s">
        <v>3249</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7">
        <f>ROUND(IF(E2="工业",C33*M42,IF(B25="楼层修正",SUM(V2:V16)*M41*10000/D34,C33*M41)),0)</f>
        <v>1820</v>
      </c>
      <c r="D34" s="1942"/>
      <c r="E34" s="725">
        <f>ROUND(IF(B25="楼层修正",SUM(V2:V16)*M40,C34*D34/10000),0)</f>
        <v>0</v>
      </c>
      <c r="F34" s="1943" t="s">
        <v>2032</v>
      </c>
      <c r="G34" s="1944"/>
      <c r="H34" s="1944"/>
      <c r="I34" s="1944"/>
      <c r="J34" s="1945"/>
      <c r="K34" s="1054"/>
      <c r="L34" s="3051" t="s">
        <v>3250</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9" t="s">
        <v>3247</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2027</v>
      </c>
      <c r="D36" s="431" t="s">
        <v>2028</v>
      </c>
      <c r="E36" s="431" t="s">
        <v>2029</v>
      </c>
      <c r="F36" s="331" t="s">
        <v>2035</v>
      </c>
      <c r="G36" s="1951" t="s">
        <v>2027</v>
      </c>
      <c r="H36" s="1951" t="s">
        <v>2028</v>
      </c>
      <c r="I36" s="1951" t="s">
        <v>2029</v>
      </c>
      <c r="J36" s="233"/>
      <c r="K36" s="1961" t="s">
        <v>3251</v>
      </c>
      <c r="L36" s="3140">
        <f ca="1">'数据-取费表'!B40</f>
        <v>3.2500000000000001E-2</v>
      </c>
      <c r="M36" s="2363">
        <f ca="1">ROUND($L$36*(1+M31),3)</f>
        <v>4.1000000000000002E-2</v>
      </c>
      <c r="N36" s="2363">
        <f ca="1">ROUND($L$36*(1+N31),3)</f>
        <v>3.9E-2</v>
      </c>
      <c r="O36" s="2363">
        <f ca="1">ROUND($L$36*(1+O31),3)</f>
        <v>3.6999999999999998E-2</v>
      </c>
      <c r="P36" s="2363">
        <f ca="1">ROUND($L$36*(1+P31),3)</f>
        <v>3.5999999999999997E-2</v>
      </c>
      <c r="Q36" s="2363">
        <f ca="1">ROUND($L$36*(1+Q31),3)</f>
        <v>3.6999999999999998E-2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44"/>
      <c r="B37" s="1952" t="s">
        <v>2036</v>
      </c>
      <c r="C37" s="165">
        <f>ROUND(D5*C22*C23*C24*C28*F37,0)</f>
        <v>2959</v>
      </c>
      <c r="D37" s="1937"/>
      <c r="E37" s="161">
        <f>ROUND(C37*D37/10000,0)</f>
        <v>0</v>
      </c>
      <c r="F37" s="161">
        <f>SUMIF(修正!A59:A70,G2,修正!B59:B70)</f>
        <v>0.5</v>
      </c>
      <c r="G37" s="161">
        <f>ROUND(IF(E2="工业",C37*$M$42,C37*$M$41),0)</f>
        <v>740</v>
      </c>
      <c r="H37" s="161">
        <f>D37</f>
        <v>0</v>
      </c>
      <c r="I37" s="161">
        <f>ROUND(G37*H37/10000,0)</f>
        <v>0</v>
      </c>
      <c r="J37" s="2752"/>
      <c r="K37" s="3059" t="s">
        <v>3252</v>
      </c>
      <c r="L37" s="1961">
        <f ca="1">L36+K38</f>
        <v>3.7499999999999999E-2</v>
      </c>
      <c r="M37" s="2363">
        <f ca="1">ROUND($L$37*(1+M31),3)</f>
        <v>4.7E-2</v>
      </c>
      <c r="N37" s="2363">
        <f t="shared" ref="N37:Q37" ca="1" si="3">ROUND($L$37*(1+N31),3)</f>
        <v>4.4999999999999998E-2</v>
      </c>
      <c r="O37" s="2363">
        <f t="shared" ca="1" si="3"/>
        <v>4.2999999999999997E-2</v>
      </c>
      <c r="P37" s="2363">
        <f t="shared" ca="1" si="3"/>
        <v>4.1000000000000002E-2</v>
      </c>
      <c r="Q37" s="2363">
        <f t="shared" ca="1" si="3"/>
        <v>4.2999999999999997E-2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45"/>
      <c r="B38" s="1881" t="s">
        <v>2037</v>
      </c>
      <c r="C38" s="165">
        <f>ROUND(D5*C22*C23*C24*C28*F38,0)</f>
        <v>1184</v>
      </c>
      <c r="D38" s="1937"/>
      <c r="E38" s="161">
        <f t="shared" ref="E38:E42" si="4">ROUND(C38*D38/10000,0)</f>
        <v>0</v>
      </c>
      <c r="F38" s="161">
        <f>SUMIF(修正!A59:A70,G2,修正!C59:C70)</f>
        <v>0.2</v>
      </c>
      <c r="G38" s="161">
        <f>ROUND(IF(E2="工业",C38*$M$42,C38*$M$41),0)</f>
        <v>296</v>
      </c>
      <c r="H38" s="161">
        <f t="shared" ref="H38:H42" si="5">D38</f>
        <v>0</v>
      </c>
      <c r="I38" s="161">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45"/>
      <c r="B39" s="1881" t="s">
        <v>3245</v>
      </c>
      <c r="C39" s="165">
        <f>ROUND(D5*C22*C23*C24*C28*F39,0)</f>
        <v>1184</v>
      </c>
      <c r="D39" s="1937"/>
      <c r="E39" s="161">
        <f t="shared" si="4"/>
        <v>0</v>
      </c>
      <c r="F39" s="161">
        <f>SUMIF(修正!A59:A70,G2,修正!D59:D70)</f>
        <v>0.2</v>
      </c>
      <c r="G39" s="161">
        <f>ROUND(IF(E2="工业",C39*$M$42,C39*$M$41),0)</f>
        <v>296</v>
      </c>
      <c r="H39" s="161">
        <f t="shared" si="5"/>
        <v>0</v>
      </c>
      <c r="I39" s="161">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1">
        <f>ROUND(D5*C22*C23*C24*C28*F40,0)</f>
        <v>1184</v>
      </c>
      <c r="D40" s="1937"/>
      <c r="E40" s="161">
        <f t="shared" si="4"/>
        <v>0</v>
      </c>
      <c r="F40" s="165">
        <f>SUMIF(修正!A59:A70,G2,修正!E59:E70)</f>
        <v>0.2</v>
      </c>
      <c r="G40" s="161">
        <f>ROUND(IF(E2="工业",C40*$M$42,C40*$M$41),0)</f>
        <v>296</v>
      </c>
      <c r="H40" s="161">
        <f t="shared" si="5"/>
        <v>0</v>
      </c>
      <c r="I40" s="161">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1">
        <f>ROUND(D5*C22*C23*C44*C28*F41,0)</f>
        <v>1184</v>
      </c>
      <c r="D41" s="1937"/>
      <c r="E41" s="161">
        <f t="shared" si="4"/>
        <v>0</v>
      </c>
      <c r="F41" s="165">
        <f>SUMIF(修正!A59:A70,G2,修正!F59:F70)</f>
        <v>0.2</v>
      </c>
      <c r="G41" s="161">
        <f>ROUND(IF(E2="工业",C41*$M$42,C41*$M$41),0)</f>
        <v>296</v>
      </c>
      <c r="H41" s="161">
        <f t="shared" si="5"/>
        <v>0</v>
      </c>
      <c r="I41" s="161">
        <f t="shared" si="6"/>
        <v>0</v>
      </c>
      <c r="J41" s="937"/>
      <c r="L41" s="3060" t="s">
        <v>3253</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7">
        <f>ROUND(D5*C22*C23*C44*C28*F42,0)</f>
        <v>592</v>
      </c>
      <c r="D42" s="1942"/>
      <c r="E42" s="177">
        <f t="shared" si="4"/>
        <v>0</v>
      </c>
      <c r="F42" s="721">
        <f>SUMIF(修正!A59:A70,G2,修正!G59:G70)</f>
        <v>0.1</v>
      </c>
      <c r="G42" s="177">
        <f>ROUND(IF(E2="工业",C42*$M$42,C42*$M$41),0)</f>
        <v>148</v>
      </c>
      <c r="H42" s="177">
        <f t="shared" si="5"/>
        <v>0</v>
      </c>
      <c r="I42" s="177">
        <f t="shared" si="6"/>
        <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2119</v>
      </c>
      <c r="C44" s="331">
        <f>ROUND(POWER(1+E44,H44-G44)*(POWER(1+E44,G44)-1)/(POWER(1+E44,H44)-1),4)</f>
        <v>0.9042</v>
      </c>
      <c r="D44" s="161" t="s">
        <v>1999</v>
      </c>
      <c r="E44" s="1988">
        <f>G24</f>
        <v>5.5E-2</v>
      </c>
      <c r="F44" s="161" t="s">
        <v>2008</v>
      </c>
      <c r="G44" s="173">
        <f>项目基本情况!E15</f>
        <v>34.46</v>
      </c>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2043</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2044</v>
      </c>
      <c r="B49" s="1259" t="s">
        <v>2045</v>
      </c>
      <c r="C49" s="1259" t="s">
        <v>2046</v>
      </c>
      <c r="D49" s="1259" t="s">
        <v>2047</v>
      </c>
      <c r="E49" s="699" t="s">
        <v>2048</v>
      </c>
      <c r="F49" s="1968" t="s">
        <v>2049</v>
      </c>
      <c r="G49" s="1259" t="s">
        <v>310</v>
      </c>
      <c r="H49" s="1969" t="s">
        <v>2050</v>
      </c>
      <c r="I49" s="1259"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7" t="s">
        <v>2052</v>
      </c>
      <c r="B50" s="1970">
        <f>估价对象房地状况!C4</f>
        <v>0</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7" t="s">
        <v>2053</v>
      </c>
      <c r="B51" s="1259">
        <f>估价对象房地状况!C18</f>
        <v>0</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3255</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2054</v>
      </c>
      <c r="B53" s="1971" t="s">
        <v>2055</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2056</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2057</v>
      </c>
      <c r="B55" s="1972" t="s">
        <v>2058</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3" t="s">
        <v>2059</v>
      </c>
      <c r="B56" s="1237">
        <f>估价对象房地状况!C21</f>
        <v>0</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3" t="s">
        <v>2060</v>
      </c>
      <c r="B57" s="1259">
        <f>估价对象房地状况!C22</f>
        <v>0</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4" t="s">
        <v>2061</v>
      </c>
      <c r="B58" s="1975">
        <f>估价对象房地状况!C20</f>
        <v>0</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2062</v>
      </c>
      <c r="B59" s="1965">
        <f>1+E61</f>
        <v>0.96509999999999996</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59"/>
      <c r="C60" s="1259" t="s">
        <v>2046</v>
      </c>
      <c r="D60" s="1259" t="s">
        <v>2047</v>
      </c>
      <c r="E60" s="699" t="s">
        <v>2048</v>
      </c>
      <c r="F60" s="1968" t="s">
        <v>2063</v>
      </c>
      <c r="G60" s="1259" t="s">
        <v>310</v>
      </c>
      <c r="H60" s="1969" t="s">
        <v>2050</v>
      </c>
      <c r="I60" s="1259"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7" t="s">
        <v>2064</v>
      </c>
      <c r="B61" s="1970">
        <f>估价对象房地状况!C17</f>
        <v>0</v>
      </c>
      <c r="C61" s="1884" t="s">
        <v>3503</v>
      </c>
      <c r="D61" s="1000">
        <f t="shared" ref="D61:D69" si="12">SUMIF($J$60:$N$60,C61,J61:N61)</f>
        <v>-1.78E-2</v>
      </c>
      <c r="E61" s="700">
        <f>ROUND(SUM(D61:D69),4)</f>
        <v>-3.49E-2</v>
      </c>
      <c r="F61" s="1672">
        <f>IF(E2="办公",SUMIF(L1:L12,G2,N1:N12),"——")</f>
        <v>0.14299999999999999</v>
      </c>
      <c r="G61" s="998">
        <f>H61</f>
        <v>1.78E-2</v>
      </c>
      <c r="H61" s="1001">
        <f t="shared" ref="H61:H69" si="13">IFERROR(ROUNDDOWN($F$61*I61/2,4),"——")</f>
        <v>1.78E-2</v>
      </c>
      <c r="I61" s="3066">
        <v>0.25</v>
      </c>
      <c r="J61" s="999">
        <f t="shared" ref="J61:J69" si="14">K61+$G61</f>
        <v>3.56E-2</v>
      </c>
      <c r="K61" s="999">
        <f t="shared" ref="K61:K69" si="15">$L61+$G61</f>
        <v>1.78E-2</v>
      </c>
      <c r="L61" s="999">
        <v>0</v>
      </c>
      <c r="M61" s="999">
        <f t="shared" ref="M61:N69" si="16">L61-$G61</f>
        <v>-1.78E-2</v>
      </c>
      <c r="N61" s="999">
        <f t="shared" si="16"/>
        <v>-3.56E-2</v>
      </c>
      <c r="AA61" s="1055"/>
      <c r="AB61" s="1055"/>
      <c r="AC61" s="1055"/>
      <c r="AD61" s="1055"/>
      <c r="AE61" s="1055"/>
      <c r="AF61" s="1055"/>
      <c r="AG61" s="1055"/>
      <c r="AH61" s="1055"/>
      <c r="AI61" s="1055"/>
      <c r="AJ61" s="1055"/>
      <c r="AK61" s="1055"/>
    </row>
    <row r="62" spans="1:37" s="1054" customFormat="1" ht="14.25">
      <c r="A62" s="1967" t="s">
        <v>2053</v>
      </c>
      <c r="B62" s="1259">
        <f>估价对象房地状况!C18</f>
        <v>0</v>
      </c>
      <c r="C62" s="1884" t="s">
        <v>3503</v>
      </c>
      <c r="D62" s="1000">
        <f t="shared" si="12"/>
        <v>-1.8499999999999999E-2</v>
      </c>
      <c r="E62" s="701"/>
      <c r="F62" s="1672"/>
      <c r="G62" s="998">
        <f t="shared" ref="G62:G69" si="17">H62</f>
        <v>1.8499999999999999E-2</v>
      </c>
      <c r="H62" s="1001">
        <f t="shared" si="13"/>
        <v>1.8499999999999999E-2</v>
      </c>
      <c r="I62" s="3066">
        <v>0.26</v>
      </c>
      <c r="J62" s="999">
        <f t="shared" si="14"/>
        <v>3.6999999999999998E-2</v>
      </c>
      <c r="K62" s="999">
        <f t="shared" si="15"/>
        <v>1.8499999999999999E-2</v>
      </c>
      <c r="L62" s="999">
        <v>0</v>
      </c>
      <c r="M62" s="999">
        <f t="shared" si="16"/>
        <v>-1.8499999999999999E-2</v>
      </c>
      <c r="N62" s="999">
        <f t="shared" si="16"/>
        <v>-3.6999999999999998E-2</v>
      </c>
      <c r="AA62" s="1055"/>
      <c r="AB62" s="1055"/>
      <c r="AC62" s="1055"/>
      <c r="AD62" s="1055"/>
      <c r="AE62" s="1055"/>
      <c r="AF62" s="1055"/>
      <c r="AG62" s="1055"/>
      <c r="AH62" s="1055"/>
      <c r="AI62" s="1055"/>
      <c r="AJ62" s="1055"/>
      <c r="AK62" s="1055"/>
    </row>
    <row r="63" spans="1:37" s="1054" customFormat="1" ht="36">
      <c r="A63" s="3068" t="s">
        <v>3255</v>
      </c>
      <c r="B63" s="1259">
        <f>估价对象房地状况!C19</f>
        <v>0</v>
      </c>
      <c r="C63" s="1884" t="s">
        <v>3504</v>
      </c>
      <c r="D63" s="1000">
        <f t="shared" si="12"/>
        <v>0</v>
      </c>
      <c r="E63" s="701"/>
      <c r="F63" s="1672"/>
      <c r="G63" s="998">
        <f t="shared" si="17"/>
        <v>7.7999999999999996E-3</v>
      </c>
      <c r="H63" s="1001">
        <f t="shared" si="13"/>
        <v>7.7999999999999996E-3</v>
      </c>
      <c r="I63" s="3066">
        <v>0.11</v>
      </c>
      <c r="J63" s="999">
        <f t="shared" si="14"/>
        <v>1.5599999999999999E-2</v>
      </c>
      <c r="K63" s="999">
        <f t="shared" si="15"/>
        <v>7.7999999999999996E-3</v>
      </c>
      <c r="L63" s="999">
        <v>0</v>
      </c>
      <c r="M63" s="999">
        <f t="shared" si="16"/>
        <v>-7.7999999999999996E-3</v>
      </c>
      <c r="N63" s="999">
        <f t="shared" si="16"/>
        <v>-1.5599999999999999E-2</v>
      </c>
      <c r="AA63" s="1055"/>
      <c r="AB63" s="1055"/>
      <c r="AC63" s="1055"/>
      <c r="AD63" s="1055"/>
      <c r="AE63" s="1055"/>
      <c r="AF63" s="1055"/>
      <c r="AG63" s="1055"/>
      <c r="AH63" s="1055"/>
      <c r="AI63" s="1055"/>
      <c r="AJ63" s="1055"/>
      <c r="AK63" s="1055"/>
    </row>
    <row r="64" spans="1:37" s="1054" customFormat="1" ht="36.75">
      <c r="A64" s="1967" t="s">
        <v>2054</v>
      </c>
      <c r="B64" s="1971" t="s">
        <v>2055</v>
      </c>
      <c r="C64" s="1884" t="s">
        <v>3504</v>
      </c>
      <c r="D64" s="1000">
        <f t="shared" si="12"/>
        <v>0</v>
      </c>
      <c r="E64" s="701"/>
      <c r="F64" s="1672"/>
      <c r="G64" s="998">
        <f t="shared" si="17"/>
        <v>3.5000000000000001E-3</v>
      </c>
      <c r="H64" s="1001">
        <f t="shared" si="13"/>
        <v>3.5000000000000001E-3</v>
      </c>
      <c r="I64" s="3066">
        <v>0.05</v>
      </c>
      <c r="J64" s="999">
        <f t="shared" si="14"/>
        <v>7.0000000000000001E-3</v>
      </c>
      <c r="K64" s="999">
        <f t="shared" si="15"/>
        <v>3.5000000000000001E-3</v>
      </c>
      <c r="L64" s="999">
        <v>0</v>
      </c>
      <c r="M64" s="999">
        <f t="shared" si="16"/>
        <v>-3.5000000000000001E-3</v>
      </c>
      <c r="N64" s="999">
        <f t="shared" si="16"/>
        <v>-7.0000000000000001E-3</v>
      </c>
      <c r="AA64" s="1055"/>
      <c r="AB64" s="1055"/>
      <c r="AC64" s="1055"/>
      <c r="AD64" s="1055"/>
      <c r="AE64" s="1055"/>
      <c r="AF64" s="1055"/>
      <c r="AG64" s="1055"/>
      <c r="AH64" s="1055"/>
      <c r="AI64" s="1055"/>
      <c r="AJ64" s="1055"/>
      <c r="AK64" s="1055"/>
    </row>
    <row r="65" spans="1:37" s="1054" customFormat="1" ht="24">
      <c r="A65" s="1967" t="s">
        <v>2056</v>
      </c>
      <c r="B65" s="1259">
        <f>估价对象房地状况!C24</f>
        <v>0</v>
      </c>
      <c r="C65" s="1884" t="s">
        <v>3504</v>
      </c>
      <c r="D65" s="1000">
        <f t="shared" si="12"/>
        <v>0</v>
      </c>
      <c r="E65" s="701"/>
      <c r="F65" s="1672"/>
      <c r="G65" s="998">
        <f t="shared" si="17"/>
        <v>3.5000000000000001E-3</v>
      </c>
      <c r="H65" s="1001">
        <f t="shared" si="13"/>
        <v>3.5000000000000001E-3</v>
      </c>
      <c r="I65" s="3066">
        <v>0.05</v>
      </c>
      <c r="J65" s="999">
        <f t="shared" si="14"/>
        <v>7.0000000000000001E-3</v>
      </c>
      <c r="K65" s="999">
        <f t="shared" si="15"/>
        <v>3.5000000000000001E-3</v>
      </c>
      <c r="L65" s="999">
        <v>0</v>
      </c>
      <c r="M65" s="999">
        <f t="shared" si="16"/>
        <v>-3.5000000000000001E-3</v>
      </c>
      <c r="N65" s="999">
        <f t="shared" si="16"/>
        <v>-7.0000000000000001E-3</v>
      </c>
      <c r="AA65" s="1055"/>
      <c r="AB65" s="1055"/>
      <c r="AC65" s="1055"/>
      <c r="AD65" s="1055"/>
      <c r="AE65" s="1055"/>
      <c r="AF65" s="1055"/>
      <c r="AG65" s="1055"/>
      <c r="AH65" s="1055"/>
      <c r="AI65" s="1055"/>
      <c r="AJ65" s="1055"/>
      <c r="AK65" s="1055"/>
    </row>
    <row r="66" spans="1:37" s="1054" customFormat="1" ht="24">
      <c r="A66" s="1967" t="s">
        <v>2057</v>
      </c>
      <c r="B66" s="1972" t="s">
        <v>2058</v>
      </c>
      <c r="C66" s="1884" t="s">
        <v>3504</v>
      </c>
      <c r="D66" s="1000">
        <f t="shared" si="12"/>
        <v>0</v>
      </c>
      <c r="E66" s="701"/>
      <c r="F66" s="1672"/>
      <c r="G66" s="998">
        <f t="shared" si="17"/>
        <v>4.1999999999999997E-3</v>
      </c>
      <c r="H66" s="1001">
        <f t="shared" si="13"/>
        <v>4.1999999999999997E-3</v>
      </c>
      <c r="I66" s="3066">
        <v>0.06</v>
      </c>
      <c r="J66" s="999">
        <f t="shared" si="14"/>
        <v>8.3999999999999995E-3</v>
      </c>
      <c r="K66" s="999">
        <f t="shared" si="15"/>
        <v>4.1999999999999997E-3</v>
      </c>
      <c r="L66" s="999">
        <v>0</v>
      </c>
      <c r="M66" s="999">
        <f t="shared" si="16"/>
        <v>-4.1999999999999997E-3</v>
      </c>
      <c r="N66" s="999">
        <f t="shared" si="16"/>
        <v>-8.3999999999999995E-3</v>
      </c>
      <c r="AA66" s="1055"/>
      <c r="AB66" s="1055"/>
      <c r="AC66" s="1055"/>
      <c r="AD66" s="1055"/>
      <c r="AE66" s="1055"/>
      <c r="AF66" s="1055"/>
      <c r="AG66" s="1055"/>
      <c r="AH66" s="1055"/>
      <c r="AI66" s="1055"/>
      <c r="AJ66" s="1055"/>
      <c r="AK66" s="1055"/>
    </row>
    <row r="67" spans="1:37" s="1054" customFormat="1" ht="24">
      <c r="A67" s="1967" t="s">
        <v>2059</v>
      </c>
      <c r="B67" s="1237">
        <f>估价对象房地状况!C21</f>
        <v>0</v>
      </c>
      <c r="C67" s="1884" t="s">
        <v>3504</v>
      </c>
      <c r="D67" s="1000">
        <f t="shared" si="12"/>
        <v>0</v>
      </c>
      <c r="E67" s="701"/>
      <c r="F67" s="1672"/>
      <c r="G67" s="998">
        <f t="shared" si="17"/>
        <v>4.1999999999999997E-3</v>
      </c>
      <c r="H67" s="1001">
        <f t="shared" si="13"/>
        <v>4.1999999999999997E-3</v>
      </c>
      <c r="I67" s="3066">
        <v>0.06</v>
      </c>
      <c r="J67" s="999">
        <f t="shared" si="14"/>
        <v>8.3999999999999995E-3</v>
      </c>
      <c r="K67" s="999">
        <f t="shared" si="15"/>
        <v>4.1999999999999997E-3</v>
      </c>
      <c r="L67" s="999">
        <v>0</v>
      </c>
      <c r="M67" s="999">
        <f t="shared" si="16"/>
        <v>-4.1999999999999997E-3</v>
      </c>
      <c r="N67" s="999">
        <f t="shared" si="16"/>
        <v>-8.3999999999999995E-3</v>
      </c>
      <c r="AA67" s="1055"/>
      <c r="AB67" s="1055"/>
      <c r="AC67" s="1055"/>
      <c r="AD67" s="1055"/>
      <c r="AE67" s="1055"/>
      <c r="AF67" s="1055"/>
      <c r="AG67" s="1055"/>
      <c r="AH67" s="1055"/>
      <c r="AI67" s="1055"/>
      <c r="AJ67" s="1055"/>
      <c r="AK67" s="1055"/>
    </row>
    <row r="68" spans="1:37" s="1054" customFormat="1" ht="24">
      <c r="A68" s="1967" t="s">
        <v>2060</v>
      </c>
      <c r="B68" s="1237">
        <f>估价对象房地状况!C22</f>
        <v>0</v>
      </c>
      <c r="C68" s="1884" t="s">
        <v>3505</v>
      </c>
      <c r="D68" s="1000">
        <f t="shared" si="12"/>
        <v>6.4000000000000003E-3</v>
      </c>
      <c r="E68" s="701"/>
      <c r="F68" s="1672"/>
      <c r="G68" s="998">
        <f t="shared" si="17"/>
        <v>6.4000000000000003E-3</v>
      </c>
      <c r="H68" s="1001">
        <f t="shared" si="13"/>
        <v>6.4000000000000003E-3</v>
      </c>
      <c r="I68" s="3066">
        <v>0.09</v>
      </c>
      <c r="J68" s="999">
        <f t="shared" si="14"/>
        <v>1.2800000000000001E-2</v>
      </c>
      <c r="K68" s="999">
        <f t="shared" si="15"/>
        <v>6.4000000000000003E-3</v>
      </c>
      <c r="L68" s="999">
        <v>0</v>
      </c>
      <c r="M68" s="999">
        <f t="shared" si="16"/>
        <v>-6.4000000000000003E-3</v>
      </c>
      <c r="N68" s="999">
        <f t="shared" si="16"/>
        <v>-1.2800000000000001E-2</v>
      </c>
      <c r="AA68" s="1055"/>
      <c r="AB68" s="1055"/>
      <c r="AC68" s="1055"/>
      <c r="AD68" s="1055"/>
      <c r="AE68" s="1055"/>
      <c r="AF68" s="1055"/>
      <c r="AG68" s="1055"/>
      <c r="AH68" s="1055"/>
      <c r="AI68" s="1055"/>
      <c r="AJ68" s="1055"/>
      <c r="AK68" s="1055"/>
    </row>
    <row r="69" spans="1:37" s="1054" customFormat="1" ht="24.75" thickBot="1">
      <c r="A69" s="1974" t="s">
        <v>2061</v>
      </c>
      <c r="B69" s="1976">
        <f>估价对象房地状况!C20</f>
        <v>0</v>
      </c>
      <c r="C69" s="1884" t="s">
        <v>3503</v>
      </c>
      <c r="D69" s="1000">
        <f t="shared" si="12"/>
        <v>-5.0000000000000001E-3</v>
      </c>
      <c r="E69" s="702"/>
      <c r="F69" s="1672"/>
      <c r="G69" s="998">
        <f t="shared" si="17"/>
        <v>5.0000000000000001E-3</v>
      </c>
      <c r="H69" s="1001">
        <f t="shared" si="13"/>
        <v>5.0000000000000001E-3</v>
      </c>
      <c r="I69" s="3067">
        <v>7.0000000000000007E-2</v>
      </c>
      <c r="J69" s="999">
        <f t="shared" si="14"/>
        <v>0.01</v>
      </c>
      <c r="K69" s="999">
        <f t="shared" si="15"/>
        <v>5.0000000000000001E-3</v>
      </c>
      <c r="L69" s="999">
        <v>0</v>
      </c>
      <c r="M69" s="999">
        <f t="shared" si="16"/>
        <v>-5.0000000000000001E-3</v>
      </c>
      <c r="N69" s="999">
        <f t="shared" si="16"/>
        <v>-0.01</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59"/>
      <c r="C71" s="1259" t="s">
        <v>2046</v>
      </c>
      <c r="D71" s="1259" t="s">
        <v>2047</v>
      </c>
      <c r="E71" s="699" t="s">
        <v>2048</v>
      </c>
      <c r="F71" s="1968" t="s">
        <v>2063</v>
      </c>
      <c r="G71" s="1259" t="s">
        <v>310</v>
      </c>
      <c r="H71" s="1969" t="s">
        <v>2050</v>
      </c>
      <c r="I71" s="1259"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7" t="s">
        <v>2066</v>
      </c>
      <c r="B72" s="1970">
        <f>估价对象房地状况!C15</f>
        <v>0</v>
      </c>
      <c r="C72" s="1884"/>
      <c r="D72" s="1000">
        <f t="shared" ref="D72:D80" si="18">SUMIF($J$71:$N$71,C72,J72:N72)</f>
        <v>0</v>
      </c>
      <c r="E72" s="700">
        <f>ROUND(SUM(D72:D80),4)</f>
        <v>0</v>
      </c>
      <c r="F72" s="1672"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7" t="s">
        <v>2053</v>
      </c>
      <c r="B73" s="1259">
        <f>估价对象房地状况!C18</f>
        <v>0</v>
      </c>
      <c r="C73" s="1884"/>
      <c r="D73" s="1000">
        <f t="shared" si="18"/>
        <v>0</v>
      </c>
      <c r="E73" s="703"/>
      <c r="F73" s="1672"/>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1" customFormat="1" ht="36">
      <c r="A74" s="3068" t="s">
        <v>3255</v>
      </c>
      <c r="B74" s="1259">
        <f>估价对象房地状况!C19</f>
        <v>0</v>
      </c>
      <c r="C74" s="1884"/>
      <c r="D74" s="1000">
        <f t="shared" si="18"/>
        <v>0</v>
      </c>
      <c r="E74" s="703"/>
      <c r="F74" s="1672"/>
      <c r="G74" s="998"/>
      <c r="H74" s="1001" t="str">
        <f t="shared" si="19"/>
        <v>——</v>
      </c>
      <c r="I74" s="3066">
        <v>0.1</v>
      </c>
      <c r="J74" s="999">
        <f t="shared" si="20"/>
        <v>0</v>
      </c>
      <c r="K74" s="999">
        <f t="shared" si="21"/>
        <v>0</v>
      </c>
      <c r="L74" s="999">
        <v>0</v>
      </c>
      <c r="M74" s="999">
        <f t="shared" si="22"/>
        <v>0</v>
      </c>
      <c r="N74" s="999">
        <f t="shared" si="22"/>
        <v>0</v>
      </c>
      <c r="O74" s="1054"/>
      <c r="P74" s="1054"/>
      <c r="Q74" s="1054"/>
      <c r="AA74" s="1977"/>
      <c r="AB74" s="1055"/>
      <c r="AC74" s="1055"/>
      <c r="AD74" s="1055"/>
      <c r="AE74" s="1055"/>
      <c r="AF74" s="1055"/>
      <c r="AG74" s="1055"/>
      <c r="AH74" s="1977"/>
      <c r="AI74" s="1977"/>
      <c r="AJ74" s="1977"/>
      <c r="AK74" s="1977"/>
    </row>
    <row r="75" spans="1:37" ht="14.25">
      <c r="A75" s="1967" t="s">
        <v>2067</v>
      </c>
      <c r="B75" s="1259">
        <f>估价对象房地状况!C24</f>
        <v>0</v>
      </c>
      <c r="C75" s="1884"/>
      <c r="D75" s="1000">
        <f t="shared" si="18"/>
        <v>0</v>
      </c>
      <c r="E75" s="703"/>
      <c r="F75" s="1672"/>
      <c r="G75" s="998"/>
      <c r="H75" s="1001" t="str">
        <f t="shared" si="19"/>
        <v>——</v>
      </c>
      <c r="I75" s="3066">
        <v>0.05</v>
      </c>
      <c r="J75" s="999">
        <f t="shared" si="20"/>
        <v>0</v>
      </c>
      <c r="K75" s="999">
        <f t="shared" si="21"/>
        <v>0</v>
      </c>
      <c r="L75" s="999">
        <v>0</v>
      </c>
      <c r="M75" s="999">
        <f t="shared" si="22"/>
        <v>0</v>
      </c>
      <c r="N75" s="999">
        <f t="shared" si="22"/>
        <v>0</v>
      </c>
      <c r="O75" s="1054"/>
      <c r="P75" s="1054"/>
      <c r="Q75" s="1841"/>
      <c r="Z75" s="1842"/>
      <c r="AA75" s="1892"/>
      <c r="AG75" s="1056"/>
      <c r="AK75" s="1892"/>
    </row>
    <row r="76" spans="1:37" ht="24">
      <c r="A76" s="1967" t="s">
        <v>2059</v>
      </c>
      <c r="B76" s="1237">
        <f>估价对象房地状况!C21</f>
        <v>0</v>
      </c>
      <c r="C76" s="1884"/>
      <c r="D76" s="1000">
        <f t="shared" si="18"/>
        <v>0</v>
      </c>
      <c r="E76" s="703"/>
      <c r="F76" s="1672"/>
      <c r="G76" s="998"/>
      <c r="H76" s="1001" t="str">
        <f t="shared" si="19"/>
        <v>——</v>
      </c>
      <c r="I76" s="3066">
        <v>0.08</v>
      </c>
      <c r="J76" s="999">
        <f t="shared" si="20"/>
        <v>0</v>
      </c>
      <c r="K76" s="999">
        <f t="shared" si="21"/>
        <v>0</v>
      </c>
      <c r="L76" s="999">
        <v>0</v>
      </c>
      <c r="M76" s="999">
        <f t="shared" si="22"/>
        <v>0</v>
      </c>
      <c r="N76" s="999">
        <f t="shared" si="22"/>
        <v>0</v>
      </c>
      <c r="O76" s="1054"/>
      <c r="P76" s="1054"/>
      <c r="Z76" s="1842"/>
      <c r="AA76" s="1892"/>
      <c r="AG76" s="1056"/>
      <c r="AK76" s="1892"/>
    </row>
    <row r="77" spans="1:37" ht="24">
      <c r="A77" s="1967" t="s">
        <v>2060</v>
      </c>
      <c r="B77" s="1237">
        <f>估价对象房地状况!C22</f>
        <v>0</v>
      </c>
      <c r="C77" s="1884"/>
      <c r="D77" s="1000">
        <f t="shared" si="18"/>
        <v>0</v>
      </c>
      <c r="E77" s="703"/>
      <c r="F77" s="1672"/>
      <c r="G77" s="998"/>
      <c r="H77" s="1001" t="str">
        <f t="shared" si="19"/>
        <v>——</v>
      </c>
      <c r="I77" s="3066">
        <v>0.09</v>
      </c>
      <c r="J77" s="999">
        <f t="shared" si="20"/>
        <v>0</v>
      </c>
      <c r="K77" s="999">
        <f t="shared" si="21"/>
        <v>0</v>
      </c>
      <c r="L77" s="999">
        <v>0</v>
      </c>
      <c r="M77" s="999">
        <f t="shared" si="22"/>
        <v>0</v>
      </c>
      <c r="N77" s="999">
        <f t="shared" si="22"/>
        <v>0</v>
      </c>
      <c r="O77" s="1054"/>
      <c r="P77" s="1054"/>
      <c r="Z77" s="1842"/>
      <c r="AA77" s="1892"/>
      <c r="AG77" s="1056"/>
      <c r="AK77" s="1892"/>
    </row>
    <row r="78" spans="1:37" ht="24">
      <c r="A78" s="1967" t="s">
        <v>2057</v>
      </c>
      <c r="B78" s="1972" t="s">
        <v>2058</v>
      </c>
      <c r="C78" s="1884"/>
      <c r="D78" s="1000">
        <f t="shared" si="18"/>
        <v>0</v>
      </c>
      <c r="E78" s="703"/>
      <c r="F78" s="1672"/>
      <c r="G78" s="998"/>
      <c r="H78" s="1001" t="str">
        <f t="shared" si="19"/>
        <v>——</v>
      </c>
      <c r="I78" s="3066">
        <v>0.05</v>
      </c>
      <c r="J78" s="999">
        <f t="shared" si="20"/>
        <v>0</v>
      </c>
      <c r="K78" s="999">
        <f t="shared" si="21"/>
        <v>0</v>
      </c>
      <c r="L78" s="999">
        <v>0</v>
      </c>
      <c r="M78" s="999">
        <f t="shared" si="22"/>
        <v>0</v>
      </c>
      <c r="N78" s="999">
        <f t="shared" si="22"/>
        <v>0</v>
      </c>
      <c r="O78" s="1841"/>
      <c r="P78" s="1841"/>
      <c r="Z78" s="1842"/>
      <c r="AA78" s="1892"/>
      <c r="AG78" s="1056"/>
      <c r="AK78" s="1892"/>
    </row>
    <row r="79" spans="1:37" ht="24">
      <c r="A79" s="1967" t="s">
        <v>2061</v>
      </c>
      <c r="B79" s="1970">
        <f>估价对象房地状况!C20</f>
        <v>0</v>
      </c>
      <c r="C79" s="1884"/>
      <c r="D79" s="1000">
        <f t="shared" si="18"/>
        <v>0</v>
      </c>
      <c r="E79" s="703"/>
      <c r="F79" s="1672"/>
      <c r="G79" s="998"/>
      <c r="H79" s="1001" t="str">
        <f t="shared" si="19"/>
        <v>——</v>
      </c>
      <c r="I79" s="3066">
        <v>0.12</v>
      </c>
      <c r="J79" s="999">
        <f t="shared" si="20"/>
        <v>0</v>
      </c>
      <c r="K79" s="999">
        <f t="shared" si="21"/>
        <v>0</v>
      </c>
      <c r="L79" s="999">
        <v>0</v>
      </c>
      <c r="M79" s="999">
        <f t="shared" si="22"/>
        <v>0</v>
      </c>
      <c r="N79" s="999">
        <f t="shared" si="22"/>
        <v>0</v>
      </c>
      <c r="Z79" s="1842"/>
      <c r="AA79" s="1892"/>
      <c r="AG79" s="1056"/>
      <c r="AK79" s="1892"/>
    </row>
    <row r="80" spans="1:37" ht="24.75" thickBot="1">
      <c r="A80" s="1974" t="s">
        <v>2068</v>
      </c>
      <c r="B80" s="1978"/>
      <c r="C80" s="1884"/>
      <c r="D80" s="1000">
        <f t="shared" si="18"/>
        <v>0</v>
      </c>
      <c r="E80" s="704"/>
      <c r="F80" s="1672"/>
      <c r="G80" s="998"/>
      <c r="H80" s="1001" t="str">
        <f t="shared" si="19"/>
        <v>——</v>
      </c>
      <c r="I80" s="3067">
        <v>0.05</v>
      </c>
      <c r="J80" s="999">
        <f t="shared" si="20"/>
        <v>0</v>
      </c>
      <c r="K80" s="999">
        <f t="shared" si="21"/>
        <v>0</v>
      </c>
      <c r="L80" s="999">
        <v>0</v>
      </c>
      <c r="M80" s="999">
        <f t="shared" si="22"/>
        <v>0</v>
      </c>
      <c r="N80" s="999">
        <f t="shared" si="22"/>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59"/>
      <c r="C82" s="1259" t="s">
        <v>2046</v>
      </c>
      <c r="D82" s="1259" t="s">
        <v>2047</v>
      </c>
      <c r="E82" s="699" t="s">
        <v>2048</v>
      </c>
      <c r="F82" s="1968" t="s">
        <v>2063</v>
      </c>
      <c r="G82" s="1259" t="s">
        <v>310</v>
      </c>
      <c r="H82" s="1969" t="s">
        <v>2050</v>
      </c>
      <c r="I82" s="1259" t="s">
        <v>2051</v>
      </c>
      <c r="J82" s="528" t="s">
        <v>1721</v>
      </c>
      <c r="K82" s="528" t="s">
        <v>1722</v>
      </c>
      <c r="L82" s="528" t="s">
        <v>1723</v>
      </c>
      <c r="M82" s="528" t="s">
        <v>1724</v>
      </c>
      <c r="N82" s="528" t="s">
        <v>1725</v>
      </c>
      <c r="Z82" s="1842"/>
      <c r="AA82" s="1892"/>
      <c r="AG82" s="1056"/>
      <c r="AK82" s="1892"/>
    </row>
    <row r="83" spans="1:37" ht="24">
      <c r="A83" s="1967" t="s">
        <v>2070</v>
      </c>
      <c r="B83" s="1259">
        <f>估价对象房地状况!G15</f>
        <v>0</v>
      </c>
      <c r="C83" s="1884"/>
      <c r="D83" s="1000">
        <f t="shared" ref="D83:D90" si="23">SUMIF($J$82:$N$82,C83,J83:N83)</f>
        <v>0</v>
      </c>
      <c r="E83" s="700">
        <f>ROUND(SUM(D83:D90),4)</f>
        <v>0</v>
      </c>
      <c r="F83" s="1672"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2"/>
      <c r="AA83" s="1892"/>
      <c r="AG83" s="1056"/>
      <c r="AK83" s="1892"/>
    </row>
    <row r="84" spans="1:37" ht="14.25">
      <c r="A84" s="1967" t="s">
        <v>2053</v>
      </c>
      <c r="B84" s="1259">
        <f>估价对象房地状况!G16</f>
        <v>0</v>
      </c>
      <c r="C84" s="1884"/>
      <c r="D84" s="1000">
        <f t="shared" si="23"/>
        <v>0</v>
      </c>
      <c r="E84" s="703"/>
      <c r="F84" s="1672"/>
      <c r="G84" s="998"/>
      <c r="H84" s="1001" t="str">
        <f t="shared" si="24"/>
        <v>——</v>
      </c>
      <c r="I84" s="3066">
        <v>0.3</v>
      </c>
      <c r="J84" s="999">
        <f t="shared" si="25"/>
        <v>0</v>
      </c>
      <c r="K84" s="999">
        <f t="shared" si="26"/>
        <v>0</v>
      </c>
      <c r="L84" s="999">
        <v>0</v>
      </c>
      <c r="M84" s="999">
        <f t="shared" si="27"/>
        <v>0</v>
      </c>
      <c r="N84" s="999">
        <f t="shared" si="27"/>
        <v>0</v>
      </c>
      <c r="Z84" s="1842"/>
      <c r="AA84" s="1892"/>
      <c r="AG84" s="1056"/>
      <c r="AK84" s="1892"/>
    </row>
    <row r="85" spans="1:37" ht="36">
      <c r="A85" s="3068" t="s">
        <v>3256</v>
      </c>
      <c r="B85" s="1259">
        <f>估价对象房地状况!G17</f>
        <v>0</v>
      </c>
      <c r="C85" s="1884"/>
      <c r="D85" s="1000">
        <f t="shared" si="23"/>
        <v>0</v>
      </c>
      <c r="E85" s="703"/>
      <c r="F85" s="1672"/>
      <c r="G85" s="998"/>
      <c r="H85" s="1001" t="str">
        <f t="shared" si="24"/>
        <v>——</v>
      </c>
      <c r="I85" s="3066">
        <v>0.1</v>
      </c>
      <c r="J85" s="999">
        <f t="shared" si="25"/>
        <v>0</v>
      </c>
      <c r="K85" s="999">
        <f t="shared" si="26"/>
        <v>0</v>
      </c>
      <c r="L85" s="999">
        <v>0</v>
      </c>
      <c r="M85" s="999">
        <f t="shared" si="27"/>
        <v>0</v>
      </c>
      <c r="N85" s="999">
        <f t="shared" si="27"/>
        <v>0</v>
      </c>
      <c r="Z85" s="1842"/>
      <c r="AA85" s="1892"/>
      <c r="AG85" s="1056"/>
      <c r="AK85" s="1892"/>
    </row>
    <row r="86" spans="1:37" ht="14.25">
      <c r="A86" s="1967" t="s">
        <v>2067</v>
      </c>
      <c r="B86" s="1259">
        <f>估价对象房地状况!G22</f>
        <v>0</v>
      </c>
      <c r="C86" s="1884"/>
      <c r="D86" s="1000">
        <f t="shared" si="23"/>
        <v>0</v>
      </c>
      <c r="E86" s="703"/>
      <c r="F86" s="1672"/>
      <c r="G86" s="998"/>
      <c r="H86" s="1001" t="str">
        <f t="shared" si="24"/>
        <v>——</v>
      </c>
      <c r="I86" s="3066">
        <v>0.05</v>
      </c>
      <c r="J86" s="999">
        <f t="shared" si="25"/>
        <v>0</v>
      </c>
      <c r="K86" s="999">
        <f t="shared" si="26"/>
        <v>0</v>
      </c>
      <c r="L86" s="999">
        <v>0</v>
      </c>
      <c r="M86" s="999">
        <f t="shared" si="27"/>
        <v>0</v>
      </c>
      <c r="N86" s="999">
        <f t="shared" si="27"/>
        <v>0</v>
      </c>
      <c r="Z86" s="1842"/>
      <c r="AA86" s="1892"/>
      <c r="AG86" s="1056"/>
      <c r="AK86" s="1892"/>
    </row>
    <row r="87" spans="1:37" ht="24">
      <c r="A87" s="1967" t="s">
        <v>2059</v>
      </c>
      <c r="B87" s="1237">
        <f>估价对象房地状况!G19</f>
        <v>0</v>
      </c>
      <c r="C87" s="1884"/>
      <c r="D87" s="1000">
        <f t="shared" si="23"/>
        <v>0</v>
      </c>
      <c r="E87" s="703"/>
      <c r="F87" s="1672"/>
      <c r="G87" s="998"/>
      <c r="H87" s="1001" t="str">
        <f t="shared" si="24"/>
        <v>——</v>
      </c>
      <c r="I87" s="3066">
        <v>0.06</v>
      </c>
      <c r="J87" s="999">
        <f t="shared" si="25"/>
        <v>0</v>
      </c>
      <c r="K87" s="999">
        <f t="shared" si="26"/>
        <v>0</v>
      </c>
      <c r="L87" s="999">
        <v>0</v>
      </c>
      <c r="M87" s="999">
        <f t="shared" si="27"/>
        <v>0</v>
      </c>
      <c r="N87" s="999">
        <f t="shared" si="27"/>
        <v>0</v>
      </c>
    </row>
    <row r="88" spans="1:37" ht="24">
      <c r="A88" s="1967" t="s">
        <v>2060</v>
      </c>
      <c r="B88" s="1237">
        <f>估价对象房地状况!G20</f>
        <v>0</v>
      </c>
      <c r="C88" s="1884"/>
      <c r="D88" s="1000">
        <f t="shared" si="23"/>
        <v>0</v>
      </c>
      <c r="E88" s="703"/>
      <c r="F88" s="1672"/>
      <c r="G88" s="998"/>
      <c r="H88" s="1001" t="str">
        <f t="shared" si="24"/>
        <v>——</v>
      </c>
      <c r="I88" s="3066">
        <v>0.12</v>
      </c>
      <c r="J88" s="999">
        <f t="shared" si="25"/>
        <v>0</v>
      </c>
      <c r="K88" s="999">
        <f t="shared" si="26"/>
        <v>0</v>
      </c>
      <c r="L88" s="999">
        <v>0</v>
      </c>
      <c r="M88" s="999">
        <f t="shared" si="27"/>
        <v>0</v>
      </c>
      <c r="N88" s="999">
        <f t="shared" si="27"/>
        <v>0</v>
      </c>
    </row>
    <row r="89" spans="1:37" ht="24">
      <c r="A89" s="1967" t="s">
        <v>2057</v>
      </c>
      <c r="B89" s="1972" t="s">
        <v>2071</v>
      </c>
      <c r="C89" s="1884"/>
      <c r="D89" s="1000">
        <f t="shared" si="23"/>
        <v>0</v>
      </c>
      <c r="E89" s="703"/>
      <c r="F89" s="1672"/>
      <c r="G89" s="998"/>
      <c r="H89" s="1001" t="str">
        <f t="shared" si="24"/>
        <v>——</v>
      </c>
      <c r="I89" s="3066">
        <v>0.06</v>
      </c>
      <c r="J89" s="999">
        <f t="shared" si="25"/>
        <v>0</v>
      </c>
      <c r="K89" s="999">
        <f t="shared" si="26"/>
        <v>0</v>
      </c>
      <c r="L89" s="999">
        <v>0</v>
      </c>
      <c r="M89" s="999">
        <f t="shared" si="27"/>
        <v>0</v>
      </c>
      <c r="N89" s="999">
        <f t="shared" si="27"/>
        <v>0</v>
      </c>
    </row>
    <row r="90" spans="1:37" ht="15" thickBot="1">
      <c r="A90" s="1974" t="s">
        <v>2072</v>
      </c>
      <c r="B90" s="1979">
        <f>估价对象房地状况!G18</f>
        <v>0</v>
      </c>
      <c r="C90" s="1884"/>
      <c r="D90" s="1000">
        <f t="shared" si="23"/>
        <v>0</v>
      </c>
      <c r="E90" s="704"/>
      <c r="F90" s="1672"/>
      <c r="G90" s="998"/>
      <c r="H90" s="1001" t="str">
        <f t="shared" si="24"/>
        <v>——</v>
      </c>
      <c r="I90" s="3067">
        <v>0.05</v>
      </c>
      <c r="J90" s="999">
        <f t="shared" si="25"/>
        <v>0</v>
      </c>
      <c r="K90" s="999">
        <f t="shared" si="26"/>
        <v>0</v>
      </c>
      <c r="L90" s="999">
        <v>0</v>
      </c>
      <c r="M90" s="999">
        <f t="shared" si="27"/>
        <v>0</v>
      </c>
      <c r="N90" s="999">
        <f t="shared" si="27"/>
        <v>0</v>
      </c>
    </row>
    <row r="91" spans="1:37" ht="15">
      <c r="A91" s="3076" t="s">
        <v>2600</v>
      </c>
      <c r="B91" s="3077">
        <f>1+E93</f>
        <v>1</v>
      </c>
      <c r="C91" s="3070"/>
      <c r="D91" s="3071"/>
      <c r="E91" s="1672"/>
      <c r="F91" s="1672"/>
      <c r="G91" s="3072"/>
      <c r="H91" s="3073"/>
      <c r="I91" s="3074"/>
      <c r="J91" s="3075"/>
      <c r="K91" s="3075"/>
      <c r="L91" s="3075"/>
      <c r="M91" s="3075"/>
      <c r="N91" s="3075"/>
    </row>
    <row r="92" spans="1:37" ht="24.75">
      <c r="A92" s="3078" t="s">
        <v>3257</v>
      </c>
      <c r="B92" s="2307"/>
      <c r="C92" s="2307" t="s">
        <v>3266</v>
      </c>
      <c r="D92" s="2307" t="s">
        <v>3267</v>
      </c>
      <c r="E92" s="3050" t="s">
        <v>3268</v>
      </c>
      <c r="F92" s="3080" t="s">
        <v>3269</v>
      </c>
      <c r="G92" s="2307" t="s">
        <v>3270</v>
      </c>
      <c r="H92" s="3087" t="s">
        <v>3273</v>
      </c>
      <c r="I92" s="2307" t="s">
        <v>3274</v>
      </c>
      <c r="J92" s="2147" t="s">
        <v>3275</v>
      </c>
      <c r="K92" s="2147" t="s">
        <v>3276</v>
      </c>
      <c r="L92" s="2147" t="s">
        <v>3277</v>
      </c>
      <c r="M92" s="2147" t="s">
        <v>3278</v>
      </c>
      <c r="N92" s="2147" t="s">
        <v>3279</v>
      </c>
    </row>
    <row r="93" spans="1:37" ht="24">
      <c r="A93" s="3068" t="s">
        <v>3258</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3259</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3255</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3260</v>
      </c>
      <c r="B96" s="3084" t="s">
        <v>3271</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3261</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3262</v>
      </c>
      <c r="B98" s="3085" t="s">
        <v>3272</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3263</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3264</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3265</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542" t="s">
        <v>3280</v>
      </c>
      <c r="B103" s="3542"/>
      <c r="C103" s="3542"/>
      <c r="D103" s="3542"/>
      <c r="E103" s="3542"/>
      <c r="F103" s="3542"/>
      <c r="G103" s="3542"/>
      <c r="H103" s="3542"/>
      <c r="I103" s="3542"/>
      <c r="J103" s="3542"/>
      <c r="K103" s="1664"/>
      <c r="L103" s="1664"/>
      <c r="M103" s="1664"/>
      <c r="N103" s="1664"/>
    </row>
    <row r="104" spans="1:14">
      <c r="A104" s="3543" t="s">
        <v>3281</v>
      </c>
      <c r="B104" s="3543" t="s">
        <v>3282</v>
      </c>
      <c r="C104" s="3088" t="s">
        <v>3283</v>
      </c>
      <c r="D104" s="3089"/>
      <c r="E104" s="3089"/>
      <c r="F104" s="3089"/>
      <c r="G104" s="3089"/>
      <c r="H104" s="3089"/>
      <c r="I104" s="3089"/>
      <c r="J104" s="3090"/>
      <c r="K104" s="3091"/>
      <c r="L104" s="3091"/>
      <c r="M104" s="3091"/>
      <c r="N104" s="3091"/>
    </row>
    <row r="105" spans="1:14">
      <c r="A105" s="3543"/>
      <c r="B105" s="3543"/>
      <c r="C105" s="3092" t="s">
        <v>3284</v>
      </c>
      <c r="D105" s="3092" t="s">
        <v>3285</v>
      </c>
      <c r="E105" s="3092" t="s">
        <v>3286</v>
      </c>
      <c r="F105" s="3092" t="s">
        <v>3287</v>
      </c>
      <c r="G105" s="3092" t="s">
        <v>3288</v>
      </c>
      <c r="H105" s="3092" t="s">
        <v>3289</v>
      </c>
      <c r="I105" s="3092" t="s">
        <v>3290</v>
      </c>
      <c r="J105" s="3092" t="s">
        <v>3291</v>
      </c>
      <c r="K105" s="3092" t="s">
        <v>3292</v>
      </c>
      <c r="L105" s="3092" t="s">
        <v>3293</v>
      </c>
      <c r="M105" s="3092" t="s">
        <v>3294</v>
      </c>
      <c r="N105" s="3092" t="s">
        <v>3295</v>
      </c>
    </row>
    <row r="106" spans="1:14">
      <c r="A106" s="3529" t="s">
        <v>3296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3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3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3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3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30"/>
      <c r="B111" s="3092" t="s">
        <v>3254</v>
      </c>
      <c r="C111" s="3093">
        <f>$I$3</f>
        <v>0</v>
      </c>
      <c r="D111" s="3093">
        <f t="shared" ref="D111:M111" si="33">$I$3</f>
        <v>0</v>
      </c>
      <c r="E111" s="3093">
        <f t="shared" si="33"/>
        <v>0</v>
      </c>
      <c r="F111" s="3093">
        <f t="shared" si="33"/>
        <v>0</v>
      </c>
      <c r="G111" s="3093">
        <f t="shared" si="33"/>
        <v>0</v>
      </c>
      <c r="H111" s="3093">
        <f t="shared" si="33"/>
        <v>0</v>
      </c>
      <c r="I111" s="3093">
        <f t="shared" si="33"/>
        <v>0</v>
      </c>
      <c r="J111" s="3093">
        <f t="shared" si="33"/>
        <v>0</v>
      </c>
      <c r="K111" s="3093">
        <f t="shared" si="33"/>
        <v>0</v>
      </c>
      <c r="L111" s="3093">
        <f t="shared" si="33"/>
        <v>0</v>
      </c>
      <c r="M111" s="3093">
        <f t="shared" si="33"/>
        <v>0</v>
      </c>
      <c r="N111" s="3093">
        <f>$I$3</f>
        <v>0</v>
      </c>
    </row>
    <row r="112" spans="1:14">
      <c r="A112" s="3531"/>
      <c r="B112" s="3092">
        <v>6</v>
      </c>
      <c r="C112" s="3087">
        <f>(-0.5556*(C111^2)-0.2719*C111+8944)*(10^(-4))</f>
        <v>0.89440000000000008</v>
      </c>
      <c r="D112" s="3087">
        <f>(-0.5556*(D111^2)-0.2719*D111+8944)*(10^(-4))</f>
        <v>0.89440000000000008</v>
      </c>
      <c r="E112" s="3087">
        <f>(-0.7912*(E111^2)-11.3794*E111+8482)*(10^(-4))</f>
        <v>0.84820000000000007</v>
      </c>
      <c r="F112" s="3087">
        <f t="shared" ref="F112:I112" si="34">(-0.7912*(F111^2)-11.3794*F111+8482)*(10^(-4))</f>
        <v>0.84820000000000007</v>
      </c>
      <c r="G112" s="3087">
        <f t="shared" si="34"/>
        <v>0.84820000000000007</v>
      </c>
      <c r="H112" s="3087">
        <f t="shared" si="34"/>
        <v>0.84820000000000007</v>
      </c>
      <c r="I112" s="3087">
        <f t="shared" si="34"/>
        <v>0.84820000000000007</v>
      </c>
      <c r="J112" s="3087">
        <f>(-0.989*(J111^2)-63.78*J111+7771)*(10^(-4))</f>
        <v>0.77710000000000001</v>
      </c>
      <c r="K112" s="3087">
        <f t="shared" ref="K112:N112" si="35">(-0.989*(K111^2)-63.78*K111+7771)*(10^(-4))</f>
        <v>0.77710000000000001</v>
      </c>
      <c r="L112" s="3087">
        <f t="shared" si="35"/>
        <v>0.77710000000000001</v>
      </c>
      <c r="M112" s="3087">
        <f t="shared" si="35"/>
        <v>0.77710000000000001</v>
      </c>
      <c r="N112" s="3087">
        <f t="shared" si="35"/>
        <v>0.77710000000000001</v>
      </c>
    </row>
    <row r="113" spans="1:14">
      <c r="A113" s="3532" t="s">
        <v>3297</v>
      </c>
      <c r="B113" s="3532"/>
      <c r="C113" s="3532"/>
      <c r="D113" s="3532"/>
      <c r="E113" s="3532"/>
      <c r="F113" s="3532"/>
      <c r="G113" s="3532"/>
      <c r="H113" s="3532"/>
      <c r="I113" s="3532"/>
      <c r="J113" s="353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3298</v>
      </c>
      <c r="B116" s="3112">
        <f>G3</f>
        <v>1</v>
      </c>
      <c r="C116" s="3097" t="s">
        <v>3299</v>
      </c>
      <c r="D116" s="3098">
        <f>SUMPRODUCT((A118:A122=F116)*(B117:M117=H116)*B118:M122)</f>
        <v>0.81979999999999997</v>
      </c>
      <c r="E116" s="160" t="s">
        <v>3300</v>
      </c>
      <c r="F116" s="3099" t="str">
        <f>E2</f>
        <v>办公</v>
      </c>
      <c r="G116" s="160" t="s">
        <v>3301</v>
      </c>
      <c r="H116" s="3099" t="str">
        <f>G2</f>
        <v>八级</v>
      </c>
      <c r="I116" s="160"/>
      <c r="J116" s="3100"/>
      <c r="K116" s="3100"/>
      <c r="L116" s="3100"/>
      <c r="M116" s="3100"/>
      <c r="N116" s="3095"/>
    </row>
    <row r="117" spans="1:14">
      <c r="A117" s="3101"/>
      <c r="B117" s="3102" t="s">
        <v>3302</v>
      </c>
      <c r="C117" s="3102" t="s">
        <v>3303</v>
      </c>
      <c r="D117" s="3102" t="s">
        <v>3304</v>
      </c>
      <c r="E117" s="3103" t="s">
        <v>3305</v>
      </c>
      <c r="F117" s="3103" t="s">
        <v>3306</v>
      </c>
      <c r="G117" s="3103" t="s">
        <v>3307</v>
      </c>
      <c r="H117" s="3104" t="s">
        <v>3308</v>
      </c>
      <c r="I117" s="3104" t="s">
        <v>3309</v>
      </c>
      <c r="J117" s="3105" t="s">
        <v>3310</v>
      </c>
      <c r="K117" s="3105" t="s">
        <v>3311</v>
      </c>
      <c r="L117" s="3105" t="s">
        <v>3312</v>
      </c>
      <c r="M117" s="3106" t="s">
        <v>3313</v>
      </c>
      <c r="N117" s="3095"/>
    </row>
    <row r="118" spans="1:14">
      <c r="A118" s="3055" t="s">
        <v>3314</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6">I118</f>
        <v>0.8306</v>
      </c>
      <c r="K118" s="3087">
        <f t="shared" si="36"/>
        <v>0.8306</v>
      </c>
      <c r="L118" s="3087">
        <f t="shared" si="36"/>
        <v>0.8306</v>
      </c>
      <c r="M118" s="3107">
        <f t="shared" si="36"/>
        <v>0.8306</v>
      </c>
      <c r="N118" s="3095"/>
    </row>
    <row r="119" spans="1:14">
      <c r="A119" s="3055" t="s">
        <v>3315</v>
      </c>
      <c r="B119" s="3087">
        <f>ROUND(0.993-0.0112*B116,4)</f>
        <v>0.98180000000000001</v>
      </c>
      <c r="C119" s="3087">
        <f>B119</f>
        <v>0.98180000000000001</v>
      </c>
      <c r="D119" s="3087">
        <f>ROUND(0.9415-0.0142*B116,4)</f>
        <v>0.92730000000000001</v>
      </c>
      <c r="E119" s="3087">
        <f t="shared" ref="E119:H120" si="37">D119</f>
        <v>0.92730000000000001</v>
      </c>
      <c r="F119" s="3087">
        <f t="shared" si="37"/>
        <v>0.92730000000000001</v>
      </c>
      <c r="G119" s="3087">
        <f t="shared" si="37"/>
        <v>0.92730000000000001</v>
      </c>
      <c r="H119" s="3087">
        <f t="shared" si="37"/>
        <v>0.92730000000000001</v>
      </c>
      <c r="I119" s="3087">
        <f>ROUND(0.838-0.0182*B116,4)</f>
        <v>0.81979999999999997</v>
      </c>
      <c r="J119" s="3087">
        <f t="shared" si="36"/>
        <v>0.81979999999999997</v>
      </c>
      <c r="K119" s="3087">
        <f t="shared" si="36"/>
        <v>0.81979999999999997</v>
      </c>
      <c r="L119" s="3087">
        <f t="shared" si="36"/>
        <v>0.81979999999999997</v>
      </c>
      <c r="M119" s="3107">
        <f t="shared" si="36"/>
        <v>0.81979999999999997</v>
      </c>
      <c r="N119" s="3095"/>
    </row>
    <row r="120" spans="1:14">
      <c r="A120" s="3055" t="s">
        <v>3316</v>
      </c>
      <c r="B120" s="3087">
        <f>ROUND(0.9448-0.0115*B116,4)</f>
        <v>0.93330000000000002</v>
      </c>
      <c r="C120" s="3087">
        <f>B120</f>
        <v>0.93330000000000002</v>
      </c>
      <c r="D120" s="3087">
        <f>ROUND(0.937-0.0145*B116,4)</f>
        <v>0.92249999999999999</v>
      </c>
      <c r="E120" s="3087">
        <f t="shared" si="37"/>
        <v>0.92249999999999999</v>
      </c>
      <c r="F120" s="3087">
        <f t="shared" si="37"/>
        <v>0.92249999999999999</v>
      </c>
      <c r="G120" s="3087">
        <f t="shared" si="37"/>
        <v>0.92249999999999999</v>
      </c>
      <c r="H120" s="3087">
        <f t="shared" si="37"/>
        <v>0.92249999999999999</v>
      </c>
      <c r="I120" s="3087">
        <f>ROUND(0.7965-0.0185*B116,4)</f>
        <v>0.77800000000000002</v>
      </c>
      <c r="J120" s="3087">
        <f t="shared" si="36"/>
        <v>0.77800000000000002</v>
      </c>
      <c r="K120" s="3087">
        <f t="shared" si="36"/>
        <v>0.77800000000000002</v>
      </c>
      <c r="L120" s="3087">
        <f t="shared" si="36"/>
        <v>0.77800000000000002</v>
      </c>
      <c r="M120" s="3107">
        <f t="shared" si="36"/>
        <v>0.77800000000000002</v>
      </c>
      <c r="N120" s="3095"/>
    </row>
    <row r="121" spans="1:14" ht="13.5" thickBot="1">
      <c r="A121" s="3108" t="s">
        <v>3317</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6"/>
        <v>0.57150000000000001</v>
      </c>
      <c r="K121" s="3109">
        <f t="shared" si="36"/>
        <v>0.57150000000000001</v>
      </c>
      <c r="L121" s="3109">
        <f t="shared" si="36"/>
        <v>0.57150000000000001</v>
      </c>
      <c r="M121" s="3110">
        <f t="shared" si="36"/>
        <v>0.57150000000000001</v>
      </c>
      <c r="N121" s="3095"/>
    </row>
    <row r="122" spans="1:14">
      <c r="A122" s="3111" t="s">
        <v>2600</v>
      </c>
      <c r="B122" s="3087">
        <f>ROUND(0.9404-0.0106*B116,4)</f>
        <v>0.92979999999999996</v>
      </c>
      <c r="C122" s="3087">
        <f>B122</f>
        <v>0.92979999999999996</v>
      </c>
      <c r="D122" s="3087">
        <f>ROUND(0.8955-0.0135*B116,4)</f>
        <v>0.88200000000000001</v>
      </c>
      <c r="E122" s="3087">
        <f t="shared" ref="E122:H122" si="38">D122</f>
        <v>0.88200000000000001</v>
      </c>
      <c r="F122" s="3087">
        <f t="shared" si="38"/>
        <v>0.88200000000000001</v>
      </c>
      <c r="G122" s="3087">
        <f t="shared" si="38"/>
        <v>0.88200000000000001</v>
      </c>
      <c r="H122" s="3087">
        <f t="shared" si="38"/>
        <v>0.88200000000000001</v>
      </c>
      <c r="I122" s="3087">
        <f>ROUND(0.7632-0.0166*B116,4)</f>
        <v>0.74660000000000004</v>
      </c>
      <c r="J122" s="3087">
        <f t="shared" si="36"/>
        <v>0.74660000000000004</v>
      </c>
      <c r="K122" s="3087">
        <f t="shared" si="36"/>
        <v>0.74660000000000004</v>
      </c>
      <c r="L122" s="3087">
        <f t="shared" si="36"/>
        <v>0.74660000000000004</v>
      </c>
      <c r="M122" s="3107">
        <f t="shared" si="36"/>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F7BF6-024F-4BB4-900B-AA5EC5B6158E}">
  <dimension ref="G4:P28"/>
  <sheetViews>
    <sheetView workbookViewId="0">
      <selection activeCell="H20" sqref="H20"/>
    </sheetView>
  </sheetViews>
  <sheetFormatPr defaultRowHeight="13.5"/>
  <sheetData>
    <row r="4" spans="7:16">
      <c r="G4">
        <f>27000/30/406</f>
        <v>2.2167487684729066</v>
      </c>
      <c r="P4">
        <f>18000/30/305</f>
        <v>1.9672131147540983</v>
      </c>
    </row>
    <row r="10" spans="7:16">
      <c r="G10">
        <f>25000/30/511</f>
        <v>1.6307893020221789</v>
      </c>
    </row>
    <row r="11" spans="7:16">
      <c r="P11">
        <f>27700/30/473</f>
        <v>1.9520789288231148</v>
      </c>
    </row>
    <row r="17" spans="7:16">
      <c r="P17">
        <f>25000/30/301</f>
        <v>2.7685492801771874</v>
      </c>
    </row>
    <row r="21" spans="7:16">
      <c r="G21">
        <f>13000/30/396</f>
        <v>1.0942760942760943</v>
      </c>
    </row>
    <row r="28" spans="7:16">
      <c r="G28">
        <f>11000/30/397</f>
        <v>0.92359361880772461</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388"/>
      <c r="B4" s="3236" t="s">
        <v>917</v>
      </c>
      <c r="C4" s="3236"/>
      <c r="D4" s="3236"/>
      <c r="E4" s="1388"/>
    </row>
    <row r="5" spans="1:5" ht="16.5" thickTop="1">
      <c r="B5" s="3234" t="s">
        <v>909</v>
      </c>
      <c r="C5" s="1389" t="s">
        <v>910</v>
      </c>
      <c r="D5" s="795" t="e">
        <f ca="1">结果表!H101</f>
        <v>#REF!</v>
      </c>
    </row>
    <row r="6" spans="1:5" ht="15.75">
      <c r="B6" s="3234"/>
      <c r="C6" s="1389" t="s">
        <v>911</v>
      </c>
      <c r="D6" s="795" t="e">
        <f ca="1">NUMBERSTRING(INT(D5*10000),2)&amp;"元整"</f>
        <v>#REF!</v>
      </c>
    </row>
    <row r="7" spans="1:5" ht="15.75">
      <c r="B7" s="3239"/>
      <c r="C7" s="1390" t="s">
        <v>912</v>
      </c>
      <c r="D7" s="796" t="e">
        <f ca="1">结果表!H102</f>
        <v>#REF!</v>
      </c>
    </row>
    <row r="8" spans="1:5" ht="15.75">
      <c r="B8" s="3240" t="str">
        <f>结果表!E103</f>
        <v>2.估价师知悉的法定优先受偿款</v>
      </c>
      <c r="C8" s="1391" t="s">
        <v>913</v>
      </c>
      <c r="D8" s="796">
        <f>结果表!H103</f>
        <v>0</v>
      </c>
    </row>
    <row r="9" spans="1:5" ht="15.75">
      <c r="B9" s="3242"/>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33" t="str">
        <f>结果表!E107</f>
        <v>3.房地产抵押价值</v>
      </c>
      <c r="C13" s="1394" t="s">
        <v>910</v>
      </c>
      <c r="D13" s="798" t="e">
        <f ca="1">结果表!H107</f>
        <v>#REF!</v>
      </c>
    </row>
    <row r="14" spans="1:5" ht="15.75">
      <c r="B14" s="3234"/>
      <c r="C14" s="1389" t="s">
        <v>911</v>
      </c>
      <c r="D14" s="795" t="e">
        <f ca="1">NUMBERSTRING(INT(D13*10000),2)&amp;"元整"</f>
        <v>#REF!</v>
      </c>
    </row>
    <row r="15" spans="1:5" ht="15">
      <c r="B15" s="3239"/>
      <c r="C15" s="1390" t="s">
        <v>921</v>
      </c>
      <c r="D15" s="804" t="e">
        <f ca="1">结果表!H108</f>
        <v>#REF!</v>
      </c>
    </row>
    <row r="16" spans="1:5" ht="15">
      <c r="B16" s="3240" t="str">
        <f>结果表!E109</f>
        <v>——</v>
      </c>
      <c r="C16" s="1394" t="s">
        <v>922</v>
      </c>
      <c r="D16" s="1395" t="str">
        <f>结果表!H109</f>
        <v>——</v>
      </c>
    </row>
    <row r="17" spans="1:5" ht="15.75">
      <c r="B17" s="3241"/>
      <c r="C17" s="1389" t="s">
        <v>923</v>
      </c>
      <c r="D17" s="795" t="e">
        <f>NUMBERSTRING(INT(D16*10000),2)&amp;"元整"</f>
        <v>#VALUE!</v>
      </c>
    </row>
    <row r="18" spans="1:5" ht="15">
      <c r="B18" s="3242"/>
      <c r="C18" s="1390" t="s">
        <v>912</v>
      </c>
      <c r="D18" s="804" t="str">
        <f>结果表!H110</f>
        <v>——</v>
      </c>
    </row>
    <row r="19" spans="1:5" ht="15.75">
      <c r="B19" s="3233" t="str">
        <f>结果表!E111</f>
        <v>——</v>
      </c>
      <c r="C19" s="1394" t="s">
        <v>910</v>
      </c>
      <c r="D19" s="796" t="str">
        <f>结果表!H111</f>
        <v>——</v>
      </c>
    </row>
    <row r="20" spans="1:5" ht="15.75">
      <c r="B20" s="3234"/>
      <c r="C20" s="1389" t="s">
        <v>923</v>
      </c>
      <c r="D20" s="795" t="e">
        <f>NUMBERSTRING(INT(D19*10000),2)&amp;"元整"</f>
        <v>#VALUE!</v>
      </c>
    </row>
    <row r="21" spans="1:5" ht="15.75" thickBot="1">
      <c r="B21" s="3235"/>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50AA9-7812-406F-8085-BC9014F56F37}">
  <dimension ref="A1"/>
  <sheetViews>
    <sheetView zoomScale="85" zoomScaleNormal="85" workbookViewId="0">
      <selection activeCell="O20" sqref="O20"/>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23F9F-16E1-4007-AE29-3AE4B40E2526}">
  <dimension ref="A1:Z24"/>
  <sheetViews>
    <sheetView workbookViewId="0">
      <selection activeCell="E26" sqref="E26"/>
    </sheetView>
  </sheetViews>
  <sheetFormatPr defaultRowHeight="12"/>
  <cols>
    <col min="1" max="1" width="25" style="3193" customWidth="1"/>
    <col min="2" max="3" width="6.375" style="3192" bestFit="1" customWidth="1"/>
    <col min="4" max="4" width="22.625" style="3192" customWidth="1"/>
    <col min="5" max="5" width="11.125" style="3192" customWidth="1"/>
    <col min="6" max="6" width="10.625" style="3192" customWidth="1"/>
    <col min="7" max="7" width="12.375" style="3192" bestFit="1" customWidth="1"/>
    <col min="8" max="8" width="17.625" style="3192" customWidth="1"/>
    <col min="9" max="9" width="18.5" style="3192" customWidth="1"/>
    <col min="10" max="10" width="8.75" style="3192" customWidth="1"/>
    <col min="11" max="11" width="8" style="3192" bestFit="1" customWidth="1"/>
    <col min="12" max="13" width="10.25" style="3192" bestFit="1" customWidth="1"/>
    <col min="14" max="14" width="8" style="3192" bestFit="1" customWidth="1"/>
    <col min="15" max="15" width="10" style="3192" customWidth="1"/>
    <col min="16" max="16" width="10.125" style="3192" customWidth="1"/>
    <col min="17" max="19" width="10.125" style="3192" hidden="1" customWidth="1"/>
    <col min="20" max="20" width="12.75" style="3192" customWidth="1"/>
    <col min="21" max="22" width="12.75" style="3192" hidden="1" customWidth="1"/>
    <col min="23" max="23" width="10.375" style="3192" customWidth="1"/>
    <col min="24" max="24" width="8.625" style="3192" customWidth="1"/>
    <col min="25" max="25" width="9.125" style="3192" customWidth="1"/>
    <col min="26" max="26" width="31.25" style="3192" bestFit="1" customWidth="1"/>
    <col min="27" max="16384" width="9" style="3192"/>
  </cols>
  <sheetData>
    <row r="1" spans="1:26" ht="36">
      <c r="A1" s="3195" t="s">
        <v>3683</v>
      </c>
      <c r="B1" s="3194" t="s">
        <v>3682</v>
      </c>
      <c r="C1" s="3194" t="s">
        <v>3681</v>
      </c>
      <c r="D1" s="3194" t="s">
        <v>3680</v>
      </c>
      <c r="E1" s="3194" t="s">
        <v>3679</v>
      </c>
      <c r="F1" s="3194" t="s">
        <v>3678</v>
      </c>
      <c r="G1" s="3194" t="s">
        <v>3677</v>
      </c>
      <c r="H1" s="3194" t="s">
        <v>3676</v>
      </c>
      <c r="I1" s="3194" t="s">
        <v>3675</v>
      </c>
      <c r="J1" s="3194" t="s">
        <v>3674</v>
      </c>
      <c r="K1" s="3194" t="s">
        <v>3673</v>
      </c>
      <c r="L1" s="3194" t="s">
        <v>3672</v>
      </c>
      <c r="M1" s="3194" t="s">
        <v>3671</v>
      </c>
      <c r="N1" s="3194" t="s">
        <v>3670</v>
      </c>
      <c r="O1" s="3194" t="s">
        <v>3669</v>
      </c>
      <c r="P1" s="3194" t="s">
        <v>3668</v>
      </c>
      <c r="Q1" s="3196" t="s">
        <v>675</v>
      </c>
      <c r="R1" s="3196" t="s">
        <v>3687</v>
      </c>
      <c r="S1" s="3196" t="s">
        <v>3688</v>
      </c>
      <c r="T1" s="3194" t="s">
        <v>3667</v>
      </c>
      <c r="U1" s="3195" t="s">
        <v>3689</v>
      </c>
      <c r="V1" s="3195" t="s">
        <v>3690</v>
      </c>
      <c r="W1" s="3194" t="s">
        <v>3665</v>
      </c>
      <c r="X1" s="3194" t="s">
        <v>3666</v>
      </c>
      <c r="Y1" s="3194" t="s">
        <v>3665</v>
      </c>
      <c r="Z1" s="3194" t="s">
        <v>3664</v>
      </c>
    </row>
    <row r="2" spans="1:26" ht="12" customHeight="1">
      <c r="A2" s="3195" t="s">
        <v>3663</v>
      </c>
      <c r="B2" s="3194" t="s">
        <v>3533</v>
      </c>
      <c r="C2" s="3194" t="s">
        <v>3540</v>
      </c>
      <c r="D2" s="3194" t="s">
        <v>3662</v>
      </c>
      <c r="E2" s="3194">
        <v>11304.48</v>
      </c>
      <c r="F2" s="3194">
        <v>71783.47</v>
      </c>
      <c r="G2" s="3194" t="s">
        <v>3530</v>
      </c>
      <c r="H2" s="3194" t="s">
        <v>3556</v>
      </c>
      <c r="I2" s="3194" t="s">
        <v>3661</v>
      </c>
      <c r="J2" s="3194" t="s">
        <v>3660</v>
      </c>
      <c r="K2" s="3194" t="s">
        <v>3526</v>
      </c>
      <c r="L2" s="3194" t="s">
        <v>3659</v>
      </c>
      <c r="M2" s="3194" t="s">
        <v>3659</v>
      </c>
      <c r="N2" s="3194" t="s">
        <v>3524</v>
      </c>
      <c r="O2" s="3194">
        <v>93950</v>
      </c>
      <c r="P2" s="3194">
        <v>93950</v>
      </c>
      <c r="Q2" s="3194"/>
      <c r="R2" s="3194"/>
      <c r="S2" s="3194"/>
      <c r="T2" s="3194">
        <v>83108.639999999999</v>
      </c>
      <c r="U2" s="3194"/>
      <c r="V2" s="3194"/>
      <c r="W2" s="3194">
        <v>5540.58</v>
      </c>
      <c r="X2" s="3194">
        <v>13088</v>
      </c>
      <c r="Y2" s="3194">
        <v>0</v>
      </c>
      <c r="Z2" s="3194" t="s">
        <v>3658</v>
      </c>
    </row>
    <row r="3" spans="1:26" ht="12" customHeight="1">
      <c r="A3" s="3195" t="s">
        <v>3657</v>
      </c>
      <c r="B3" s="3194" t="s">
        <v>3533</v>
      </c>
      <c r="C3" s="3194" t="s">
        <v>3540</v>
      </c>
      <c r="D3" s="3194" t="s">
        <v>3656</v>
      </c>
      <c r="E3" s="3194">
        <v>10200.06</v>
      </c>
      <c r="F3" s="3194">
        <v>20400.12</v>
      </c>
      <c r="G3" s="3194" t="s">
        <v>3530</v>
      </c>
      <c r="H3" s="3194" t="s">
        <v>3529</v>
      </c>
      <c r="I3" s="3194" t="s">
        <v>3650</v>
      </c>
      <c r="J3" s="3194" t="s">
        <v>3655</v>
      </c>
      <c r="K3" s="3194" t="s">
        <v>3526</v>
      </c>
      <c r="L3" s="3194" t="s">
        <v>3654</v>
      </c>
      <c r="M3" s="3194" t="s">
        <v>3654</v>
      </c>
      <c r="N3" s="3194" t="s">
        <v>3524</v>
      </c>
      <c r="O3" s="3194">
        <v>14800</v>
      </c>
      <c r="P3" s="3194">
        <v>14800</v>
      </c>
      <c r="Q3" s="3194"/>
      <c r="R3" s="3194"/>
      <c r="S3" s="3194"/>
      <c r="T3" s="3194">
        <v>14509.71</v>
      </c>
      <c r="U3" s="3194"/>
      <c r="V3" s="3194"/>
      <c r="W3" s="3194">
        <v>967.31</v>
      </c>
      <c r="X3" s="3194">
        <v>7255</v>
      </c>
      <c r="Y3" s="3194">
        <v>0</v>
      </c>
      <c r="Z3" s="3194" t="s">
        <v>3653</v>
      </c>
    </row>
    <row r="4" spans="1:26" ht="12" customHeight="1">
      <c r="A4" s="3195" t="s">
        <v>3652</v>
      </c>
      <c r="B4" s="3194" t="s">
        <v>3533</v>
      </c>
      <c r="C4" s="3194" t="s">
        <v>3540</v>
      </c>
      <c r="D4" s="3194" t="s">
        <v>3651</v>
      </c>
      <c r="E4" s="3194">
        <v>21545.599999999999</v>
      </c>
      <c r="F4" s="3194">
        <v>40505.730000000003</v>
      </c>
      <c r="G4" s="3194" t="s">
        <v>3530</v>
      </c>
      <c r="H4" s="3194" t="s">
        <v>3556</v>
      </c>
      <c r="I4" s="3194" t="s">
        <v>3650</v>
      </c>
      <c r="J4" s="3194" t="s">
        <v>3649</v>
      </c>
      <c r="K4" s="3194" t="s">
        <v>3526</v>
      </c>
      <c r="L4" s="3194" t="s">
        <v>3648</v>
      </c>
      <c r="M4" s="3194" t="s">
        <v>3648</v>
      </c>
      <c r="N4" s="3194" t="s">
        <v>3524</v>
      </c>
      <c r="O4" s="3194">
        <v>37500</v>
      </c>
      <c r="P4" s="3194">
        <v>37500</v>
      </c>
      <c r="Q4" s="3194"/>
      <c r="R4" s="3194"/>
      <c r="S4" s="3194"/>
      <c r="T4" s="3194">
        <v>17404.939999999999</v>
      </c>
      <c r="U4" s="3194"/>
      <c r="V4" s="3194"/>
      <c r="W4" s="3194">
        <v>1160.33</v>
      </c>
      <c r="X4" s="3194">
        <v>9258</v>
      </c>
      <c r="Y4" s="3194">
        <v>0</v>
      </c>
      <c r="Z4" s="3194" t="s">
        <v>3647</v>
      </c>
    </row>
    <row r="5" spans="1:26" ht="12" customHeight="1">
      <c r="A5" s="3195" t="s">
        <v>3646</v>
      </c>
      <c r="B5" s="3194" t="s">
        <v>3533</v>
      </c>
      <c r="C5" s="3194" t="s">
        <v>3540</v>
      </c>
      <c r="D5" s="3194" t="s">
        <v>3645</v>
      </c>
      <c r="E5" s="3194">
        <v>31330.48</v>
      </c>
      <c r="F5" s="3194">
        <v>122233</v>
      </c>
      <c r="G5" s="3194" t="s">
        <v>3530</v>
      </c>
      <c r="H5" s="3194" t="s">
        <v>3556</v>
      </c>
      <c r="I5" s="3194" t="s">
        <v>3629</v>
      </c>
      <c r="J5" s="3194" t="s">
        <v>3644</v>
      </c>
      <c r="K5" s="3194" t="s">
        <v>3526</v>
      </c>
      <c r="L5" s="3194" t="s">
        <v>3639</v>
      </c>
      <c r="M5" s="3194" t="s">
        <v>3639</v>
      </c>
      <c r="N5" s="3194" t="s">
        <v>3524</v>
      </c>
      <c r="O5" s="3194">
        <v>163410</v>
      </c>
      <c r="P5" s="3194">
        <v>163410</v>
      </c>
      <c r="Q5" s="3194"/>
      <c r="R5" s="3194"/>
      <c r="S5" s="3194"/>
      <c r="T5" s="3194">
        <v>52156.88</v>
      </c>
      <c r="U5" s="3194"/>
      <c r="V5" s="3194"/>
      <c r="W5" s="3194">
        <v>3477.13</v>
      </c>
      <c r="X5" s="3194">
        <v>13369</v>
      </c>
      <c r="Y5" s="3194">
        <v>0</v>
      </c>
      <c r="Z5" s="3194" t="s">
        <v>3643</v>
      </c>
    </row>
    <row r="6" spans="1:26" ht="12" customHeight="1">
      <c r="A6" s="3195" t="s">
        <v>3642</v>
      </c>
      <c r="B6" s="3194" t="s">
        <v>3533</v>
      </c>
      <c r="C6" s="3194" t="s">
        <v>3540</v>
      </c>
      <c r="D6" s="3194" t="s">
        <v>3641</v>
      </c>
      <c r="E6" s="3194">
        <v>4239.42</v>
      </c>
      <c r="F6" s="3194">
        <v>16957.66</v>
      </c>
      <c r="G6" s="3194" t="s">
        <v>3530</v>
      </c>
      <c r="H6" s="3194" t="s">
        <v>3556</v>
      </c>
      <c r="I6" s="3194" t="s">
        <v>3629</v>
      </c>
      <c r="J6" s="3194" t="s">
        <v>3640</v>
      </c>
      <c r="K6" s="3194" t="s">
        <v>3526</v>
      </c>
      <c r="L6" s="3194" t="s">
        <v>3639</v>
      </c>
      <c r="M6" s="3194" t="s">
        <v>3639</v>
      </c>
      <c r="N6" s="3194" t="s">
        <v>3524</v>
      </c>
      <c r="O6" s="3194">
        <v>22680</v>
      </c>
      <c r="P6" s="3194">
        <v>22680</v>
      </c>
      <c r="Q6" s="3194"/>
      <c r="R6" s="3194"/>
      <c r="S6" s="3194"/>
      <c r="T6" s="3194">
        <v>53497.88</v>
      </c>
      <c r="U6" s="3194"/>
      <c r="V6" s="3194"/>
      <c r="W6" s="3194">
        <v>3566.53</v>
      </c>
      <c r="X6" s="3194">
        <v>13374</v>
      </c>
      <c r="Y6" s="3194">
        <v>0</v>
      </c>
      <c r="Z6" s="3194" t="s">
        <v>3638</v>
      </c>
    </row>
    <row r="7" spans="1:26" ht="12" customHeight="1">
      <c r="A7" s="3195" t="s">
        <v>3637</v>
      </c>
      <c r="B7" s="3194" t="s">
        <v>3533</v>
      </c>
      <c r="C7" s="3194" t="s">
        <v>3607</v>
      </c>
      <c r="D7" s="3194" t="s">
        <v>3636</v>
      </c>
      <c r="E7" s="3194">
        <v>54036.49</v>
      </c>
      <c r="F7" s="3194">
        <v>81054.740000000005</v>
      </c>
      <c r="G7" s="3194" t="s">
        <v>3530</v>
      </c>
      <c r="H7" s="3194" t="s">
        <v>3635</v>
      </c>
      <c r="I7" s="3194" t="s">
        <v>3634</v>
      </c>
      <c r="J7" s="3194" t="s">
        <v>3604</v>
      </c>
      <c r="K7" s="3194" t="s">
        <v>3526</v>
      </c>
      <c r="L7" s="3194" t="s">
        <v>3633</v>
      </c>
      <c r="M7" s="3194" t="s">
        <v>3633</v>
      </c>
      <c r="N7" s="3194" t="s">
        <v>3524</v>
      </c>
      <c r="O7" s="3194">
        <v>56400</v>
      </c>
      <c r="P7" s="3194">
        <v>56400</v>
      </c>
      <c r="Q7" s="3194"/>
      <c r="R7" s="3194"/>
      <c r="S7" s="3194"/>
      <c r="T7" s="3194">
        <v>10437.39</v>
      </c>
      <c r="U7" s="3194"/>
      <c r="V7" s="3194"/>
      <c r="W7" s="3194">
        <v>695.83</v>
      </c>
      <c r="X7" s="3194">
        <v>6958</v>
      </c>
      <c r="Y7" s="3194">
        <v>0</v>
      </c>
      <c r="Z7" s="3194" t="s">
        <v>3632</v>
      </c>
    </row>
    <row r="8" spans="1:26" ht="12" customHeight="1">
      <c r="A8" s="3195" t="s">
        <v>3631</v>
      </c>
      <c r="B8" s="3194" t="s">
        <v>3533</v>
      </c>
      <c r="C8" s="3194" t="s">
        <v>3540</v>
      </c>
      <c r="D8" s="3194" t="s">
        <v>3630</v>
      </c>
      <c r="E8" s="3194">
        <v>5369.21</v>
      </c>
      <c r="F8" s="3194">
        <v>12886.11</v>
      </c>
      <c r="G8" s="3194" t="s">
        <v>3530</v>
      </c>
      <c r="H8" s="3194" t="s">
        <v>3556</v>
      </c>
      <c r="I8" s="3194" t="s">
        <v>3629</v>
      </c>
      <c r="J8" s="3194" t="s">
        <v>3628</v>
      </c>
      <c r="K8" s="3194" t="s">
        <v>3526</v>
      </c>
      <c r="L8" s="3194" t="s">
        <v>3627</v>
      </c>
      <c r="M8" s="3194" t="s">
        <v>3627</v>
      </c>
      <c r="N8" s="3194" t="s">
        <v>3524</v>
      </c>
      <c r="O8" s="3194">
        <v>17220</v>
      </c>
      <c r="P8" s="3194">
        <v>17220</v>
      </c>
      <c r="Q8" s="3194"/>
      <c r="R8" s="3194"/>
      <c r="S8" s="3194"/>
      <c r="T8" s="3194">
        <v>32071.75</v>
      </c>
      <c r="U8" s="3194"/>
      <c r="V8" s="3194"/>
      <c r="W8" s="3194">
        <v>2138.12</v>
      </c>
      <c r="X8" s="3194">
        <v>13363</v>
      </c>
      <c r="Y8" s="3194">
        <v>0</v>
      </c>
      <c r="Z8" s="3194" t="s">
        <v>3626</v>
      </c>
    </row>
    <row r="9" spans="1:26" ht="12" customHeight="1">
      <c r="A9" s="3195" t="s">
        <v>3625</v>
      </c>
      <c r="B9" s="3194" t="s">
        <v>3533</v>
      </c>
      <c r="C9" s="3194" t="s">
        <v>3558</v>
      </c>
      <c r="D9" s="3194" t="s">
        <v>3624</v>
      </c>
      <c r="E9" s="3194">
        <v>51399.76</v>
      </c>
      <c r="F9" s="3194">
        <v>52941.75</v>
      </c>
      <c r="G9" s="3194" t="s">
        <v>3530</v>
      </c>
      <c r="H9" s="3194" t="s">
        <v>3556</v>
      </c>
      <c r="I9" s="3194" t="s">
        <v>3623</v>
      </c>
      <c r="J9" s="3194" t="s">
        <v>3622</v>
      </c>
      <c r="K9" s="3194" t="s">
        <v>3526</v>
      </c>
      <c r="L9" s="3194" t="s">
        <v>3621</v>
      </c>
      <c r="M9" s="3194" t="s">
        <v>3621</v>
      </c>
      <c r="N9" s="3194" t="s">
        <v>3524</v>
      </c>
      <c r="O9" s="3194">
        <v>121800</v>
      </c>
      <c r="P9" s="3194">
        <v>121800</v>
      </c>
      <c r="Q9" s="3194"/>
      <c r="R9" s="3194"/>
      <c r="S9" s="3194"/>
      <c r="T9" s="3194">
        <v>23696.61</v>
      </c>
      <c r="U9" s="3194"/>
      <c r="V9" s="3194"/>
      <c r="W9" s="3194">
        <v>1579.77</v>
      </c>
      <c r="X9" s="3194">
        <v>23006</v>
      </c>
      <c r="Y9" s="3194">
        <v>0</v>
      </c>
      <c r="Z9" s="3194" t="s">
        <v>3620</v>
      </c>
    </row>
    <row r="10" spans="1:26" ht="12" customHeight="1">
      <c r="A10" s="3195" t="s">
        <v>3619</v>
      </c>
      <c r="B10" s="3194" t="s">
        <v>3533</v>
      </c>
      <c r="C10" s="3194" t="s">
        <v>3540</v>
      </c>
      <c r="D10" s="3194" t="s">
        <v>3618</v>
      </c>
      <c r="E10" s="3194">
        <v>13348.31</v>
      </c>
      <c r="F10" s="3194">
        <v>17352.8</v>
      </c>
      <c r="G10" s="3194" t="s">
        <v>3530</v>
      </c>
      <c r="H10" s="3194" t="s">
        <v>3617</v>
      </c>
      <c r="I10" s="3194" t="s">
        <v>3616</v>
      </c>
      <c r="J10" s="3194" t="s">
        <v>3615</v>
      </c>
      <c r="K10" s="3194" t="s">
        <v>3526</v>
      </c>
      <c r="L10" s="3194" t="s">
        <v>3614</v>
      </c>
      <c r="M10" s="3194" t="s">
        <v>3614</v>
      </c>
      <c r="N10" s="3194" t="s">
        <v>3524</v>
      </c>
      <c r="O10" s="3194">
        <v>6823.12</v>
      </c>
      <c r="P10" s="3194">
        <v>6823.12</v>
      </c>
      <c r="Q10" s="3194"/>
      <c r="R10" s="3194"/>
      <c r="S10" s="3194"/>
      <c r="T10" s="3194">
        <v>5111.59</v>
      </c>
      <c r="U10" s="3194"/>
      <c r="V10" s="3194"/>
      <c r="W10" s="3194">
        <v>340.77</v>
      </c>
      <c r="X10" s="3194">
        <v>3932</v>
      </c>
      <c r="Y10" s="3194">
        <v>0</v>
      </c>
      <c r="Z10" s="3194" t="s">
        <v>3613</v>
      </c>
    </row>
    <row r="11" spans="1:26" ht="12" customHeight="1">
      <c r="A11" s="3195" t="s">
        <v>3612</v>
      </c>
      <c r="B11" s="3194" t="s">
        <v>3533</v>
      </c>
      <c r="C11" s="3194" t="s">
        <v>3540</v>
      </c>
      <c r="D11" s="3194" t="s">
        <v>3611</v>
      </c>
      <c r="E11" s="3194">
        <v>41129.769999999997</v>
      </c>
      <c r="F11" s="3194">
        <v>90485.49</v>
      </c>
      <c r="G11" s="3194" t="s">
        <v>3530</v>
      </c>
      <c r="H11" s="3194" t="s">
        <v>3556</v>
      </c>
      <c r="I11" s="3194" t="s">
        <v>3575</v>
      </c>
      <c r="J11" s="3194" t="s">
        <v>3555</v>
      </c>
      <c r="K11" s="3194" t="s">
        <v>3526</v>
      </c>
      <c r="L11" s="3194" t="s">
        <v>3610</v>
      </c>
      <c r="M11" s="3194" t="s">
        <v>3610</v>
      </c>
      <c r="N11" s="3194" t="s">
        <v>3524</v>
      </c>
      <c r="O11" s="3194">
        <v>80900</v>
      </c>
      <c r="P11" s="3194">
        <v>80900</v>
      </c>
      <c r="Q11" s="3194"/>
      <c r="R11" s="3194"/>
      <c r="S11" s="3194"/>
      <c r="T11" s="3194">
        <v>19669.45</v>
      </c>
      <c r="U11" s="3194"/>
      <c r="V11" s="3194"/>
      <c r="W11" s="3194">
        <v>1311.3</v>
      </c>
      <c r="X11" s="3194">
        <v>8941</v>
      </c>
      <c r="Y11" s="3194">
        <v>0</v>
      </c>
      <c r="Z11" s="3194" t="s">
        <v>3609</v>
      </c>
    </row>
    <row r="12" spans="1:26" ht="12" customHeight="1">
      <c r="A12" s="3195" t="s">
        <v>3608</v>
      </c>
      <c r="B12" s="3194" t="s">
        <v>3533</v>
      </c>
      <c r="C12" s="3194" t="s">
        <v>3607</v>
      </c>
      <c r="D12" s="3194" t="s">
        <v>3606</v>
      </c>
      <c r="E12" s="3194">
        <v>21154.74</v>
      </c>
      <c r="F12" s="3194">
        <v>31732.11</v>
      </c>
      <c r="G12" s="3194" t="s">
        <v>3530</v>
      </c>
      <c r="H12" s="3194" t="s">
        <v>3605</v>
      </c>
      <c r="I12" s="3194" t="s">
        <v>3575</v>
      </c>
      <c r="J12" s="3194" t="s">
        <v>3604</v>
      </c>
      <c r="K12" s="3194" t="s">
        <v>3526</v>
      </c>
      <c r="L12" s="3194" t="s">
        <v>3603</v>
      </c>
      <c r="M12" s="3194" t="s">
        <v>3603</v>
      </c>
      <c r="N12" s="3194" t="s">
        <v>3524</v>
      </c>
      <c r="O12" s="3194">
        <v>29600</v>
      </c>
      <c r="P12" s="3194">
        <v>29600</v>
      </c>
      <c r="Q12" s="3194"/>
      <c r="R12" s="3194"/>
      <c r="S12" s="3194"/>
      <c r="T12" s="3194">
        <v>13992.13</v>
      </c>
      <c r="U12" s="3194"/>
      <c r="V12" s="3194"/>
      <c r="W12" s="3194">
        <v>932.81</v>
      </c>
      <c r="X12" s="3194">
        <v>9328</v>
      </c>
      <c r="Y12" s="3194">
        <v>0</v>
      </c>
      <c r="Z12" s="3194" t="s">
        <v>3602</v>
      </c>
    </row>
    <row r="13" spans="1:26" ht="12" customHeight="1">
      <c r="A13" s="3195" t="s">
        <v>3601</v>
      </c>
      <c r="B13" s="3194" t="s">
        <v>3533</v>
      </c>
      <c r="C13" s="3194" t="s">
        <v>3540</v>
      </c>
      <c r="D13" s="3194" t="s">
        <v>3600</v>
      </c>
      <c r="E13" s="3194">
        <v>19810.400000000001</v>
      </c>
      <c r="F13" s="3194">
        <v>700</v>
      </c>
      <c r="G13" s="3194" t="s">
        <v>3530</v>
      </c>
      <c r="H13" s="3194" t="s">
        <v>3599</v>
      </c>
      <c r="I13" s="3194" t="s">
        <v>3575</v>
      </c>
      <c r="J13" s="3194" t="s">
        <v>3598</v>
      </c>
      <c r="K13" s="3194" t="s">
        <v>3526</v>
      </c>
      <c r="L13" s="3194" t="s">
        <v>3597</v>
      </c>
      <c r="M13" s="3194" t="s">
        <v>3597</v>
      </c>
      <c r="N13" s="3194" t="s">
        <v>3524</v>
      </c>
      <c r="O13" s="3194">
        <v>6600</v>
      </c>
      <c r="P13" s="3194">
        <v>6600</v>
      </c>
      <c r="Q13" s="3194"/>
      <c r="R13" s="3194"/>
      <c r="S13" s="3194"/>
      <c r="T13" s="3194">
        <v>3331.58</v>
      </c>
      <c r="U13" s="3194"/>
      <c r="V13" s="3194"/>
      <c r="W13" s="3194">
        <v>222.11</v>
      </c>
      <c r="X13" s="3194">
        <v>94286</v>
      </c>
      <c r="Y13" s="3194">
        <v>0</v>
      </c>
      <c r="Z13" s="3194" t="s">
        <v>3596</v>
      </c>
    </row>
    <row r="14" spans="1:26" ht="12" customHeight="1">
      <c r="A14" s="3195" t="s">
        <v>3595</v>
      </c>
      <c r="B14" s="3194" t="s">
        <v>3533</v>
      </c>
      <c r="C14" s="3194" t="s">
        <v>3558</v>
      </c>
      <c r="D14" s="3194" t="s">
        <v>3594</v>
      </c>
      <c r="E14" s="3194">
        <v>8286.49</v>
      </c>
      <c r="F14" s="3194">
        <v>8286.49</v>
      </c>
      <c r="G14" s="3194" t="s">
        <v>3530</v>
      </c>
      <c r="H14" s="3194" t="s">
        <v>3593</v>
      </c>
      <c r="I14" s="3194" t="s">
        <v>3575</v>
      </c>
      <c r="J14" s="3194" t="s">
        <v>3592</v>
      </c>
      <c r="K14" s="3194" t="s">
        <v>3526</v>
      </c>
      <c r="L14" s="3194" t="s">
        <v>3586</v>
      </c>
      <c r="M14" s="3194" t="s">
        <v>3586</v>
      </c>
      <c r="N14" s="3194" t="s">
        <v>3524</v>
      </c>
      <c r="O14" s="3194">
        <v>16000</v>
      </c>
      <c r="P14" s="3194">
        <v>16000</v>
      </c>
      <c r="Q14" s="3194">
        <v>7</v>
      </c>
      <c r="R14" s="3194">
        <v>1.2302</v>
      </c>
      <c r="S14" s="3194">
        <v>1.2302</v>
      </c>
      <c r="T14" s="3194">
        <v>19308.53</v>
      </c>
      <c r="U14" s="3194">
        <f>ROUND(X14*S14/R14,0)</f>
        <v>19309</v>
      </c>
      <c r="V14" s="3194">
        <f>ROUND(U14*1.2302/S14,0)</f>
        <v>19309</v>
      </c>
      <c r="W14" s="3194">
        <v>1287.24</v>
      </c>
      <c r="X14" s="3194">
        <v>19309</v>
      </c>
      <c r="Y14" s="3194">
        <v>0</v>
      </c>
      <c r="Z14" s="3194" t="s">
        <v>3591</v>
      </c>
    </row>
    <row r="15" spans="1:26" ht="12" customHeight="1">
      <c r="A15" s="3195" t="s">
        <v>3590</v>
      </c>
      <c r="B15" s="3194" t="s">
        <v>3533</v>
      </c>
      <c r="C15" s="3194" t="s">
        <v>3558</v>
      </c>
      <c r="D15" s="3194" t="s">
        <v>3589</v>
      </c>
      <c r="E15" s="3194">
        <v>78101.460000000006</v>
      </c>
      <c r="F15" s="3194">
        <v>249924.67</v>
      </c>
      <c r="G15" s="3194" t="s">
        <v>3530</v>
      </c>
      <c r="H15" s="3194" t="s">
        <v>3588</v>
      </c>
      <c r="I15" s="3194" t="s">
        <v>3575</v>
      </c>
      <c r="J15" s="3194" t="s">
        <v>3587</v>
      </c>
      <c r="K15" s="3194" t="s">
        <v>3526</v>
      </c>
      <c r="L15" s="3194" t="s">
        <v>3586</v>
      </c>
      <c r="M15" s="3194" t="s">
        <v>3586</v>
      </c>
      <c r="N15" s="3194" t="s">
        <v>3524</v>
      </c>
      <c r="O15" s="3194">
        <v>423000</v>
      </c>
      <c r="P15" s="3194">
        <v>423000</v>
      </c>
      <c r="Q15" s="3194"/>
      <c r="R15" s="3194"/>
      <c r="S15" s="3194"/>
      <c r="T15" s="3194">
        <v>54160.32</v>
      </c>
      <c r="U15" s="3194"/>
      <c r="V15" s="3194"/>
      <c r="W15" s="3194">
        <v>3610.69</v>
      </c>
      <c r="X15" s="3194">
        <v>16925</v>
      </c>
      <c r="Y15" s="3194">
        <v>0</v>
      </c>
      <c r="Z15" s="3194" t="s">
        <v>3585</v>
      </c>
    </row>
    <row r="16" spans="1:26" ht="12" customHeight="1">
      <c r="A16" s="3195" t="s">
        <v>3584</v>
      </c>
      <c r="B16" s="3194" t="s">
        <v>3533</v>
      </c>
      <c r="C16" s="3194" t="s">
        <v>3558</v>
      </c>
      <c r="D16" s="3194" t="s">
        <v>3583</v>
      </c>
      <c r="E16" s="3194">
        <v>37655.61</v>
      </c>
      <c r="F16" s="3194">
        <v>56108.97</v>
      </c>
      <c r="G16" s="3194" t="s">
        <v>3530</v>
      </c>
      <c r="H16" s="3194" t="s">
        <v>3582</v>
      </c>
      <c r="I16" s="3194" t="s">
        <v>3581</v>
      </c>
      <c r="J16" s="3194" t="s">
        <v>3580</v>
      </c>
      <c r="K16" s="3194" t="s">
        <v>3526</v>
      </c>
      <c r="L16" s="3194" t="s">
        <v>3579</v>
      </c>
      <c r="M16" s="3194" t="s">
        <v>3579</v>
      </c>
      <c r="N16" s="3194" t="s">
        <v>3524</v>
      </c>
      <c r="O16" s="3194">
        <v>74000</v>
      </c>
      <c r="P16" s="3194">
        <v>74000</v>
      </c>
      <c r="Q16" s="3194"/>
      <c r="R16" s="3194"/>
      <c r="S16" s="3194"/>
      <c r="T16" s="3194">
        <v>19651.78</v>
      </c>
      <c r="U16" s="3194"/>
      <c r="V16" s="3194"/>
      <c r="W16" s="3194">
        <v>1310.1199999999999</v>
      </c>
      <c r="X16" s="3194">
        <v>13189</v>
      </c>
      <c r="Y16" s="3194">
        <v>0</v>
      </c>
      <c r="Z16" s="3194" t="s">
        <v>3578</v>
      </c>
    </row>
    <row r="17" spans="1:26" ht="12" customHeight="1">
      <c r="A17" s="3195" t="s">
        <v>3577</v>
      </c>
      <c r="B17" s="3194" t="s">
        <v>3533</v>
      </c>
      <c r="C17" s="3194" t="s">
        <v>3532</v>
      </c>
      <c r="D17" s="3194" t="s">
        <v>3576</v>
      </c>
      <c r="E17" s="3194">
        <v>9999.98</v>
      </c>
      <c r="F17" s="3194">
        <v>17599.96</v>
      </c>
      <c r="G17" s="3194" t="s">
        <v>3530</v>
      </c>
      <c r="H17" s="3194" t="s">
        <v>3529</v>
      </c>
      <c r="I17" s="3194" t="s">
        <v>3575</v>
      </c>
      <c r="J17" s="3194" t="s">
        <v>3574</v>
      </c>
      <c r="K17" s="3194" t="s">
        <v>3526</v>
      </c>
      <c r="L17" s="3194" t="s">
        <v>3573</v>
      </c>
      <c r="M17" s="3194" t="s">
        <v>3573</v>
      </c>
      <c r="N17" s="3194" t="s">
        <v>3524</v>
      </c>
      <c r="O17" s="3194">
        <v>37700</v>
      </c>
      <c r="P17" s="3194">
        <v>37700</v>
      </c>
      <c r="Q17" s="3194"/>
      <c r="R17" s="3194"/>
      <c r="S17" s="3194"/>
      <c r="T17" s="3194">
        <v>37700.07</v>
      </c>
      <c r="U17" s="3194"/>
      <c r="V17" s="3194"/>
      <c r="W17" s="3194">
        <v>2513.34</v>
      </c>
      <c r="X17" s="3194">
        <v>21421</v>
      </c>
      <c r="Y17" s="3194">
        <v>0</v>
      </c>
      <c r="Z17" s="3194" t="s">
        <v>3572</v>
      </c>
    </row>
    <row r="18" spans="1:26" ht="12" customHeight="1">
      <c r="A18" s="3195" t="s">
        <v>3571</v>
      </c>
      <c r="B18" s="3194" t="s">
        <v>3533</v>
      </c>
      <c r="C18" s="3194" t="s">
        <v>3558</v>
      </c>
      <c r="D18" s="3194" t="s">
        <v>3570</v>
      </c>
      <c r="E18" s="3194">
        <v>70601.06</v>
      </c>
      <c r="F18" s="3194">
        <v>285523</v>
      </c>
      <c r="G18" s="3194" t="s">
        <v>3530</v>
      </c>
      <c r="H18" s="3194" t="s">
        <v>3569</v>
      </c>
      <c r="I18" s="3194" t="s">
        <v>3568</v>
      </c>
      <c r="J18" s="3194" t="s">
        <v>3567</v>
      </c>
      <c r="K18" s="3194" t="s">
        <v>3526</v>
      </c>
      <c r="L18" s="3194" t="s">
        <v>3566</v>
      </c>
      <c r="M18" s="3194" t="s">
        <v>3566</v>
      </c>
      <c r="N18" s="3194" t="s">
        <v>3524</v>
      </c>
      <c r="O18" s="3194">
        <v>642000</v>
      </c>
      <c r="P18" s="3194">
        <v>642000</v>
      </c>
      <c r="Q18" s="3194"/>
      <c r="R18" s="3194"/>
      <c r="S18" s="3194"/>
      <c r="T18" s="3194">
        <v>90933.48</v>
      </c>
      <c r="U18" s="3194"/>
      <c r="V18" s="3194"/>
      <c r="W18" s="3194">
        <v>6062.23</v>
      </c>
      <c r="X18" s="3194">
        <v>22485</v>
      </c>
      <c r="Y18" s="3194">
        <v>0</v>
      </c>
      <c r="Z18" s="3194" t="s">
        <v>3565</v>
      </c>
    </row>
    <row r="19" spans="1:26" ht="12" customHeight="1">
      <c r="A19" s="3195" t="s">
        <v>3564</v>
      </c>
      <c r="B19" s="3194" t="s">
        <v>3533</v>
      </c>
      <c r="C19" s="3194" t="s">
        <v>3540</v>
      </c>
      <c r="D19" s="3194" t="s">
        <v>3563</v>
      </c>
      <c r="E19" s="3194">
        <v>9632.01</v>
      </c>
      <c r="F19" s="3194">
        <v>15025.93</v>
      </c>
      <c r="G19" s="3194" t="s">
        <v>3530</v>
      </c>
      <c r="H19" s="3194" t="s">
        <v>3556</v>
      </c>
      <c r="I19" s="3194" t="s">
        <v>3562</v>
      </c>
      <c r="J19" s="3194" t="s">
        <v>3561</v>
      </c>
      <c r="K19" s="3194" t="s">
        <v>3526</v>
      </c>
      <c r="L19" s="3194" t="s">
        <v>3560</v>
      </c>
      <c r="M19" s="3194" t="s">
        <v>3560</v>
      </c>
      <c r="N19" s="3194" t="s">
        <v>3524</v>
      </c>
      <c r="O19" s="3194">
        <v>13700</v>
      </c>
      <c r="P19" s="3194">
        <v>13700</v>
      </c>
      <c r="Q19" s="3194"/>
      <c r="R19" s="3194"/>
      <c r="S19" s="3194"/>
      <c r="T19" s="3194">
        <v>14223.4</v>
      </c>
      <c r="U19" s="3194"/>
      <c r="V19" s="3194"/>
      <c r="W19" s="3194">
        <v>948.23</v>
      </c>
      <c r="X19" s="3194">
        <v>9118</v>
      </c>
      <c r="Y19" s="3194">
        <v>0</v>
      </c>
      <c r="Z19" s="3194" t="s">
        <v>3547</v>
      </c>
    </row>
    <row r="20" spans="1:26" ht="12" customHeight="1">
      <c r="A20" s="3195" t="s">
        <v>3559</v>
      </c>
      <c r="B20" s="3194" t="s">
        <v>3533</v>
      </c>
      <c r="C20" s="3194" t="s">
        <v>3558</v>
      </c>
      <c r="D20" s="3194" t="s">
        <v>3557</v>
      </c>
      <c r="E20" s="3194">
        <v>49900.54</v>
      </c>
      <c r="F20" s="3194">
        <v>109781.19</v>
      </c>
      <c r="G20" s="3194" t="s">
        <v>3530</v>
      </c>
      <c r="H20" s="3194" t="s">
        <v>3556</v>
      </c>
      <c r="I20" s="3194" t="s">
        <v>3528</v>
      </c>
      <c r="J20" s="3194" t="s">
        <v>3555</v>
      </c>
      <c r="K20" s="3194" t="s">
        <v>3526</v>
      </c>
      <c r="L20" s="3194" t="s">
        <v>3554</v>
      </c>
      <c r="M20" s="3194" t="s">
        <v>3554</v>
      </c>
      <c r="N20" s="3194" t="s">
        <v>3524</v>
      </c>
      <c r="O20" s="3194">
        <v>227000</v>
      </c>
      <c r="P20" s="3194">
        <v>227000</v>
      </c>
      <c r="Q20" s="3194"/>
      <c r="R20" s="3194"/>
      <c r="S20" s="3194"/>
      <c r="T20" s="3194">
        <v>45490.49</v>
      </c>
      <c r="U20" s="3194"/>
      <c r="V20" s="3194"/>
      <c r="W20" s="3194">
        <v>3032.7</v>
      </c>
      <c r="X20" s="3194">
        <v>20677</v>
      </c>
      <c r="Y20" s="3194">
        <v>0</v>
      </c>
      <c r="Z20" s="3194" t="s">
        <v>3553</v>
      </c>
    </row>
    <row r="21" spans="1:26" ht="12" customHeight="1">
      <c r="A21" s="3195" t="s">
        <v>3552</v>
      </c>
      <c r="B21" s="3194" t="s">
        <v>3533</v>
      </c>
      <c r="C21" s="3194" t="s">
        <v>3540</v>
      </c>
      <c r="D21" s="3194" t="s">
        <v>3551</v>
      </c>
      <c r="E21" s="3194">
        <v>15459.22</v>
      </c>
      <c r="F21" s="3194">
        <v>52599.12</v>
      </c>
      <c r="G21" s="3194" t="s">
        <v>3530</v>
      </c>
      <c r="H21" s="3194" t="s">
        <v>3550</v>
      </c>
      <c r="I21" s="3194" t="s">
        <v>3549</v>
      </c>
      <c r="J21" s="3194" t="s">
        <v>3548</v>
      </c>
      <c r="K21" s="3194" t="s">
        <v>3526</v>
      </c>
      <c r="L21" s="3194" t="s">
        <v>3543</v>
      </c>
      <c r="M21" s="3194" t="s">
        <v>3543</v>
      </c>
      <c r="N21" s="3194" t="s">
        <v>3524</v>
      </c>
      <c r="O21" s="3194">
        <v>53100</v>
      </c>
      <c r="P21" s="3194">
        <v>53100</v>
      </c>
      <c r="Q21" s="3194"/>
      <c r="R21" s="3194"/>
      <c r="S21" s="3194"/>
      <c r="T21" s="3194">
        <v>34348.43</v>
      </c>
      <c r="U21" s="3194"/>
      <c r="V21" s="3194"/>
      <c r="W21" s="3194">
        <v>2289.9</v>
      </c>
      <c r="X21" s="3194">
        <v>10095</v>
      </c>
      <c r="Y21" s="3194">
        <v>0</v>
      </c>
      <c r="Z21" s="3194" t="s">
        <v>3547</v>
      </c>
    </row>
    <row r="22" spans="1:26" ht="12" customHeight="1">
      <c r="A22" s="3195" t="s">
        <v>3546</v>
      </c>
      <c r="B22" s="3194" t="s">
        <v>3533</v>
      </c>
      <c r="C22" s="3194" t="s">
        <v>3532</v>
      </c>
      <c r="D22" s="3194" t="s">
        <v>3545</v>
      </c>
      <c r="E22" s="3194">
        <v>10610.35</v>
      </c>
      <c r="F22" s="3194">
        <v>47747</v>
      </c>
      <c r="G22" s="3194" t="s">
        <v>3530</v>
      </c>
      <c r="H22" s="3194" t="s">
        <v>3529</v>
      </c>
      <c r="I22" s="3194" t="s">
        <v>3528</v>
      </c>
      <c r="J22" s="3194" t="s">
        <v>3544</v>
      </c>
      <c r="K22" s="3194" t="s">
        <v>3526</v>
      </c>
      <c r="L22" s="3194" t="s">
        <v>3543</v>
      </c>
      <c r="M22" s="3194" t="s">
        <v>3543</v>
      </c>
      <c r="N22" s="3194" t="s">
        <v>3524</v>
      </c>
      <c r="O22" s="3194">
        <v>134000</v>
      </c>
      <c r="P22" s="3194">
        <v>134000</v>
      </c>
      <c r="Q22" s="3194"/>
      <c r="R22" s="3194"/>
      <c r="S22" s="3194"/>
      <c r="T22" s="3194">
        <v>126291.78</v>
      </c>
      <c r="U22" s="3194"/>
      <c r="V22" s="3194"/>
      <c r="W22" s="3194">
        <v>8419.4500000000007</v>
      </c>
      <c r="X22" s="3194">
        <v>28065</v>
      </c>
      <c r="Y22" s="3194">
        <v>0</v>
      </c>
      <c r="Z22" s="3194" t="s">
        <v>3542</v>
      </c>
    </row>
    <row r="23" spans="1:26" ht="12" customHeight="1">
      <c r="A23" s="3195" t="s">
        <v>3541</v>
      </c>
      <c r="B23" s="3194" t="s">
        <v>3533</v>
      </c>
      <c r="C23" s="3194" t="s">
        <v>3540</v>
      </c>
      <c r="D23" s="3194" t="s">
        <v>3539</v>
      </c>
      <c r="E23" s="3194">
        <v>5500.65</v>
      </c>
      <c r="F23" s="3194">
        <v>15401.81</v>
      </c>
      <c r="G23" s="3194" t="s">
        <v>3530</v>
      </c>
      <c r="H23" s="3194" t="s">
        <v>3529</v>
      </c>
      <c r="I23" s="3194" t="s">
        <v>3538</v>
      </c>
      <c r="J23" s="3194" t="s">
        <v>3537</v>
      </c>
      <c r="K23" s="3194" t="s">
        <v>3526</v>
      </c>
      <c r="L23" s="3194" t="s">
        <v>3536</v>
      </c>
      <c r="M23" s="3194" t="s">
        <v>3536</v>
      </c>
      <c r="N23" s="3194" t="s">
        <v>3524</v>
      </c>
      <c r="O23" s="3194">
        <v>17000</v>
      </c>
      <c r="P23" s="3194">
        <v>17000</v>
      </c>
      <c r="Q23" s="3194"/>
      <c r="R23" s="3194"/>
      <c r="S23" s="3194"/>
      <c r="T23" s="3194">
        <v>30905.43</v>
      </c>
      <c r="U23" s="3194"/>
      <c r="V23" s="3194"/>
      <c r="W23" s="3194">
        <v>2060.36</v>
      </c>
      <c r="X23" s="3194">
        <v>11038</v>
      </c>
      <c r="Y23" s="3194">
        <v>0</v>
      </c>
      <c r="Z23" s="3194" t="s">
        <v>3535</v>
      </c>
    </row>
    <row r="24" spans="1:26" ht="12" customHeight="1">
      <c r="A24" s="3195" t="s">
        <v>3534</v>
      </c>
      <c r="B24" s="3194" t="s">
        <v>3533</v>
      </c>
      <c r="C24" s="3194" t="s">
        <v>3532</v>
      </c>
      <c r="D24" s="3194" t="s">
        <v>3531</v>
      </c>
      <c r="E24" s="3194">
        <v>62796.800000000003</v>
      </c>
      <c r="F24" s="3194">
        <v>275500</v>
      </c>
      <c r="G24" s="3194" t="s">
        <v>3530</v>
      </c>
      <c r="H24" s="3194" t="s">
        <v>3529</v>
      </c>
      <c r="I24" s="3194" t="s">
        <v>3528</v>
      </c>
      <c r="J24" s="3194" t="s">
        <v>3527</v>
      </c>
      <c r="K24" s="3194" t="s">
        <v>3526</v>
      </c>
      <c r="L24" s="3194" t="s">
        <v>3525</v>
      </c>
      <c r="M24" s="3194" t="s">
        <v>3525</v>
      </c>
      <c r="N24" s="3194" t="s">
        <v>3524</v>
      </c>
      <c r="O24" s="3194">
        <v>635800</v>
      </c>
      <c r="P24" s="3194">
        <v>635800</v>
      </c>
      <c r="Q24" s="3194"/>
      <c r="R24" s="3194"/>
      <c r="S24" s="3194"/>
      <c r="T24" s="3194">
        <v>101247.19</v>
      </c>
      <c r="U24" s="3194"/>
      <c r="V24" s="3194"/>
      <c r="W24" s="3194">
        <v>6749.81</v>
      </c>
      <c r="X24" s="3194">
        <v>23078</v>
      </c>
      <c r="Y24" s="3194">
        <v>0</v>
      </c>
      <c r="Z24" s="3194" t="s">
        <v>3523</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2582</v>
      </c>
      <c r="B1" s="2809" t="s">
        <v>2583</v>
      </c>
      <c r="C1" s="2809" t="s">
        <v>2584</v>
      </c>
      <c r="D1" s="2809" t="s">
        <v>2585</v>
      </c>
      <c r="E1" s="2809" t="s">
        <v>2586</v>
      </c>
      <c r="F1" s="2809" t="s">
        <v>2587</v>
      </c>
      <c r="G1" s="2809" t="s">
        <v>2588</v>
      </c>
      <c r="H1" s="2809" t="s">
        <v>2589</v>
      </c>
      <c r="I1" s="2809" t="s">
        <v>2590</v>
      </c>
      <c r="J1" s="2809" t="s">
        <v>2591</v>
      </c>
      <c r="K1" s="2809" t="s">
        <v>2592</v>
      </c>
      <c r="L1" s="2809" t="s">
        <v>2593</v>
      </c>
      <c r="M1" s="2810" t="s">
        <v>2594</v>
      </c>
    </row>
    <row r="2" spans="1:13" ht="19.5" customHeight="1">
      <c r="A2" s="2812" t="s">
        <v>2595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2597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2598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2599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2607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2608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2609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2611</v>
      </c>
      <c r="B18" s="2834"/>
      <c r="C18" s="2835"/>
      <c r="D18" s="2835"/>
      <c r="E18" s="2834"/>
      <c r="F18" s="2835"/>
      <c r="G18" s="2835"/>
    </row>
    <row r="19" spans="1:13" ht="19.5" customHeight="1" thickBot="1">
      <c r="A19" s="2832" t="s">
        <v>2612</v>
      </c>
      <c r="B19" s="2837" t="s">
        <v>2613</v>
      </c>
      <c r="C19" s="2837" t="s">
        <v>2614</v>
      </c>
      <c r="D19" s="2838"/>
      <c r="E19" s="2832" t="s">
        <v>2615</v>
      </c>
      <c r="F19" s="2839"/>
      <c r="G19" s="2839"/>
    </row>
    <row r="20" spans="1:13" ht="19.5" customHeight="1">
      <c r="A20" s="3558" t="s">
        <v>2595</v>
      </c>
      <c r="B20" s="3548" t="s">
        <v>2616</v>
      </c>
      <c r="C20" s="3166" t="s">
        <v>2427</v>
      </c>
      <c r="D20" s="3166"/>
      <c r="E20" s="2842">
        <v>1</v>
      </c>
      <c r="F20" s="2843" t="s">
        <v>2428</v>
      </c>
      <c r="G20" s="2843"/>
    </row>
    <row r="21" spans="1:13" ht="19.5" customHeight="1">
      <c r="A21" s="3559"/>
      <c r="B21" s="3549"/>
      <c r="C21" s="2855" t="s">
        <v>2429</v>
      </c>
      <c r="D21" s="2855"/>
      <c r="E21" s="2846">
        <v>1</v>
      </c>
      <c r="F21" s="2843" t="s">
        <v>2430</v>
      </c>
      <c r="G21" s="2843"/>
    </row>
    <row r="22" spans="1:13" ht="19.5" customHeight="1">
      <c r="A22" s="3559"/>
      <c r="B22" s="3549"/>
      <c r="C22" s="2855" t="s">
        <v>2431</v>
      </c>
      <c r="D22" s="2855"/>
      <c r="E22" s="2846">
        <v>0.9</v>
      </c>
      <c r="F22" s="2843" t="s">
        <v>2432</v>
      </c>
      <c r="G22" s="2843"/>
    </row>
    <row r="23" spans="1:13" ht="19.5" customHeight="1">
      <c r="A23" s="3559"/>
      <c r="B23" s="3549"/>
      <c r="C23" s="2855" t="s">
        <v>2433</v>
      </c>
      <c r="D23" s="2855"/>
      <c r="E23" s="2846">
        <v>0.9</v>
      </c>
      <c r="F23" s="2843" t="s">
        <v>2434</v>
      </c>
      <c r="G23" s="2843"/>
    </row>
    <row r="24" spans="1:13" ht="19.5" customHeight="1">
      <c r="A24" s="3559"/>
      <c r="B24" s="3549"/>
      <c r="C24" s="2855" t="s">
        <v>2435</v>
      </c>
      <c r="D24" s="2855"/>
      <c r="E24" s="2846">
        <v>0.8</v>
      </c>
      <c r="F24" s="2843" t="s">
        <v>2436</v>
      </c>
      <c r="G24" s="2843"/>
    </row>
    <row r="25" spans="1:13" ht="19.5" customHeight="1">
      <c r="A25" s="3559"/>
      <c r="B25" s="3549"/>
      <c r="C25" s="2855" t="s">
        <v>2437</v>
      </c>
      <c r="D25" s="2855"/>
      <c r="E25" s="2846">
        <v>0.8</v>
      </c>
      <c r="F25" s="2843"/>
      <c r="G25" s="2843"/>
    </row>
    <row r="26" spans="1:13" ht="19.5" customHeight="1">
      <c r="A26" s="3559"/>
      <c r="B26" s="3549"/>
      <c r="C26" s="2855" t="s">
        <v>3395</v>
      </c>
      <c r="D26" s="2855"/>
      <c r="E26" s="2846">
        <v>0.43</v>
      </c>
      <c r="F26" s="2843"/>
      <c r="G26" s="2843"/>
    </row>
    <row r="27" spans="1:13" ht="19.5" customHeight="1" thickBot="1">
      <c r="A27" s="3560"/>
      <c r="B27" s="3550"/>
      <c r="C27" s="3162" t="s">
        <v>3396</v>
      </c>
      <c r="D27" s="3162"/>
      <c r="E27" s="2849">
        <f>E26*0.9</f>
        <v>0.38700000000000001</v>
      </c>
      <c r="F27" s="2843" t="s">
        <v>2438</v>
      </c>
      <c r="G27" s="2843"/>
    </row>
    <row r="28" spans="1:13" ht="19.5" customHeight="1" thickBot="1">
      <c r="A28" s="3161" t="s">
        <v>2617</v>
      </c>
      <c r="B28" s="3160" t="s">
        <v>2616</v>
      </c>
      <c r="C28" s="3163" t="s">
        <v>2618</v>
      </c>
      <c r="D28" s="3164"/>
      <c r="E28" s="3165">
        <v>1</v>
      </c>
      <c r="F28" s="2843" t="s">
        <v>2439</v>
      </c>
      <c r="G28" s="2843"/>
    </row>
    <row r="29" spans="1:13" ht="19.5" customHeight="1">
      <c r="A29" s="3551" t="s">
        <v>2619</v>
      </c>
      <c r="B29" s="3554" t="s">
        <v>2600</v>
      </c>
      <c r="C29" s="2840" t="s">
        <v>2440</v>
      </c>
      <c r="D29" s="2841"/>
      <c r="E29" s="2842">
        <v>1</v>
      </c>
      <c r="F29" s="2843" t="s">
        <v>2441</v>
      </c>
      <c r="G29" s="2843"/>
    </row>
    <row r="30" spans="1:13" ht="19.5" customHeight="1">
      <c r="A30" s="3552"/>
      <c r="B30" s="3555"/>
      <c r="C30" s="2844" t="s">
        <v>2442</v>
      </c>
      <c r="D30" s="2845"/>
      <c r="E30" s="2846">
        <v>1</v>
      </c>
      <c r="F30" s="2843" t="s">
        <v>2443</v>
      </c>
      <c r="G30" s="2843"/>
    </row>
    <row r="31" spans="1:13" ht="19.5" customHeight="1">
      <c r="A31" s="3552"/>
      <c r="B31" s="3555"/>
      <c r="C31" s="2844" t="s">
        <v>2444</v>
      </c>
      <c r="D31" s="2845"/>
      <c r="E31" s="2846">
        <v>0.8</v>
      </c>
      <c r="F31" s="2843" t="s">
        <v>2445</v>
      </c>
      <c r="G31" s="2843"/>
    </row>
    <row r="32" spans="1:13" ht="19.5" customHeight="1">
      <c r="A32" s="3552"/>
      <c r="B32" s="3555"/>
      <c r="C32" s="2844" t="s">
        <v>2446</v>
      </c>
      <c r="D32" s="2845"/>
      <c r="E32" s="2846">
        <v>0.8</v>
      </c>
      <c r="F32" s="2843" t="s">
        <v>2447</v>
      </c>
      <c r="G32" s="2843"/>
    </row>
    <row r="33" spans="1:7" ht="19.5" customHeight="1">
      <c r="A33" s="3552"/>
      <c r="B33" s="3555"/>
      <c r="C33" s="2844" t="s">
        <v>2448</v>
      </c>
      <c r="D33" s="2845"/>
      <c r="E33" s="2846">
        <v>0.8</v>
      </c>
      <c r="F33" s="2843" t="s">
        <v>2449</v>
      </c>
      <c r="G33" s="2843"/>
    </row>
    <row r="34" spans="1:7" ht="19.5" customHeight="1">
      <c r="A34" s="3552"/>
      <c r="B34" s="3555"/>
      <c r="C34" s="2844" t="s">
        <v>2450</v>
      </c>
      <c r="D34" s="2845"/>
      <c r="E34" s="2846">
        <v>0.7</v>
      </c>
      <c r="F34" s="2843" t="s">
        <v>2451</v>
      </c>
      <c r="G34" s="2843"/>
    </row>
    <row r="35" spans="1:7" ht="19.5" customHeight="1">
      <c r="A35" s="3552"/>
      <c r="B35" s="3555"/>
      <c r="C35" s="2844" t="s">
        <v>2452</v>
      </c>
      <c r="D35" s="2845"/>
      <c r="E35" s="2846">
        <v>0.8</v>
      </c>
      <c r="F35" s="2843" t="s">
        <v>2453</v>
      </c>
      <c r="G35" s="2843"/>
    </row>
    <row r="36" spans="1:7" ht="19.5" customHeight="1">
      <c r="A36" s="3552"/>
      <c r="B36" s="3555"/>
      <c r="C36" s="2844" t="s">
        <v>2454</v>
      </c>
      <c r="D36" s="2845"/>
      <c r="E36" s="2846">
        <v>0.6</v>
      </c>
      <c r="F36" s="2843" t="s">
        <v>2455</v>
      </c>
      <c r="G36" s="2843"/>
    </row>
    <row r="37" spans="1:7" ht="19.5" customHeight="1">
      <c r="A37" s="3552"/>
      <c r="B37" s="3555"/>
      <c r="C37" s="2844" t="s">
        <v>2456</v>
      </c>
      <c r="D37" s="2845"/>
      <c r="E37" s="2846">
        <v>0.2</v>
      </c>
      <c r="F37" s="2843" t="s">
        <v>2457</v>
      </c>
      <c r="G37" s="2843"/>
    </row>
    <row r="38" spans="1:7" ht="19.5" customHeight="1">
      <c r="A38" s="3552"/>
      <c r="B38" s="3555"/>
      <c r="C38" s="2844" t="s">
        <v>2458</v>
      </c>
      <c r="D38" s="2845"/>
      <c r="E38" s="2846">
        <v>0.2</v>
      </c>
      <c r="F38" s="2843" t="s">
        <v>2459</v>
      </c>
      <c r="G38" s="2843"/>
    </row>
    <row r="39" spans="1:7" ht="19.5" customHeight="1">
      <c r="A39" s="3552"/>
      <c r="B39" s="3556" t="s">
        <v>2620</v>
      </c>
      <c r="C39" s="2844" t="s">
        <v>2460</v>
      </c>
      <c r="D39" s="2845"/>
      <c r="E39" s="2846">
        <v>0.6</v>
      </c>
      <c r="F39" s="2843" t="s">
        <v>2461</v>
      </c>
      <c r="G39" s="2843"/>
    </row>
    <row r="40" spans="1:7" ht="19.5" customHeight="1">
      <c r="A40" s="3552"/>
      <c r="B40" s="3555"/>
      <c r="C40" s="2844" t="s">
        <v>2462</v>
      </c>
      <c r="D40" s="2845"/>
      <c r="E40" s="2846">
        <v>0.6</v>
      </c>
      <c r="F40" s="2843" t="s">
        <v>2463</v>
      </c>
      <c r="G40" s="2843"/>
    </row>
    <row r="41" spans="1:7" ht="19.5" customHeight="1" thickBot="1">
      <c r="A41" s="3553"/>
      <c r="B41" s="3557"/>
      <c r="C41" s="2847" t="s">
        <v>2464</v>
      </c>
      <c r="D41" s="2848"/>
      <c r="E41" s="2849">
        <v>0.6</v>
      </c>
      <c r="F41" s="2843" t="s">
        <v>2465</v>
      </c>
      <c r="G41" s="2843"/>
    </row>
    <row r="42" spans="1:7" ht="19.5" customHeight="1" thickBot="1">
      <c r="A42" s="2850" t="s">
        <v>2597</v>
      </c>
      <c r="B42" s="2851" t="s">
        <v>2597</v>
      </c>
      <c r="C42" s="2852" t="s">
        <v>2621</v>
      </c>
      <c r="D42" s="2853"/>
      <c r="E42" s="2854">
        <v>1</v>
      </c>
      <c r="F42" s="2843" t="s">
        <v>2466</v>
      </c>
      <c r="G42" s="2843"/>
    </row>
    <row r="43" spans="1:7" ht="19.5" customHeight="1">
      <c r="A43" s="3558" t="s">
        <v>2598</v>
      </c>
      <c r="B43" s="3554" t="s">
        <v>2622</v>
      </c>
      <c r="C43" s="2840" t="s">
        <v>2467</v>
      </c>
      <c r="D43" s="2841"/>
      <c r="E43" s="2842">
        <v>1</v>
      </c>
      <c r="F43" s="2843" t="s">
        <v>2468</v>
      </c>
      <c r="G43" s="2843"/>
    </row>
    <row r="44" spans="1:7" ht="19.5" customHeight="1">
      <c r="A44" s="3559"/>
      <c r="B44" s="3555"/>
      <c r="C44" s="2844" t="s">
        <v>2469</v>
      </c>
      <c r="D44" s="2845"/>
      <c r="E44" s="2846">
        <v>1</v>
      </c>
      <c r="F44" s="2843" t="s">
        <v>2470</v>
      </c>
      <c r="G44" s="2843"/>
    </row>
    <row r="45" spans="1:7" ht="19.5" customHeight="1">
      <c r="A45" s="3559"/>
      <c r="B45" s="3561"/>
      <c r="C45" s="2844" t="s">
        <v>2471</v>
      </c>
      <c r="D45" s="2845"/>
      <c r="E45" s="2846">
        <v>1.5</v>
      </c>
      <c r="F45" s="2843" t="s">
        <v>2472</v>
      </c>
      <c r="G45" s="2843"/>
    </row>
    <row r="46" spans="1:7" ht="19.5" customHeight="1">
      <c r="A46" s="3559"/>
      <c r="B46" s="2855" t="s">
        <v>2623</v>
      </c>
      <c r="C46" s="2844" t="s">
        <v>2624</v>
      </c>
      <c r="D46" s="2845"/>
      <c r="E46" s="2846">
        <v>2</v>
      </c>
      <c r="F46" s="2843" t="s">
        <v>2473</v>
      </c>
      <c r="G46" s="2843"/>
    </row>
    <row r="47" spans="1:7" ht="19.5" customHeight="1">
      <c r="A47" s="3559"/>
      <c r="B47" s="3556" t="s">
        <v>2625</v>
      </c>
      <c r="C47" s="2844" t="s">
        <v>2474</v>
      </c>
      <c r="D47" s="2845"/>
      <c r="E47" s="2846">
        <v>1</v>
      </c>
      <c r="F47" s="2843" t="s">
        <v>2475</v>
      </c>
      <c r="G47" s="2843"/>
    </row>
    <row r="48" spans="1:7" ht="19.5" customHeight="1">
      <c r="A48" s="3559"/>
      <c r="B48" s="3555"/>
      <c r="C48" s="2844" t="s">
        <v>2476</v>
      </c>
      <c r="D48" s="2845"/>
      <c r="E48" s="2846">
        <v>1</v>
      </c>
      <c r="F48" s="2843" t="s">
        <v>2477</v>
      </c>
      <c r="G48" s="2843"/>
    </row>
    <row r="49" spans="1:7" ht="19.5" customHeight="1">
      <c r="A49" s="3559"/>
      <c r="B49" s="3555"/>
      <c r="C49" s="2844" t="s">
        <v>2478</v>
      </c>
      <c r="D49" s="2845"/>
      <c r="E49" s="2846">
        <v>1</v>
      </c>
      <c r="F49" s="2843" t="s">
        <v>2479</v>
      </c>
      <c r="G49" s="2843"/>
    </row>
    <row r="50" spans="1:7" ht="19.5" customHeight="1">
      <c r="A50" s="3559"/>
      <c r="B50" s="3555"/>
      <c r="C50" s="2844" t="s">
        <v>2480</v>
      </c>
      <c r="D50" s="2845"/>
      <c r="E50" s="2846">
        <v>1</v>
      </c>
      <c r="F50" s="2843" t="s">
        <v>2481</v>
      </c>
      <c r="G50" s="2843"/>
    </row>
    <row r="51" spans="1:7" ht="19.5" customHeight="1">
      <c r="A51" s="3559"/>
      <c r="B51" s="3555"/>
      <c r="C51" s="2844" t="s">
        <v>2482</v>
      </c>
      <c r="D51" s="2845"/>
      <c r="E51" s="2846">
        <v>1</v>
      </c>
      <c r="F51" s="2843" t="s">
        <v>2483</v>
      </c>
      <c r="G51" s="2843"/>
    </row>
    <row r="52" spans="1:7" ht="19.5" customHeight="1">
      <c r="A52" s="3559"/>
      <c r="B52" s="3555"/>
      <c r="C52" s="2844" t="s">
        <v>2484</v>
      </c>
      <c r="D52" s="2845"/>
      <c r="E52" s="2846">
        <v>1</v>
      </c>
      <c r="F52" s="2843" t="s">
        <v>2485</v>
      </c>
      <c r="G52" s="2843"/>
    </row>
    <row r="53" spans="1:7" ht="19.5" customHeight="1" thickBot="1">
      <c r="A53" s="3560"/>
      <c r="B53" s="3557"/>
      <c r="C53" s="2847" t="s">
        <v>2486</v>
      </c>
      <c r="D53" s="2848"/>
      <c r="E53" s="2849">
        <v>1</v>
      </c>
      <c r="F53" s="2843" t="s">
        <v>2487</v>
      </c>
      <c r="G53" s="2843"/>
    </row>
    <row r="54" spans="1:7" ht="19.5" customHeight="1">
      <c r="A54" s="2856"/>
      <c r="B54" s="2856"/>
      <c r="C54" s="2856"/>
      <c r="D54" s="2856"/>
      <c r="E54" s="2856"/>
      <c r="F54" s="2856"/>
      <c r="G54" s="2856"/>
    </row>
    <row r="56" spans="1:7" ht="19.5" customHeight="1">
      <c r="A56" s="2857"/>
      <c r="B56" s="2829" t="s">
        <v>2626</v>
      </c>
      <c r="C56" s="2829" t="s">
        <v>2626</v>
      </c>
      <c r="D56" s="2829" t="s">
        <v>2626</v>
      </c>
      <c r="E56" s="2832" t="s">
        <v>2626</v>
      </c>
      <c r="F56" s="2832" t="s">
        <v>2627</v>
      </c>
      <c r="G56" s="2832" t="s">
        <v>2628</v>
      </c>
    </row>
    <row r="57" spans="1:7" ht="19.5" customHeight="1">
      <c r="A57" s="2858"/>
      <c r="B57" s="2832" t="s">
        <v>2595</v>
      </c>
      <c r="C57" s="2832" t="s">
        <v>2595</v>
      </c>
      <c r="D57" s="2832" t="s">
        <v>2595</v>
      </c>
      <c r="E57" s="2829" t="s">
        <v>2596</v>
      </c>
      <c r="F57" s="2829" t="s">
        <v>2598</v>
      </c>
      <c r="G57" s="2829" t="s">
        <v>2629</v>
      </c>
    </row>
    <row r="58" spans="1:7" ht="19.5" customHeight="1">
      <c r="A58" s="2859"/>
      <c r="B58" s="2829">
        <v>1</v>
      </c>
      <c r="C58" s="2829">
        <v>2</v>
      </c>
      <c r="D58" s="2829">
        <v>3</v>
      </c>
      <c r="E58" s="2860" t="s">
        <v>2630</v>
      </c>
      <c r="F58" s="2860" t="s">
        <v>2630</v>
      </c>
      <c r="G58" s="2860" t="s">
        <v>2630</v>
      </c>
    </row>
    <row r="59" spans="1:7" ht="19.5" customHeight="1">
      <c r="A59" s="2861" t="s">
        <v>2583</v>
      </c>
      <c r="B59" s="2829">
        <v>0.7</v>
      </c>
      <c r="C59" s="2829">
        <v>0.4</v>
      </c>
      <c r="D59" s="2829">
        <v>0.3</v>
      </c>
      <c r="E59" s="2860">
        <v>0.3</v>
      </c>
      <c r="F59" s="2829">
        <v>0.3</v>
      </c>
      <c r="G59" s="2829">
        <v>0.2</v>
      </c>
    </row>
    <row r="60" spans="1:7" ht="19.5" customHeight="1">
      <c r="A60" s="2861" t="s">
        <v>2584</v>
      </c>
      <c r="B60" s="2829">
        <v>0.7</v>
      </c>
      <c r="C60" s="2829">
        <v>0.4</v>
      </c>
      <c r="D60" s="2829">
        <v>0.3</v>
      </c>
      <c r="E60" s="2829">
        <v>0.3</v>
      </c>
      <c r="F60" s="2829">
        <v>0.3</v>
      </c>
      <c r="G60" s="2829">
        <v>0.2</v>
      </c>
    </row>
    <row r="61" spans="1:7" ht="19.5" customHeight="1">
      <c r="A61" s="2861" t="s">
        <v>2585</v>
      </c>
      <c r="B61" s="2829">
        <v>0.6</v>
      </c>
      <c r="C61" s="2829">
        <v>0.3</v>
      </c>
      <c r="D61" s="2829">
        <v>0.25</v>
      </c>
      <c r="E61" s="2829">
        <v>0.25</v>
      </c>
      <c r="F61" s="2829">
        <v>0.25</v>
      </c>
      <c r="G61" s="2829">
        <v>0.15</v>
      </c>
    </row>
    <row r="62" spans="1:7" ht="19.5" customHeight="1">
      <c r="A62" s="2861" t="s">
        <v>2586</v>
      </c>
      <c r="B62" s="2829">
        <v>0.6</v>
      </c>
      <c r="C62" s="2829">
        <v>0.3</v>
      </c>
      <c r="D62" s="2829">
        <v>0.25</v>
      </c>
      <c r="E62" s="2829">
        <v>0.25</v>
      </c>
      <c r="F62" s="2829">
        <v>0.25</v>
      </c>
      <c r="G62" s="2829">
        <v>0.15</v>
      </c>
    </row>
    <row r="63" spans="1:7" ht="19.5" customHeight="1">
      <c r="A63" s="2861" t="s">
        <v>2587</v>
      </c>
      <c r="B63" s="2829">
        <v>0.6</v>
      </c>
      <c r="C63" s="2829">
        <v>0.3</v>
      </c>
      <c r="D63" s="2829">
        <v>0.25</v>
      </c>
      <c r="E63" s="2829">
        <v>0.25</v>
      </c>
      <c r="F63" s="2829">
        <v>0.25</v>
      </c>
      <c r="G63" s="2829">
        <v>0.15</v>
      </c>
    </row>
    <row r="64" spans="1:7" ht="19.5" customHeight="1">
      <c r="A64" s="2861" t="s">
        <v>2588</v>
      </c>
      <c r="B64" s="2829">
        <v>0.6</v>
      </c>
      <c r="C64" s="2829">
        <v>0.3</v>
      </c>
      <c r="D64" s="2829">
        <v>0.25</v>
      </c>
      <c r="E64" s="2829">
        <v>0.25</v>
      </c>
      <c r="F64" s="2829">
        <v>0.25</v>
      </c>
      <c r="G64" s="2829">
        <v>0.15</v>
      </c>
    </row>
    <row r="65" spans="1:7" ht="19.5" customHeight="1">
      <c r="A65" s="2861" t="s">
        <v>2589</v>
      </c>
      <c r="B65" s="2829">
        <v>0.6</v>
      </c>
      <c r="C65" s="2829">
        <v>0.3</v>
      </c>
      <c r="D65" s="2829">
        <v>0.25</v>
      </c>
      <c r="E65" s="2829">
        <v>0.25</v>
      </c>
      <c r="F65" s="2829">
        <v>0.25</v>
      </c>
      <c r="G65" s="2829">
        <v>0.15</v>
      </c>
    </row>
    <row r="66" spans="1:7" ht="19.5" customHeight="1">
      <c r="A66" s="2861" t="s">
        <v>2590</v>
      </c>
      <c r="B66" s="2829">
        <v>0.5</v>
      </c>
      <c r="C66" s="2829">
        <v>0.2</v>
      </c>
      <c r="D66" s="2829">
        <v>0.2</v>
      </c>
      <c r="E66" s="2829">
        <v>0.2</v>
      </c>
      <c r="F66" s="2829">
        <v>0.2</v>
      </c>
      <c r="G66" s="2829">
        <v>0.1</v>
      </c>
    </row>
    <row r="67" spans="1:7" ht="19.5" customHeight="1">
      <c r="A67" s="2861" t="s">
        <v>2591</v>
      </c>
      <c r="B67" s="2829">
        <v>0.5</v>
      </c>
      <c r="C67" s="2829">
        <v>0.2</v>
      </c>
      <c r="D67" s="2829">
        <v>0.2</v>
      </c>
      <c r="E67" s="2829">
        <v>0.2</v>
      </c>
      <c r="F67" s="2829">
        <v>0.2</v>
      </c>
      <c r="G67" s="2829">
        <v>0.1</v>
      </c>
    </row>
    <row r="68" spans="1:7" ht="19.5" customHeight="1">
      <c r="A68" s="2861" t="s">
        <v>2592</v>
      </c>
      <c r="B68" s="2829">
        <v>0.5</v>
      </c>
      <c r="C68" s="2829">
        <v>0.2</v>
      </c>
      <c r="D68" s="2829">
        <v>0.2</v>
      </c>
      <c r="E68" s="2829">
        <v>0.2</v>
      </c>
      <c r="F68" s="2829">
        <v>0.2</v>
      </c>
      <c r="G68" s="2829">
        <v>0.1</v>
      </c>
    </row>
    <row r="69" spans="1:7" ht="19.5" customHeight="1">
      <c r="A69" s="2861" t="s">
        <v>2593</v>
      </c>
      <c r="B69" s="2829">
        <v>0.5</v>
      </c>
      <c r="C69" s="2829">
        <v>0.2</v>
      </c>
      <c r="D69" s="2829">
        <v>0.2</v>
      </c>
      <c r="E69" s="2829">
        <v>0.2</v>
      </c>
      <c r="F69" s="2829">
        <v>0.2</v>
      </c>
      <c r="G69" s="2829">
        <v>0.1</v>
      </c>
    </row>
    <row r="70" spans="1:7" ht="19.5" customHeight="1">
      <c r="A70" s="2861" t="s">
        <v>2594</v>
      </c>
      <c r="B70" s="2829">
        <v>0.5</v>
      </c>
      <c r="C70" s="2829">
        <v>0.2</v>
      </c>
      <c r="D70" s="2829">
        <v>0.2</v>
      </c>
      <c r="E70" s="2829">
        <v>0.2</v>
      </c>
      <c r="F70" s="2829">
        <v>0.2</v>
      </c>
      <c r="G70" s="2829">
        <v>0.1</v>
      </c>
    </row>
    <row r="72" spans="1:7" ht="19.5" customHeight="1">
      <c r="A72" s="2843"/>
      <c r="B72" s="2862"/>
      <c r="C72" s="2862"/>
      <c r="D72" s="2862" t="s">
        <v>2631</v>
      </c>
      <c r="E72" s="2862"/>
      <c r="F72" s="2862"/>
    </row>
    <row r="73" spans="1:7" ht="19.5" customHeight="1">
      <c r="A73" s="2855" t="s">
        <v>2632</v>
      </c>
      <c r="B73" s="2855" t="s">
        <v>2633</v>
      </c>
      <c r="C73" s="2855" t="s">
        <v>2634</v>
      </c>
      <c r="D73" s="2855" t="s">
        <v>2635</v>
      </c>
      <c r="E73" s="2855" t="s">
        <v>2636</v>
      </c>
      <c r="F73" s="2855" t="s">
        <v>2637</v>
      </c>
    </row>
    <row r="74" spans="1:7" ht="13.5">
      <c r="A74" s="2855"/>
      <c r="B74" s="2855"/>
      <c r="C74" s="2855" t="s">
        <v>2638</v>
      </c>
      <c r="D74" s="2855"/>
      <c r="E74" s="2855" t="s">
        <v>2609</v>
      </c>
      <c r="F74" s="2855" t="s">
        <v>2609</v>
      </c>
    </row>
    <row r="75" spans="1:7" ht="13.5">
      <c r="A75" s="2855">
        <v>1</v>
      </c>
      <c r="B75" s="3556" t="s">
        <v>2639</v>
      </c>
      <c r="C75" s="2829" t="s">
        <v>2640</v>
      </c>
      <c r="D75" s="2829" t="s">
        <v>2641</v>
      </c>
      <c r="E75" s="2855">
        <v>0.2</v>
      </c>
      <c r="F75" s="2855">
        <v>25</v>
      </c>
    </row>
    <row r="76" spans="1:7" ht="24">
      <c r="A76" s="2855">
        <v>2</v>
      </c>
      <c r="B76" s="3555"/>
      <c r="C76" s="2829" t="s">
        <v>2642</v>
      </c>
      <c r="D76" s="2829" t="s">
        <v>2643</v>
      </c>
      <c r="E76" s="2855">
        <v>0.2</v>
      </c>
      <c r="F76" s="2855">
        <v>25</v>
      </c>
    </row>
    <row r="77" spans="1:7" ht="24">
      <c r="A77" s="2855">
        <v>3</v>
      </c>
      <c r="B77" s="3555"/>
      <c r="C77" s="2829" t="s">
        <v>2644</v>
      </c>
      <c r="D77" s="2829" t="s">
        <v>2645</v>
      </c>
      <c r="E77" s="2855">
        <v>0.2</v>
      </c>
      <c r="F77" s="2855">
        <v>25</v>
      </c>
    </row>
    <row r="78" spans="1:7" ht="13.5">
      <c r="A78" s="2855">
        <v>4</v>
      </c>
      <c r="B78" s="3555"/>
      <c r="C78" s="2829" t="s">
        <v>2646</v>
      </c>
      <c r="D78" s="2829" t="s">
        <v>2647</v>
      </c>
      <c r="E78" s="2855">
        <v>0.15</v>
      </c>
      <c r="F78" s="2855">
        <v>20</v>
      </c>
    </row>
    <row r="79" spans="1:7" ht="24">
      <c r="A79" s="2855">
        <v>5</v>
      </c>
      <c r="B79" s="3555"/>
      <c r="C79" s="2829" t="s">
        <v>2648</v>
      </c>
      <c r="D79" s="2829" t="s">
        <v>2649</v>
      </c>
      <c r="E79" s="2855">
        <v>0.15</v>
      </c>
      <c r="F79" s="2855">
        <v>20</v>
      </c>
    </row>
    <row r="80" spans="1:7" ht="24">
      <c r="A80" s="2855">
        <v>6</v>
      </c>
      <c r="B80" s="3555"/>
      <c r="C80" s="2829" t="s">
        <v>2650</v>
      </c>
      <c r="D80" s="2829" t="s">
        <v>2651</v>
      </c>
      <c r="E80" s="2855">
        <v>0.15</v>
      </c>
      <c r="F80" s="2855">
        <v>20</v>
      </c>
    </row>
    <row r="81" spans="1:6" ht="24">
      <c r="A81" s="2855">
        <v>7</v>
      </c>
      <c r="B81" s="3555"/>
      <c r="C81" s="2829" t="s">
        <v>2652</v>
      </c>
      <c r="D81" s="2829" t="s">
        <v>2653</v>
      </c>
      <c r="E81" s="2855">
        <v>0.15</v>
      </c>
      <c r="F81" s="2855">
        <v>20</v>
      </c>
    </row>
    <row r="82" spans="1:6" ht="24">
      <c r="A82" s="2855">
        <v>8</v>
      </c>
      <c r="B82" s="3555"/>
      <c r="C82" s="2829" t="s">
        <v>2654</v>
      </c>
      <c r="D82" s="2829" t="s">
        <v>2655</v>
      </c>
      <c r="E82" s="2855">
        <v>0.1</v>
      </c>
      <c r="F82" s="2855">
        <v>15</v>
      </c>
    </row>
    <row r="83" spans="1:6" ht="24">
      <c r="A83" s="2855">
        <v>9</v>
      </c>
      <c r="B83" s="3555"/>
      <c r="C83" s="2829" t="s">
        <v>2656</v>
      </c>
      <c r="D83" s="2829" t="s">
        <v>2657</v>
      </c>
      <c r="E83" s="2855">
        <v>0.1</v>
      </c>
      <c r="F83" s="2855">
        <v>15</v>
      </c>
    </row>
    <row r="84" spans="1:6" ht="24">
      <c r="A84" s="2855">
        <v>10</v>
      </c>
      <c r="B84" s="3555"/>
      <c r="C84" s="2829" t="s">
        <v>2658</v>
      </c>
      <c r="D84" s="2829" t="s">
        <v>2659</v>
      </c>
      <c r="E84" s="2855">
        <v>0.1</v>
      </c>
      <c r="F84" s="2855">
        <v>15</v>
      </c>
    </row>
    <row r="85" spans="1:6" ht="24">
      <c r="A85" s="2855">
        <v>11</v>
      </c>
      <c r="B85" s="3555"/>
      <c r="C85" s="2829" t="s">
        <v>2660</v>
      </c>
      <c r="D85" s="2829" t="s">
        <v>2661</v>
      </c>
      <c r="E85" s="2855">
        <v>0.1</v>
      </c>
      <c r="F85" s="2855">
        <v>15</v>
      </c>
    </row>
    <row r="86" spans="1:6" ht="24">
      <c r="A86" s="2855">
        <v>12</v>
      </c>
      <c r="B86" s="3555"/>
      <c r="C86" s="2829" t="s">
        <v>2662</v>
      </c>
      <c r="D86" s="2829" t="s">
        <v>2663</v>
      </c>
      <c r="E86" s="2855">
        <v>0.1</v>
      </c>
      <c r="F86" s="2855">
        <v>15</v>
      </c>
    </row>
    <row r="87" spans="1:6" ht="13.5">
      <c r="A87" s="2855">
        <v>13</v>
      </c>
      <c r="B87" s="3555"/>
      <c r="C87" s="2829" t="s">
        <v>2664</v>
      </c>
      <c r="D87" s="2829" t="s">
        <v>2665</v>
      </c>
      <c r="E87" s="2855">
        <v>0.1</v>
      </c>
      <c r="F87" s="2855">
        <v>15</v>
      </c>
    </row>
    <row r="88" spans="1:6" ht="13.5">
      <c r="A88" s="2855">
        <v>14</v>
      </c>
      <c r="B88" s="3555"/>
      <c r="C88" s="2829" t="s">
        <v>2666</v>
      </c>
      <c r="D88" s="2829" t="s">
        <v>2667</v>
      </c>
      <c r="E88" s="2855">
        <v>0.1</v>
      </c>
      <c r="F88" s="2855">
        <v>15</v>
      </c>
    </row>
    <row r="89" spans="1:6" ht="13.5">
      <c r="A89" s="2855">
        <v>15</v>
      </c>
      <c r="B89" s="3555"/>
      <c r="C89" s="2829" t="s">
        <v>2668</v>
      </c>
      <c r="D89" s="2829" t="s">
        <v>2669</v>
      </c>
      <c r="E89" s="2855">
        <v>0.1</v>
      </c>
      <c r="F89" s="2855">
        <v>15</v>
      </c>
    </row>
    <row r="90" spans="1:6" ht="24">
      <c r="A90" s="2855">
        <v>16</v>
      </c>
      <c r="B90" s="3555"/>
      <c r="C90" s="2829" t="s">
        <v>2670</v>
      </c>
      <c r="D90" s="2829" t="s">
        <v>2671</v>
      </c>
      <c r="E90" s="2855">
        <v>0.1</v>
      </c>
      <c r="F90" s="2855">
        <v>15</v>
      </c>
    </row>
    <row r="91" spans="1:6" ht="24">
      <c r="A91" s="2855">
        <v>17</v>
      </c>
      <c r="B91" s="3561"/>
      <c r="C91" s="2829" t="s">
        <v>2672</v>
      </c>
      <c r="D91" s="2829" t="s">
        <v>2673</v>
      </c>
      <c r="E91" s="2855">
        <v>0.1</v>
      </c>
      <c r="F91" s="2855">
        <v>15</v>
      </c>
    </row>
    <row r="92" spans="1:6" ht="13.5">
      <c r="A92" s="2855">
        <v>18</v>
      </c>
      <c r="B92" s="3556" t="s">
        <v>2674</v>
      </c>
      <c r="C92" s="2829" t="s">
        <v>2675</v>
      </c>
      <c r="D92" s="2829" t="s">
        <v>2676</v>
      </c>
      <c r="E92" s="2855">
        <v>0.2</v>
      </c>
      <c r="F92" s="2855">
        <v>25</v>
      </c>
    </row>
    <row r="93" spans="1:6" ht="24">
      <c r="A93" s="2855">
        <v>19</v>
      </c>
      <c r="B93" s="3555"/>
      <c r="C93" s="2829" t="s">
        <v>2677</v>
      </c>
      <c r="D93" s="2829" t="s">
        <v>2678</v>
      </c>
      <c r="E93" s="2855">
        <v>0.2</v>
      </c>
      <c r="F93" s="2855">
        <v>25</v>
      </c>
    </row>
    <row r="94" spans="1:6" ht="13.5">
      <c r="A94" s="2855">
        <v>20</v>
      </c>
      <c r="B94" s="3555"/>
      <c r="C94" s="2829" t="s">
        <v>2679</v>
      </c>
      <c r="D94" s="2829" t="s">
        <v>2680</v>
      </c>
      <c r="E94" s="2855">
        <v>0.15</v>
      </c>
      <c r="F94" s="2855">
        <v>20</v>
      </c>
    </row>
    <row r="95" spans="1:6" ht="13.5">
      <c r="A95" s="2855">
        <v>21</v>
      </c>
      <c r="B95" s="3555"/>
      <c r="C95" s="2829" t="s">
        <v>2681</v>
      </c>
      <c r="D95" s="2829" t="s">
        <v>2682</v>
      </c>
      <c r="E95" s="2855">
        <v>0.15</v>
      </c>
      <c r="F95" s="2855">
        <v>20</v>
      </c>
    </row>
    <row r="96" spans="1:6" ht="13.5">
      <c r="A96" s="2855">
        <v>22</v>
      </c>
      <c r="B96" s="3555"/>
      <c r="C96" s="2829" t="s">
        <v>2683</v>
      </c>
      <c r="D96" s="2829" t="s">
        <v>2684</v>
      </c>
      <c r="E96" s="2855">
        <v>0.15</v>
      </c>
      <c r="F96" s="2855">
        <v>20</v>
      </c>
    </row>
    <row r="97" spans="1:6" ht="36">
      <c r="A97" s="2855">
        <v>23</v>
      </c>
      <c r="B97" s="3555"/>
      <c r="C97" s="2829" t="s">
        <v>2685</v>
      </c>
      <c r="D97" s="2829" t="s">
        <v>2686</v>
      </c>
      <c r="E97" s="2855">
        <v>0.15</v>
      </c>
      <c r="F97" s="2855">
        <v>20</v>
      </c>
    </row>
    <row r="98" spans="1:6" ht="13.5">
      <c r="A98" s="2855">
        <v>24</v>
      </c>
      <c r="B98" s="3555"/>
      <c r="C98" s="2829" t="s">
        <v>2687</v>
      </c>
      <c r="D98" s="2829" t="s">
        <v>2688</v>
      </c>
      <c r="E98" s="2855">
        <v>0.1</v>
      </c>
      <c r="F98" s="2855">
        <v>15</v>
      </c>
    </row>
    <row r="99" spans="1:6" ht="13.5">
      <c r="A99" s="2855">
        <v>25</v>
      </c>
      <c r="B99" s="3555"/>
      <c r="C99" s="2829" t="s">
        <v>2689</v>
      </c>
      <c r="D99" s="2829" t="s">
        <v>2690</v>
      </c>
      <c r="E99" s="2855">
        <v>0.1</v>
      </c>
      <c r="F99" s="2855">
        <v>15</v>
      </c>
    </row>
    <row r="100" spans="1:6" ht="24">
      <c r="A100" s="2855">
        <v>26</v>
      </c>
      <c r="B100" s="3555"/>
      <c r="C100" s="2829" t="s">
        <v>2691</v>
      </c>
      <c r="D100" s="2829" t="s">
        <v>2692</v>
      </c>
      <c r="E100" s="2855">
        <v>0.1</v>
      </c>
      <c r="F100" s="2855">
        <v>15</v>
      </c>
    </row>
    <row r="101" spans="1:6" ht="24">
      <c r="A101" s="2855">
        <v>27</v>
      </c>
      <c r="B101" s="3555"/>
      <c r="C101" s="2829" t="s">
        <v>2693</v>
      </c>
      <c r="D101" s="2829" t="s">
        <v>2694</v>
      </c>
      <c r="E101" s="2855">
        <v>0.1</v>
      </c>
      <c r="F101" s="2855">
        <v>15</v>
      </c>
    </row>
    <row r="102" spans="1:6" ht="13.5">
      <c r="A102" s="2855">
        <v>28</v>
      </c>
      <c r="B102" s="3555"/>
      <c r="C102" s="2829" t="s">
        <v>2695</v>
      </c>
      <c r="D102" s="2829" t="s">
        <v>2696</v>
      </c>
      <c r="E102" s="2855">
        <v>0.1</v>
      </c>
      <c r="F102" s="2855">
        <v>15</v>
      </c>
    </row>
    <row r="103" spans="1:6" ht="13.5">
      <c r="A103" s="2855">
        <v>29</v>
      </c>
      <c r="B103" s="3555"/>
      <c r="C103" s="2829" t="s">
        <v>2697</v>
      </c>
      <c r="D103" s="2829" t="s">
        <v>2698</v>
      </c>
      <c r="E103" s="2855">
        <v>0.1</v>
      </c>
      <c r="F103" s="2855">
        <v>15</v>
      </c>
    </row>
    <row r="104" spans="1:6" ht="13.5">
      <c r="A104" s="2855">
        <v>30</v>
      </c>
      <c r="B104" s="3555"/>
      <c r="C104" s="2829" t="s">
        <v>2699</v>
      </c>
      <c r="D104" s="2829" t="s">
        <v>2700</v>
      </c>
      <c r="E104" s="2855">
        <v>0.1</v>
      </c>
      <c r="F104" s="2855">
        <v>15</v>
      </c>
    </row>
    <row r="105" spans="1:6" ht="24">
      <c r="A105" s="2855">
        <v>31</v>
      </c>
      <c r="B105" s="3555"/>
      <c r="C105" s="2829" t="s">
        <v>2701</v>
      </c>
      <c r="D105" s="2829" t="s">
        <v>2702</v>
      </c>
      <c r="E105" s="2855">
        <v>0.1</v>
      </c>
      <c r="F105" s="2855">
        <v>15</v>
      </c>
    </row>
    <row r="106" spans="1:6" ht="24">
      <c r="A106" s="2855">
        <v>32</v>
      </c>
      <c r="B106" s="3555"/>
      <c r="C106" s="2829" t="s">
        <v>2703</v>
      </c>
      <c r="D106" s="2829" t="s">
        <v>2704</v>
      </c>
      <c r="E106" s="2855">
        <v>0.1</v>
      </c>
      <c r="F106" s="2855">
        <v>15</v>
      </c>
    </row>
    <row r="107" spans="1:6" ht="24">
      <c r="A107" s="2855">
        <v>33</v>
      </c>
      <c r="B107" s="3555"/>
      <c r="C107" s="2829" t="s">
        <v>2705</v>
      </c>
      <c r="D107" s="2829" t="s">
        <v>2706</v>
      </c>
      <c r="E107" s="2855">
        <v>0.1</v>
      </c>
      <c r="F107" s="2855">
        <v>15</v>
      </c>
    </row>
    <row r="108" spans="1:6" ht="24">
      <c r="A108" s="2855">
        <v>34</v>
      </c>
      <c r="B108" s="3561"/>
      <c r="C108" s="2829" t="s">
        <v>2707</v>
      </c>
      <c r="D108" s="2829" t="s">
        <v>2708</v>
      </c>
      <c r="E108" s="2855">
        <v>0.1</v>
      </c>
      <c r="F108" s="2855">
        <v>15</v>
      </c>
    </row>
    <row r="109" spans="1:6" ht="24">
      <c r="A109" s="2855">
        <v>35</v>
      </c>
      <c r="B109" s="3556" t="s">
        <v>2709</v>
      </c>
      <c r="C109" s="2855" t="s">
        <v>2710</v>
      </c>
      <c r="D109" s="2829" t="s">
        <v>2711</v>
      </c>
      <c r="E109" s="2855">
        <v>0.15</v>
      </c>
      <c r="F109" s="2855">
        <v>20</v>
      </c>
    </row>
    <row r="110" spans="1:6" ht="13.5">
      <c r="A110" s="2855">
        <v>36</v>
      </c>
      <c r="B110" s="3555"/>
      <c r="C110" s="2855" t="s">
        <v>2712</v>
      </c>
      <c r="D110" s="2829" t="s">
        <v>2713</v>
      </c>
      <c r="E110" s="2855">
        <v>0.15</v>
      </c>
      <c r="F110" s="2855">
        <v>20</v>
      </c>
    </row>
    <row r="111" spans="1:6" ht="13.5">
      <c r="A111" s="2855">
        <v>37</v>
      </c>
      <c r="B111" s="3555"/>
      <c r="C111" s="2855" t="s">
        <v>2714</v>
      </c>
      <c r="D111" s="2829" t="s">
        <v>2715</v>
      </c>
      <c r="E111" s="2855">
        <v>0.15</v>
      </c>
      <c r="F111" s="2855">
        <v>20</v>
      </c>
    </row>
    <row r="112" spans="1:6" ht="13.5">
      <c r="A112" s="2855">
        <v>38</v>
      </c>
      <c r="B112" s="3555"/>
      <c r="C112" s="2855" t="s">
        <v>2716</v>
      </c>
      <c r="D112" s="2829" t="s">
        <v>2717</v>
      </c>
      <c r="E112" s="2855">
        <v>0.1</v>
      </c>
      <c r="F112" s="2855">
        <v>15</v>
      </c>
    </row>
    <row r="113" spans="1:6" ht="24">
      <c r="A113" s="2855">
        <v>39</v>
      </c>
      <c r="B113" s="3555"/>
      <c r="C113" s="2855" t="s">
        <v>2718</v>
      </c>
      <c r="D113" s="2829" t="s">
        <v>2719</v>
      </c>
      <c r="E113" s="2855">
        <v>0.1</v>
      </c>
      <c r="F113" s="2855">
        <v>15</v>
      </c>
    </row>
    <row r="114" spans="1:6" ht="24">
      <c r="A114" s="2855">
        <v>40</v>
      </c>
      <c r="B114" s="3561"/>
      <c r="C114" s="2855" t="s">
        <v>2720</v>
      </c>
      <c r="D114" s="2829" t="s">
        <v>2721</v>
      </c>
      <c r="E114" s="2855">
        <v>0.1</v>
      </c>
      <c r="F114" s="2855">
        <v>15</v>
      </c>
    </row>
    <row r="115" spans="1:6" ht="13.5">
      <c r="A115" s="2855">
        <v>41</v>
      </c>
      <c r="B115" s="3549" t="s">
        <v>2722</v>
      </c>
      <c r="C115" s="2855" t="s">
        <v>2723</v>
      </c>
      <c r="D115" s="2829" t="s">
        <v>2724</v>
      </c>
      <c r="E115" s="2855">
        <v>0.1</v>
      </c>
      <c r="F115" s="2855">
        <v>15</v>
      </c>
    </row>
    <row r="116" spans="1:6" ht="13.5">
      <c r="A116" s="2855">
        <v>42</v>
      </c>
      <c r="B116" s="3549"/>
      <c r="C116" s="2855" t="s">
        <v>2725</v>
      </c>
      <c r="D116" s="2829" t="s">
        <v>2726</v>
      </c>
      <c r="E116" s="2855">
        <v>0.1</v>
      </c>
      <c r="F116" s="2855">
        <v>15</v>
      </c>
    </row>
    <row r="117" spans="1:6" ht="24">
      <c r="A117" s="2855">
        <v>43</v>
      </c>
      <c r="B117" s="3549"/>
      <c r="C117" s="2855" t="s">
        <v>2727</v>
      </c>
      <c r="D117" s="2829" t="s">
        <v>2728</v>
      </c>
      <c r="E117" s="2855">
        <v>0.1</v>
      </c>
      <c r="F117" s="2855">
        <v>15</v>
      </c>
    </row>
    <row r="118" spans="1:6" ht="13.5">
      <c r="A118" s="2855">
        <v>44</v>
      </c>
      <c r="B118" s="3556" t="s">
        <v>2729</v>
      </c>
      <c r="C118" s="2855" t="s">
        <v>2730</v>
      </c>
      <c r="D118" s="2829" t="s">
        <v>2731</v>
      </c>
      <c r="E118" s="2855">
        <v>0.1</v>
      </c>
      <c r="F118" s="2855">
        <v>15</v>
      </c>
    </row>
    <row r="119" spans="1:6" ht="24">
      <c r="A119" s="2855">
        <v>45</v>
      </c>
      <c r="B119" s="3561"/>
      <c r="C119" s="2829" t="s">
        <v>2732</v>
      </c>
      <c r="D119" s="2829" t="s">
        <v>2733</v>
      </c>
      <c r="E119" s="2855">
        <v>0.1</v>
      </c>
      <c r="F119" s="2855">
        <v>15</v>
      </c>
    </row>
    <row r="120" spans="1:6" ht="24">
      <c r="A120" s="2855">
        <v>46</v>
      </c>
      <c r="B120" s="3556" t="s">
        <v>2734</v>
      </c>
      <c r="C120" s="2855" t="s">
        <v>2735</v>
      </c>
      <c r="D120" s="2829" t="s">
        <v>2736</v>
      </c>
      <c r="E120" s="2855">
        <v>0.1</v>
      </c>
      <c r="F120" s="2855">
        <v>15</v>
      </c>
    </row>
    <row r="121" spans="1:6" ht="24">
      <c r="A121" s="2855">
        <v>47</v>
      </c>
      <c r="B121" s="3561"/>
      <c r="C121" s="2855" t="s">
        <v>2737</v>
      </c>
      <c r="D121" s="2829" t="s">
        <v>2738</v>
      </c>
      <c r="E121" s="2855">
        <v>0.1</v>
      </c>
      <c r="F121" s="2855">
        <v>15</v>
      </c>
    </row>
    <row r="122" spans="1:6" ht="13.5">
      <c r="A122" s="2855">
        <v>48</v>
      </c>
      <c r="B122" s="3556" t="s">
        <v>2739</v>
      </c>
      <c r="C122" s="2855" t="s">
        <v>2740</v>
      </c>
      <c r="D122" s="2829" t="s">
        <v>2741</v>
      </c>
      <c r="E122" s="2855">
        <v>0.1</v>
      </c>
      <c r="F122" s="2855">
        <v>15</v>
      </c>
    </row>
    <row r="123" spans="1:6" ht="13.5">
      <c r="A123" s="2855">
        <v>49</v>
      </c>
      <c r="B123" s="3561"/>
      <c r="C123" s="2855" t="s">
        <v>2742</v>
      </c>
      <c r="D123" s="2829" t="s">
        <v>2743</v>
      </c>
      <c r="E123" s="2855">
        <v>0.1</v>
      </c>
      <c r="F123" s="2855">
        <v>15</v>
      </c>
    </row>
    <row r="124" spans="1:6" ht="24">
      <c r="A124" s="2855">
        <v>50</v>
      </c>
      <c r="B124" s="3549" t="s">
        <v>2744</v>
      </c>
      <c r="C124" s="2855" t="s">
        <v>2745</v>
      </c>
      <c r="D124" s="2829" t="s">
        <v>2746</v>
      </c>
      <c r="E124" s="2855">
        <v>0.1</v>
      </c>
      <c r="F124" s="2855">
        <v>15</v>
      </c>
    </row>
    <row r="125" spans="1:6" ht="24">
      <c r="A125" s="2855">
        <v>51</v>
      </c>
      <c r="B125" s="3549"/>
      <c r="C125" s="2855" t="s">
        <v>2747</v>
      </c>
      <c r="D125" s="2829" t="s">
        <v>2748</v>
      </c>
      <c r="E125" s="2855">
        <v>0.1</v>
      </c>
      <c r="F125" s="2855">
        <v>15</v>
      </c>
    </row>
    <row r="126" spans="1:6" ht="24">
      <c r="A126" s="2855">
        <v>52</v>
      </c>
      <c r="B126" s="3549" t="s">
        <v>2749</v>
      </c>
      <c r="C126" s="2855" t="s">
        <v>2750</v>
      </c>
      <c r="D126" s="2829" t="s">
        <v>2751</v>
      </c>
      <c r="E126" s="2855">
        <v>0.1</v>
      </c>
      <c r="F126" s="2855">
        <v>15</v>
      </c>
    </row>
    <row r="127" spans="1:6" ht="24">
      <c r="A127" s="2855">
        <v>53</v>
      </c>
      <c r="B127" s="3549"/>
      <c r="C127" s="2855" t="s">
        <v>2752</v>
      </c>
      <c r="D127" s="2829" t="s">
        <v>2753</v>
      </c>
      <c r="E127" s="2855">
        <v>0.1</v>
      </c>
      <c r="F127" s="2855">
        <v>15</v>
      </c>
    </row>
    <row r="128" spans="1:6" ht="13.5">
      <c r="A128" s="2855">
        <v>54</v>
      </c>
      <c r="B128" s="2855" t="s">
        <v>2754</v>
      </c>
      <c r="C128" s="2855" t="s">
        <v>2755</v>
      </c>
      <c r="D128" s="2829" t="s">
        <v>2756</v>
      </c>
      <c r="E128" s="2855">
        <v>0.1</v>
      </c>
      <c r="F128" s="2855">
        <v>15</v>
      </c>
    </row>
    <row r="129" spans="1:6" ht="13.5">
      <c r="A129" s="2855">
        <v>55</v>
      </c>
      <c r="B129" s="3549" t="s">
        <v>2757</v>
      </c>
      <c r="C129" s="2855" t="s">
        <v>2758</v>
      </c>
      <c r="D129" s="2829" t="s">
        <v>2759</v>
      </c>
      <c r="E129" s="2855">
        <v>0.1</v>
      </c>
      <c r="F129" s="2855">
        <v>15</v>
      </c>
    </row>
    <row r="130" spans="1:6" ht="13.5">
      <c r="A130" s="2855">
        <v>56</v>
      </c>
      <c r="B130" s="3549"/>
      <c r="C130" s="2855" t="s">
        <v>2760</v>
      </c>
      <c r="D130" s="2829" t="s">
        <v>2761</v>
      </c>
      <c r="E130" s="2855">
        <v>0.1</v>
      </c>
      <c r="F130" s="2855">
        <v>15</v>
      </c>
    </row>
    <row r="131" spans="1:6" ht="24">
      <c r="A131" s="2855">
        <v>57</v>
      </c>
      <c r="B131" s="3549"/>
      <c r="C131" s="2855" t="s">
        <v>2762</v>
      </c>
      <c r="D131" s="2829" t="s">
        <v>2763</v>
      </c>
      <c r="E131" s="2855">
        <v>0.1</v>
      </c>
      <c r="F131" s="2855">
        <v>15</v>
      </c>
    </row>
    <row r="132" spans="1:6" ht="24">
      <c r="A132" s="2855">
        <v>58</v>
      </c>
      <c r="B132" s="3549" t="s">
        <v>2764</v>
      </c>
      <c r="C132" s="2855" t="s">
        <v>2765</v>
      </c>
      <c r="D132" s="2829" t="s">
        <v>2766</v>
      </c>
      <c r="E132" s="2855">
        <v>0.1</v>
      </c>
      <c r="F132" s="2855">
        <v>15</v>
      </c>
    </row>
    <row r="133" spans="1:6" ht="13.5">
      <c r="A133" s="2855">
        <v>59</v>
      </c>
      <c r="B133" s="3549"/>
      <c r="C133" s="2855" t="s">
        <v>2767</v>
      </c>
      <c r="D133" s="2829" t="s">
        <v>2768</v>
      </c>
      <c r="E133" s="2855">
        <v>0.1</v>
      </c>
      <c r="F133" s="2855">
        <v>15</v>
      </c>
    </row>
    <row r="134" spans="1:6" ht="13.5">
      <c r="A134" s="2855">
        <v>60</v>
      </c>
      <c r="B134" s="3556" t="s">
        <v>2769</v>
      </c>
      <c r="C134" s="2855" t="s">
        <v>2770</v>
      </c>
      <c r="D134" s="2829" t="s">
        <v>2771</v>
      </c>
      <c r="E134" s="2855">
        <v>0.1</v>
      </c>
      <c r="F134" s="2855">
        <v>15</v>
      </c>
    </row>
    <row r="135" spans="1:6" ht="13.5">
      <c r="A135" s="2855">
        <v>61</v>
      </c>
      <c r="B135" s="3561"/>
      <c r="C135" s="2855" t="s">
        <v>2772</v>
      </c>
      <c r="D135" s="2829" t="s">
        <v>2773</v>
      </c>
      <c r="E135" s="2855">
        <v>0.1</v>
      </c>
      <c r="F135" s="2855">
        <v>15</v>
      </c>
    </row>
    <row r="136" spans="1:6" ht="24">
      <c r="A136" s="2855">
        <v>62</v>
      </c>
      <c r="B136" s="2855" t="s">
        <v>2774</v>
      </c>
      <c r="C136" s="2855" t="s">
        <v>2775</v>
      </c>
      <c r="D136" s="2829" t="s">
        <v>2776</v>
      </c>
      <c r="E136" s="2855">
        <v>0.1</v>
      </c>
      <c r="F136" s="2855">
        <v>15</v>
      </c>
    </row>
    <row r="137" spans="1:6" ht="13.5">
      <c r="A137" s="2855">
        <v>63</v>
      </c>
      <c r="B137" s="3549" t="s">
        <v>2777</v>
      </c>
      <c r="C137" s="2855" t="s">
        <v>2778</v>
      </c>
      <c r="D137" s="2829" t="s">
        <v>2779</v>
      </c>
      <c r="E137" s="2855">
        <v>0.1</v>
      </c>
      <c r="F137" s="2855">
        <v>15</v>
      </c>
    </row>
    <row r="138" spans="1:6" ht="13.5">
      <c r="A138" s="2855">
        <v>64</v>
      </c>
      <c r="B138" s="3549"/>
      <c r="C138" s="2855" t="s">
        <v>2780</v>
      </c>
      <c r="D138" s="2829" t="s">
        <v>2781</v>
      </c>
      <c r="E138" s="2855">
        <v>0.1</v>
      </c>
      <c r="F138" s="2855">
        <v>15</v>
      </c>
    </row>
    <row r="139" spans="1:6" ht="13.5">
      <c r="A139" s="2855">
        <v>65</v>
      </c>
      <c r="B139" s="2855" t="s">
        <v>2782</v>
      </c>
      <c r="C139" s="2855" t="s">
        <v>2783</v>
      </c>
      <c r="D139" s="2829" t="s">
        <v>2784</v>
      </c>
      <c r="E139" s="2855">
        <v>0.1</v>
      </c>
      <c r="F139" s="2855">
        <v>15</v>
      </c>
    </row>
    <row r="140" spans="1:6" ht="13.5">
      <c r="A140" s="2855"/>
      <c r="B140" s="2855"/>
      <c r="C140" s="2855"/>
      <c r="D140" s="2855"/>
      <c r="E140" s="2855" t="s">
        <v>2785</v>
      </c>
      <c r="F140" s="2855" t="s">
        <v>2785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2786</v>
      </c>
      <c r="B1" s="2863"/>
      <c r="C1" s="2863"/>
      <c r="D1" s="2863"/>
      <c r="E1" s="2863"/>
      <c r="F1" s="2863"/>
      <c r="G1" s="2863"/>
      <c r="H1" s="2863"/>
      <c r="I1" s="2863"/>
      <c r="J1" s="2863"/>
      <c r="K1" s="2863"/>
      <c r="L1" s="2863"/>
      <c r="M1" s="2863"/>
      <c r="N1" s="705"/>
    </row>
    <row r="2" spans="1:20">
      <c r="A2" s="2864" t="s">
        <v>2787</v>
      </c>
      <c r="B2" s="2865" t="s">
        <v>2583</v>
      </c>
      <c r="C2" s="2865" t="s">
        <v>2584</v>
      </c>
      <c r="D2" s="2865" t="s">
        <v>2585</v>
      </c>
      <c r="E2" s="2865" t="s">
        <v>2586</v>
      </c>
      <c r="F2" s="2865" t="s">
        <v>2587</v>
      </c>
      <c r="G2" s="2865" t="s">
        <v>2588</v>
      </c>
      <c r="H2" s="2866" t="s">
        <v>2589</v>
      </c>
      <c r="I2" s="2866" t="s">
        <v>2590</v>
      </c>
      <c r="J2" s="2867" t="s">
        <v>2591</v>
      </c>
      <c r="K2" s="2867" t="s">
        <v>2592</v>
      </c>
      <c r="L2" s="2867" t="s">
        <v>2593</v>
      </c>
      <c r="M2" s="2868" t="s">
        <v>2594</v>
      </c>
      <c r="Q2" s="2878" t="s">
        <v>2792</v>
      </c>
      <c r="R2" s="2878" t="s">
        <v>2793</v>
      </c>
      <c r="S2" s="2878" t="s">
        <v>2794</v>
      </c>
      <c r="T2" s="2878" t="s">
        <v>2795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2788</v>
      </c>
      <c r="B93" s="2863"/>
      <c r="C93" s="2863"/>
      <c r="D93" s="2863"/>
      <c r="E93" s="2863"/>
      <c r="F93" s="2863"/>
      <c r="G93" s="2863"/>
      <c r="H93" s="2863"/>
      <c r="I93" s="2863"/>
      <c r="J93" s="2863"/>
      <c r="K93" s="2863"/>
      <c r="L93" s="2863"/>
      <c r="M93" s="2863"/>
    </row>
    <row r="94" spans="1:20">
      <c r="A94" s="2864" t="s">
        <v>2787</v>
      </c>
      <c r="B94" s="2865" t="s">
        <v>2583</v>
      </c>
      <c r="C94" s="2865" t="s">
        <v>2584</v>
      </c>
      <c r="D94" s="2865" t="s">
        <v>2585</v>
      </c>
      <c r="E94" s="2865" t="s">
        <v>2586</v>
      </c>
      <c r="F94" s="2865" t="s">
        <v>2587</v>
      </c>
      <c r="G94" s="2865" t="s">
        <v>2588</v>
      </c>
      <c r="H94" s="2866" t="s">
        <v>2589</v>
      </c>
      <c r="I94" s="2866" t="s">
        <v>2590</v>
      </c>
      <c r="J94" s="2867" t="s">
        <v>2591</v>
      </c>
      <c r="K94" s="2867" t="s">
        <v>2592</v>
      </c>
      <c r="L94" s="2867" t="s">
        <v>2593</v>
      </c>
      <c r="M94" s="2868" t="s">
        <v>2594</v>
      </c>
      <c r="N94">
        <f>SUMPRODUCT((A95:A184=ROUNDDOWN(基准地价修正!G3,1))*(B94:M94=基准地价修正!G2)*(B95:M184))</f>
        <v>1.2302</v>
      </c>
      <c r="Q94" s="2878" t="s">
        <v>2792</v>
      </c>
      <c r="R94" s="2878" t="s">
        <v>2793</v>
      </c>
      <c r="S94" s="2878" t="s">
        <v>2794</v>
      </c>
      <c r="T94" s="2878" t="s">
        <v>2795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2789</v>
      </c>
      <c r="B185" s="2863"/>
      <c r="C185" s="2863"/>
      <c r="D185" s="2863"/>
      <c r="E185" s="2863"/>
      <c r="F185" s="2863"/>
      <c r="G185" s="2863"/>
      <c r="H185" s="2863"/>
      <c r="I185" s="2863"/>
      <c r="J185" s="2863"/>
      <c r="K185" s="2863"/>
      <c r="L185" s="2863"/>
      <c r="M185" s="2863"/>
    </row>
    <row r="186" spans="1:20">
      <c r="A186" s="2864" t="s">
        <v>2787</v>
      </c>
      <c r="B186" s="2865" t="s">
        <v>2583</v>
      </c>
      <c r="C186" s="2865" t="s">
        <v>2584</v>
      </c>
      <c r="D186" s="2865" t="s">
        <v>2585</v>
      </c>
      <c r="E186" s="2865" t="s">
        <v>2586</v>
      </c>
      <c r="F186" s="2865" t="s">
        <v>2587</v>
      </c>
      <c r="G186" s="2865" t="s">
        <v>2588</v>
      </c>
      <c r="H186" s="2866" t="s">
        <v>2589</v>
      </c>
      <c r="I186" s="2866" t="s">
        <v>2590</v>
      </c>
      <c r="J186" s="2867" t="s">
        <v>2591</v>
      </c>
      <c r="K186" s="2867" t="s">
        <v>2592</v>
      </c>
      <c r="L186" s="2867" t="s">
        <v>2593</v>
      </c>
      <c r="M186" s="2868" t="s">
        <v>2594</v>
      </c>
      <c r="Q186" s="2878" t="s">
        <v>2792</v>
      </c>
      <c r="R186" s="2878" t="s">
        <v>2793</v>
      </c>
      <c r="S186" s="2878" t="s">
        <v>2794</v>
      </c>
      <c r="T186" s="2878" t="s">
        <v>2795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2790</v>
      </c>
      <c r="B277" s="2863"/>
      <c r="C277" s="2863"/>
      <c r="D277" s="2863"/>
      <c r="E277" s="2863"/>
      <c r="F277" s="2863"/>
      <c r="G277" s="2863"/>
      <c r="H277" s="2863"/>
      <c r="I277" s="2863"/>
      <c r="J277" s="2863"/>
      <c r="K277" s="2863"/>
      <c r="L277" s="2863"/>
      <c r="M277" s="2863"/>
    </row>
    <row r="278" spans="1:21">
      <c r="A278" s="2864" t="s">
        <v>2787</v>
      </c>
      <c r="B278" s="2865" t="s">
        <v>2583</v>
      </c>
      <c r="C278" s="2865" t="s">
        <v>2584</v>
      </c>
      <c r="D278" s="2865" t="s">
        <v>2585</v>
      </c>
      <c r="E278" s="2865" t="s">
        <v>2586</v>
      </c>
      <c r="F278" s="2865" t="s">
        <v>2587</v>
      </c>
      <c r="G278" s="2865" t="s">
        <v>2588</v>
      </c>
      <c r="H278" s="2866" t="s">
        <v>2589</v>
      </c>
      <c r="I278" s="2866" t="s">
        <v>2590</v>
      </c>
      <c r="J278" s="2867" t="s">
        <v>2591</v>
      </c>
      <c r="K278" s="2867" t="s">
        <v>2592</v>
      </c>
      <c r="L278" s="2867" t="s">
        <v>2593</v>
      </c>
      <c r="M278" s="2868" t="s">
        <v>2594</v>
      </c>
      <c r="Q278" s="2878" t="s">
        <v>2792</v>
      </c>
      <c r="R278" s="2878" t="s">
        <v>2793</v>
      </c>
      <c r="S278" s="2878" t="s">
        <v>2796</v>
      </c>
      <c r="T278" s="2878" t="s">
        <v>2797</v>
      </c>
      <c r="U278" s="2878" t="s">
        <v>2795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2791</v>
      </c>
      <c r="B369" s="2876"/>
      <c r="C369" s="2876"/>
      <c r="D369" s="2876"/>
      <c r="E369" s="2876"/>
      <c r="F369" s="2876"/>
      <c r="G369" s="2876"/>
      <c r="H369" s="2876"/>
      <c r="I369" s="2876"/>
      <c r="J369" s="2876"/>
      <c r="K369" s="2876"/>
      <c r="L369" s="2876"/>
      <c r="M369" s="2876"/>
    </row>
    <row r="370" spans="1:20">
      <c r="A370" s="2864" t="s">
        <v>2787</v>
      </c>
      <c r="B370" s="2865" t="s">
        <v>2583</v>
      </c>
      <c r="C370" s="2865" t="s">
        <v>2584</v>
      </c>
      <c r="D370" s="2865" t="s">
        <v>2585</v>
      </c>
      <c r="E370" s="2865" t="s">
        <v>2586</v>
      </c>
      <c r="F370" s="2865" t="s">
        <v>2587</v>
      </c>
      <c r="G370" s="2865" t="s">
        <v>2588</v>
      </c>
      <c r="H370" s="2866" t="s">
        <v>2589</v>
      </c>
      <c r="I370" s="2866" t="s">
        <v>2590</v>
      </c>
      <c r="J370" s="2867" t="s">
        <v>2591</v>
      </c>
      <c r="K370" s="2867" t="s">
        <v>2592</v>
      </c>
      <c r="L370" s="2867" t="s">
        <v>2593</v>
      </c>
      <c r="M370" s="2868" t="s">
        <v>2594</v>
      </c>
      <c r="N370">
        <f>SUMPRODUCT((A371:A460=ROUNDDOWN(基准地价修正!G3,1))*(B370:M370=基准地价修正!G2)*(B371:M460))</f>
        <v>1.1198999999999999</v>
      </c>
      <c r="Q370" s="2878" t="s">
        <v>2792</v>
      </c>
      <c r="R370" s="2878" t="s">
        <v>2793</v>
      </c>
      <c r="S370" s="2878" t="s">
        <v>2794</v>
      </c>
      <c r="T370" s="2878" t="s">
        <v>2795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32667</v>
      </c>
      <c r="C2" s="2" t="s">
        <v>106</v>
      </c>
      <c r="D2" s="189"/>
      <c r="E2" s="189"/>
      <c r="F2" s="189"/>
      <c r="G2" s="189"/>
    </row>
    <row r="3" spans="1:7" s="190" customFormat="1" ht="18" customHeight="1" thickBot="1">
      <c r="A3" s="193" t="s">
        <v>58</v>
      </c>
      <c r="B3" s="194">
        <f ca="1">ROUND(B2*10000/'数据-汇总表'!E3,0)</f>
        <v>264984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160</v>
      </c>
      <c r="F9" s="211"/>
      <c r="G9" s="216"/>
    </row>
    <row r="10" spans="1:7" s="204" customFormat="1" ht="13.5" customHeight="1">
      <c r="A10" s="731" t="s">
        <v>356</v>
      </c>
      <c r="B10" s="214" t="s">
        <v>67</v>
      </c>
      <c r="C10" s="215">
        <f>ROUND(D10*E10/10000,0)</f>
        <v>25</v>
      </c>
      <c r="D10" s="793">
        <f>'数据-汇总表'!E6</f>
        <v>1232.79</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25</v>
      </c>
      <c r="D19" s="202">
        <f>'数据-汇总表'!E3</f>
        <v>1232.79</v>
      </c>
      <c r="E19" s="201">
        <f>'数据-取费表'!B31</f>
        <v>200</v>
      </c>
      <c r="F19" s="221"/>
      <c r="G19" s="1" t="s">
        <v>436</v>
      </c>
    </row>
    <row r="20" spans="1:7" s="204" customFormat="1" ht="13.5" customHeight="1">
      <c r="A20" s="729" t="s">
        <v>419</v>
      </c>
      <c r="B20" s="200" t="s">
        <v>77</v>
      </c>
      <c r="C20" s="222">
        <f>ROUND((C5+C19)*F20,0)</f>
        <v>1032</v>
      </c>
      <c r="D20" s="222"/>
      <c r="E20" s="222"/>
      <c r="F20" s="223">
        <f>'数据-取费表'!B37</f>
        <v>0.05</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2129</v>
      </c>
      <c r="D22" s="225">
        <f ca="1">C26</f>
        <v>1.5E-3</v>
      </c>
      <c r="E22" s="226" t="s">
        <v>99</v>
      </c>
      <c r="F22" s="227">
        <f ca="1">'数据-取费表'!B40</f>
        <v>3.2500000000000001E-2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2075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3</v>
      </c>
      <c r="D24" s="228"/>
      <c r="E24" s="228"/>
      <c r="F24" s="229"/>
      <c r="G24" s="230" t="s">
        <v>82</v>
      </c>
    </row>
    <row r="25" spans="1:7" s="204" customFormat="1" ht="24">
      <c r="A25" s="732" t="s">
        <v>348</v>
      </c>
      <c r="B25" s="205" t="s">
        <v>420</v>
      </c>
      <c r="C25" s="1040">
        <f ca="1">ROUND(IF('数据-取费表'!B22&lt;=1,C20*F22*'数据-取费表'!B23/2,C20*(POWER((1+F22),'数据-取费表'!B23/2)-1)),0)</f>
        <v>51</v>
      </c>
      <c r="D25" s="228"/>
      <c r="E25" s="231"/>
      <c r="F25" s="229"/>
      <c r="G25" s="232" t="s">
        <v>83</v>
      </c>
    </row>
    <row r="26" spans="1:7" s="204" customFormat="1">
      <c r="A26" s="732" t="s">
        <v>350</v>
      </c>
      <c r="B26" s="205" t="s">
        <v>422</v>
      </c>
      <c r="C26" s="228">
        <f ca="1">ROUND(IF('数据-取费表'!B22&lt;=1,F21*F22*'数据-取费表'!B23/2,F21*(POWER((1+F22),'数据-取费表'!B23/2)-1)),4)</f>
        <v>1.5E-3</v>
      </c>
      <c r="D26" s="228"/>
      <c r="E26" s="231"/>
      <c r="F26" s="229"/>
      <c r="G26" s="233"/>
    </row>
    <row r="27" spans="1:7" s="204" customFormat="1" ht="24.75">
      <c r="A27" s="729" t="s">
        <v>342</v>
      </c>
      <c r="B27" s="234" t="s">
        <v>85</v>
      </c>
      <c r="C27" s="235">
        <f>C28</f>
        <v>4333</v>
      </c>
      <c r="D27" s="225">
        <f>C29</f>
        <v>6.0000000000000001E-3</v>
      </c>
      <c r="E27" s="226" t="s">
        <v>99</v>
      </c>
      <c r="F27" s="236">
        <f>'数据-取费表'!Q16</f>
        <v>0.2</v>
      </c>
      <c r="G27" s="237" t="s">
        <v>431</v>
      </c>
    </row>
    <row r="28" spans="1:7" s="204" customFormat="1" ht="13.5" customHeight="1">
      <c r="A28" s="732" t="s">
        <v>349</v>
      </c>
      <c r="B28" s="238" t="s">
        <v>424</v>
      </c>
      <c r="C28" s="239">
        <f>ROUND((C5+C19+C20)*F27*'数据-取费表'!B21/'数据-取费表'!B20,0)</f>
        <v>4333</v>
      </c>
      <c r="D28" s="225"/>
      <c r="E28" s="226"/>
      <c r="F28" s="236"/>
      <c r="G28" s="237"/>
    </row>
    <row r="29" spans="1:7" s="204" customFormat="1" ht="13.5" customHeight="1">
      <c r="A29" s="732" t="s">
        <v>347</v>
      </c>
      <c r="B29" s="238" t="s">
        <v>425</v>
      </c>
      <c r="C29" s="228">
        <f>ROUND(C21*F27*'数据-取费表'!B21/'数据-取费表'!B20,4)</f>
        <v>6.0000000000000001E-3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30907</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1357</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1233</v>
      </c>
      <c r="D34" s="207"/>
      <c r="E34" s="210"/>
      <c r="F34" s="247">
        <f>IF('数据-取费表'!B24=0,1,'数据-取费表'!N16)</f>
        <v>1</v>
      </c>
      <c r="G34" s="209" t="s">
        <v>89</v>
      </c>
    </row>
    <row r="35" spans="1:7" ht="13.5" customHeight="1">
      <c r="A35" s="732" t="s">
        <v>351</v>
      </c>
      <c r="B35" s="205" t="s">
        <v>33</v>
      </c>
      <c r="C35" s="210">
        <f>ROUND(C34*F35,0)</f>
        <v>62</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25</v>
      </c>
      <c r="D37" s="207">
        <f>'数据-汇总表'!E3</f>
        <v>1232.79</v>
      </c>
      <c r="E37" s="239">
        <f>'数据-取费表'!B35</f>
        <v>200</v>
      </c>
      <c r="F37" s="249"/>
      <c r="G37" s="251" t="s">
        <v>92</v>
      </c>
    </row>
    <row r="38" spans="1:7" ht="13.5" customHeight="1">
      <c r="A38" s="732" t="s">
        <v>354</v>
      </c>
      <c r="B38" s="205" t="s">
        <v>36</v>
      </c>
      <c r="C38" s="210">
        <f>ROUND(C34*F38,0)</f>
        <v>37</v>
      </c>
      <c r="D38" s="210"/>
      <c r="E38" s="210"/>
      <c r="F38" s="249">
        <f>'数据-取费表'!B36</f>
        <v>0.03</v>
      </c>
      <c r="G38" s="209" t="s">
        <v>90</v>
      </c>
    </row>
    <row r="39" spans="1:7" s="204" customFormat="1" ht="13.5" customHeight="1">
      <c r="A39" s="729" t="s">
        <v>338</v>
      </c>
      <c r="B39" s="200" t="s">
        <v>77</v>
      </c>
      <c r="C39" s="222">
        <f>ROUND(C33*F20,0)</f>
        <v>68</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70</v>
      </c>
      <c r="D41" s="225">
        <f ca="1">C44</f>
        <v>1.5E-3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67</v>
      </c>
      <c r="D42" s="228"/>
      <c r="E42" s="228"/>
      <c r="F42" s="229"/>
      <c r="G42" s="3425" t="s">
        <v>94</v>
      </c>
    </row>
    <row r="43" spans="1:7" ht="13.5" customHeight="1">
      <c r="A43" s="732" t="s">
        <v>347</v>
      </c>
      <c r="B43" s="205" t="s">
        <v>426</v>
      </c>
      <c r="C43" s="228">
        <f ca="1">ROUND(IF('数据-取费表'!B22&lt;=1,C39*F22*'数据-取费表'!B21/2,C39*(POWER((1+F22),'数据-取费表'!B21/2)-1)),0)</f>
        <v>3</v>
      </c>
      <c r="D43" s="228"/>
      <c r="E43" s="228"/>
      <c r="F43" s="229"/>
      <c r="G43" s="3426"/>
    </row>
    <row r="44" spans="1:7" ht="13.5" customHeight="1">
      <c r="A44" s="732" t="s">
        <v>348</v>
      </c>
      <c r="B44" s="205" t="s">
        <v>428</v>
      </c>
      <c r="C44" s="228">
        <f ca="1">ROUND(IF('数据-取费表'!B22&lt;=1,C40*F22*'数据-取费表'!B21/2,C40*(POWER((1+F22),'数据-取费表'!B21/2)-1)),4)</f>
        <v>1.5E-3</v>
      </c>
      <c r="D44" s="228"/>
      <c r="E44" s="228"/>
      <c r="F44" s="229"/>
      <c r="G44" s="3427"/>
    </row>
    <row r="45" spans="1:7" s="204" customFormat="1" ht="13.5" customHeight="1">
      <c r="A45" s="729" t="s">
        <v>341</v>
      </c>
      <c r="B45" s="234" t="s">
        <v>85</v>
      </c>
      <c r="C45" s="235">
        <f>C46</f>
        <v>285</v>
      </c>
      <c r="D45" s="225">
        <f>C47</f>
        <v>6.0000000000000001E-3</v>
      </c>
      <c r="E45" s="226" t="s">
        <v>102</v>
      </c>
      <c r="F45" s="236"/>
      <c r="G45" s="237" t="s">
        <v>434</v>
      </c>
    </row>
    <row r="46" spans="1:7" s="204" customFormat="1" ht="13.5" customHeight="1">
      <c r="A46" s="732" t="s">
        <v>349</v>
      </c>
      <c r="B46" s="238" t="s">
        <v>427</v>
      </c>
      <c r="C46" s="239">
        <f>ROUND((C33+C39)*F27,0)</f>
        <v>285</v>
      </c>
      <c r="D46" s="253"/>
      <c r="E46" s="226"/>
      <c r="F46" s="236"/>
      <c r="G46" s="237"/>
    </row>
    <row r="47" spans="1:7" s="204" customFormat="1" ht="13.5" customHeight="1">
      <c r="A47" s="732" t="s">
        <v>347</v>
      </c>
      <c r="B47" s="238" t="s">
        <v>429</v>
      </c>
      <c r="C47" s="228">
        <f>ROUND(C40*F27,4)</f>
        <v>6.0000000000000001E-3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1956</v>
      </c>
      <c r="D49" s="222"/>
      <c r="E49" s="222"/>
      <c r="F49" s="254"/>
      <c r="G49" s="224" t="s">
        <v>435</v>
      </c>
    </row>
    <row r="50" spans="1:7" s="248" customFormat="1" ht="24">
      <c r="A50" s="729" t="s">
        <v>344</v>
      </c>
      <c r="B50" s="200" t="s">
        <v>97</v>
      </c>
      <c r="C50" s="222"/>
      <c r="D50" s="222"/>
      <c r="E50" s="222"/>
      <c r="F50" s="254">
        <f>IF('数据-取费表'!B24=0,'数据-取费表'!N16,1)</f>
        <v>0.9</v>
      </c>
      <c r="G50" s="237" t="s">
        <v>98</v>
      </c>
    </row>
    <row r="51" spans="1:7" ht="16.5" customHeight="1">
      <c r="A51" s="729" t="s">
        <v>345</v>
      </c>
      <c r="B51" s="200" t="s">
        <v>105</v>
      </c>
      <c r="C51" s="222">
        <f ca="1">ROUND(C49*F50,0)</f>
        <v>1760</v>
      </c>
      <c r="D51" s="222"/>
      <c r="E51" s="222"/>
      <c r="F51" s="254"/>
      <c r="G51" s="224" t="s">
        <v>37</v>
      </c>
    </row>
    <row r="52" spans="1:7" s="198" customFormat="1" ht="16.5" thickBot="1">
      <c r="A52" s="255" t="s">
        <v>38</v>
      </c>
      <c r="B52" s="256"/>
      <c r="C52" s="257">
        <f ca="1">C31+C51</f>
        <v>32667</v>
      </c>
      <c r="D52" s="256"/>
      <c r="E52" s="256"/>
      <c r="F52" s="256"/>
      <c r="G52" s="258"/>
    </row>
    <row r="55" spans="1:7" ht="15">
      <c r="B55" s="260" t="s">
        <v>39</v>
      </c>
      <c r="C55" s="261"/>
    </row>
    <row r="56" spans="1:7">
      <c r="B56" s="263" t="s">
        <v>40</v>
      </c>
      <c r="C56" s="264">
        <f ca="1">ROUND(C51/C52,3)</f>
        <v>5.3999999999999999E-2</v>
      </c>
    </row>
    <row r="57" spans="1:7">
      <c r="B57" s="263" t="s">
        <v>41</v>
      </c>
      <c r="C57" s="265">
        <f ca="1">1-C56</f>
        <v>0.94599999999999995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62" t="s">
        <v>3169</v>
      </c>
      <c r="B1" s="3562"/>
    </row>
    <row r="2" spans="1:7" ht="14.25" thickBot="1">
      <c r="A2" s="2966"/>
      <c r="B2" s="2966"/>
    </row>
    <row r="3" spans="1:7" ht="14.25" thickBot="1">
      <c r="A3" s="2966"/>
      <c r="B3" s="2966"/>
      <c r="C3" s="2967" t="s">
        <v>2799</v>
      </c>
      <c r="D3" s="2967" t="s">
        <v>2855</v>
      </c>
      <c r="E3" s="2967" t="s">
        <v>2801</v>
      </c>
      <c r="F3" s="2967" t="s">
        <v>2856</v>
      </c>
      <c r="G3" s="2967" t="s">
        <v>2619</v>
      </c>
    </row>
    <row r="4" spans="1:7" ht="14.25" thickBot="1">
      <c r="A4" s="2968" t="s">
        <v>2854</v>
      </c>
      <c r="B4" s="2969" t="s">
        <v>2860</v>
      </c>
      <c r="C4" s="2967"/>
      <c r="D4" s="2967"/>
      <c r="E4" s="2967"/>
      <c r="F4" s="2967"/>
      <c r="G4" s="2967"/>
    </row>
    <row r="5" spans="1:7">
      <c r="A5" s="2970" t="s">
        <v>2828</v>
      </c>
      <c r="B5" s="2971" t="s">
        <v>2842</v>
      </c>
      <c r="C5" s="2972">
        <v>9.8000000000000004E-2</v>
      </c>
      <c r="D5" s="2972">
        <v>8.6999999999999994E-2</v>
      </c>
      <c r="E5" s="2972">
        <v>8.6999999999999994E-2</v>
      </c>
      <c r="F5" s="2972">
        <v>9.8000000000000004E-2</v>
      </c>
      <c r="G5" s="2973">
        <v>9.5000000000000001E-2</v>
      </c>
    </row>
    <row r="6" spans="1:7">
      <c r="A6" s="2974" t="s">
        <v>144</v>
      </c>
      <c r="B6" s="2975" t="s">
        <v>2857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2911</v>
      </c>
      <c r="C29" s="2984"/>
      <c r="D29" s="2980">
        <v>5.1999999999999998E-2</v>
      </c>
      <c r="E29" s="2980">
        <v>7.0000000000000007E-2</v>
      </c>
      <c r="F29" s="2984"/>
      <c r="G29" s="2982">
        <v>7.0999999999999994E-2</v>
      </c>
    </row>
    <row r="30" spans="1:7">
      <c r="A30" s="2985" t="s">
        <v>296</v>
      </c>
      <c r="B30" s="2971" t="s">
        <v>2844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2914</v>
      </c>
      <c r="C50" s="2976">
        <v>9.8000000000000004E-2</v>
      </c>
      <c r="D50" s="2976">
        <v>7.2999999999999995E-2</v>
      </c>
      <c r="E50" s="2976">
        <v>7.0999999999999994E-2</v>
      </c>
      <c r="F50" s="2987"/>
      <c r="G50" s="2977">
        <v>7.2999999999999995E-2</v>
      </c>
    </row>
    <row r="51" spans="1:7">
      <c r="A51" s="2986" t="s">
        <v>296</v>
      </c>
      <c r="B51" s="2975" t="s">
        <v>2916</v>
      </c>
      <c r="C51" s="2976">
        <v>9.9000000000000005E-2</v>
      </c>
      <c r="D51" s="2976">
        <v>8.5000000000000006E-2</v>
      </c>
      <c r="E51" s="2976">
        <v>6.3E-2</v>
      </c>
      <c r="F51" s="2987"/>
      <c r="G51" s="2977">
        <v>9.6000000000000002E-2</v>
      </c>
    </row>
    <row r="52" spans="1:7">
      <c r="A52" s="2986" t="s">
        <v>296</v>
      </c>
      <c r="B52" s="2975" t="s">
        <v>2920</v>
      </c>
      <c r="C52" s="2976">
        <v>7.3999999999999996E-2</v>
      </c>
      <c r="D52" s="2976">
        <v>9.6000000000000002E-2</v>
      </c>
      <c r="E52" s="2976">
        <v>0.05</v>
      </c>
      <c r="F52" s="2987"/>
      <c r="G52" s="2977">
        <v>9.8000000000000004E-2</v>
      </c>
    </row>
    <row r="53" spans="1:7">
      <c r="A53" s="2986" t="s">
        <v>296</v>
      </c>
      <c r="B53" s="2975" t="s">
        <v>2925</v>
      </c>
      <c r="C53" s="2976">
        <v>8.5999999999999993E-2</v>
      </c>
      <c r="D53" s="2987"/>
      <c r="E53" s="2976">
        <v>9.1999999999999998E-2</v>
      </c>
      <c r="F53" s="2987"/>
      <c r="G53" s="2988"/>
    </row>
    <row r="54" spans="1:7" ht="14.25" thickBot="1">
      <c r="A54" s="2989" t="s">
        <v>296</v>
      </c>
      <c r="B54" s="2979" t="s">
        <v>2928</v>
      </c>
      <c r="C54" s="2980">
        <v>9.6000000000000002E-2</v>
      </c>
      <c r="D54" s="2981"/>
      <c r="E54" s="2990"/>
      <c r="F54" s="2981"/>
      <c r="G54" s="2991"/>
    </row>
    <row r="55" spans="1:7">
      <c r="A55" s="2985" t="s">
        <v>110</v>
      </c>
      <c r="B55" s="2971" t="s">
        <v>2845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2926</v>
      </c>
      <c r="C78" s="2976">
        <v>0.1</v>
      </c>
      <c r="D78" s="2976">
        <v>8.5000000000000006E-2</v>
      </c>
      <c r="E78" s="2976">
        <v>9.6000000000000002E-2</v>
      </c>
      <c r="F78" s="2987"/>
      <c r="G78" s="2977">
        <v>9.6000000000000002E-2</v>
      </c>
    </row>
    <row r="79" spans="1:7">
      <c r="A79" s="2986" t="s">
        <v>110</v>
      </c>
      <c r="B79" s="2975" t="s">
        <v>2929</v>
      </c>
      <c r="C79" s="2976">
        <v>0.05</v>
      </c>
      <c r="D79" s="2976">
        <v>9.6000000000000002E-2</v>
      </c>
      <c r="E79" s="2976">
        <v>9.5000000000000001E-2</v>
      </c>
      <c r="F79" s="2987"/>
      <c r="G79" s="2977">
        <v>9.8000000000000004E-2</v>
      </c>
    </row>
    <row r="80" spans="1:7">
      <c r="A80" s="2986" t="s">
        <v>110</v>
      </c>
      <c r="B80" s="2975" t="s">
        <v>2933</v>
      </c>
      <c r="C80" s="2976">
        <v>8.5999999999999993E-2</v>
      </c>
      <c r="D80" s="2992"/>
      <c r="E80" s="2976">
        <v>0.1</v>
      </c>
      <c r="F80" s="2987"/>
      <c r="G80" s="2988"/>
    </row>
    <row r="81" spans="1:7">
      <c r="A81" s="2986" t="s">
        <v>110</v>
      </c>
      <c r="B81" s="2975" t="s">
        <v>2938</v>
      </c>
      <c r="C81" s="2976">
        <v>9.6000000000000002E-2</v>
      </c>
      <c r="D81" s="2987"/>
      <c r="E81" s="2976">
        <v>9.8000000000000004E-2</v>
      </c>
      <c r="F81" s="2987"/>
      <c r="G81" s="2988"/>
    </row>
    <row r="82" spans="1:7">
      <c r="A82" s="2986" t="s">
        <v>110</v>
      </c>
      <c r="B82" s="2975" t="s">
        <v>2945</v>
      </c>
      <c r="C82" s="2992"/>
      <c r="D82" s="2987"/>
      <c r="E82" s="2976">
        <v>7.6999999999999999E-2</v>
      </c>
      <c r="F82" s="2987"/>
      <c r="G82" s="2988"/>
    </row>
    <row r="83" spans="1:7">
      <c r="A83" s="2986" t="s">
        <v>110</v>
      </c>
      <c r="B83" s="2975" t="s">
        <v>2951</v>
      </c>
      <c r="C83" s="2987"/>
      <c r="D83" s="2987"/>
      <c r="E83" s="2987"/>
      <c r="F83" s="2976">
        <v>0.1</v>
      </c>
      <c r="G83" s="2993"/>
    </row>
    <row r="84" spans="1:7">
      <c r="A84" s="2986" t="s">
        <v>110</v>
      </c>
      <c r="B84" s="2975" t="s">
        <v>2958</v>
      </c>
      <c r="C84" s="2987"/>
      <c r="D84" s="2987"/>
      <c r="E84" s="2987"/>
      <c r="F84" s="2976">
        <v>0.1</v>
      </c>
      <c r="G84" s="2993"/>
    </row>
    <row r="85" spans="1:7">
      <c r="A85" s="2986" t="s">
        <v>110</v>
      </c>
      <c r="B85" s="2975" t="s">
        <v>2965</v>
      </c>
      <c r="C85" s="2987"/>
      <c r="D85" s="2987"/>
      <c r="E85" s="2987"/>
      <c r="F85" s="2976">
        <v>0.1</v>
      </c>
      <c r="G85" s="2993"/>
    </row>
    <row r="86" spans="1:7" ht="14.25" thickBot="1">
      <c r="A86" s="2989" t="s">
        <v>110</v>
      </c>
      <c r="B86" s="2979" t="s">
        <v>2970</v>
      </c>
      <c r="C86" s="2980">
        <v>9.8000000000000004E-2</v>
      </c>
      <c r="D86" s="2980">
        <v>9.8000000000000004E-2</v>
      </c>
      <c r="E86" s="2980">
        <v>9.6000000000000002E-2</v>
      </c>
      <c r="F86" s="2990"/>
      <c r="G86" s="2982">
        <v>0.1</v>
      </c>
    </row>
    <row r="87" spans="1:7">
      <c r="A87" s="2985" t="s">
        <v>303</v>
      </c>
      <c r="B87" s="2971" t="s">
        <v>2846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2939</v>
      </c>
      <c r="C113" s="2976">
        <v>0.1</v>
      </c>
      <c r="D113" s="2976">
        <v>0.1</v>
      </c>
      <c r="E113" s="2987"/>
      <c r="F113" s="2987"/>
      <c r="G113" s="2977">
        <v>0.1</v>
      </c>
    </row>
    <row r="114" spans="1:7">
      <c r="A114" s="2986" t="s">
        <v>303</v>
      </c>
      <c r="B114" s="2975" t="s">
        <v>2946</v>
      </c>
      <c r="C114" s="2976">
        <v>9.7000000000000003E-2</v>
      </c>
      <c r="D114" s="2976">
        <v>9.7000000000000003E-2</v>
      </c>
      <c r="E114" s="2987"/>
      <c r="F114" s="2987"/>
      <c r="G114" s="2977">
        <v>9.9000000000000005E-2</v>
      </c>
    </row>
    <row r="115" spans="1:7">
      <c r="A115" s="2986" t="s">
        <v>303</v>
      </c>
      <c r="B115" s="2975" t="s">
        <v>2952</v>
      </c>
      <c r="C115" s="2976">
        <v>0.1</v>
      </c>
      <c r="D115" s="2976">
        <v>0.1</v>
      </c>
      <c r="E115" s="2987"/>
      <c r="F115" s="2987"/>
      <c r="G115" s="2977">
        <v>0.1</v>
      </c>
    </row>
    <row r="116" spans="1:7">
      <c r="A116" s="2986" t="s">
        <v>303</v>
      </c>
      <c r="B116" s="2975" t="s">
        <v>2959</v>
      </c>
      <c r="C116" s="2976">
        <v>0.1</v>
      </c>
      <c r="D116" s="2976">
        <v>0.1</v>
      </c>
      <c r="E116" s="2987"/>
      <c r="F116" s="2987"/>
      <c r="G116" s="2977">
        <v>0.1</v>
      </c>
    </row>
    <row r="117" spans="1:7">
      <c r="A117" s="2986" t="s">
        <v>303</v>
      </c>
      <c r="B117" s="2975" t="s">
        <v>2966</v>
      </c>
      <c r="C117" s="2976">
        <v>9.7000000000000003E-2</v>
      </c>
      <c r="D117" s="2976">
        <v>9.7000000000000003E-2</v>
      </c>
      <c r="E117" s="2987"/>
      <c r="F117" s="2987"/>
      <c r="G117" s="2977">
        <v>9.7000000000000003E-2</v>
      </c>
    </row>
    <row r="118" spans="1:7">
      <c r="A118" s="2986" t="s">
        <v>303</v>
      </c>
      <c r="B118" s="2975" t="s">
        <v>2971</v>
      </c>
      <c r="C118" s="2976">
        <v>0.1</v>
      </c>
      <c r="D118" s="2976">
        <v>0.1</v>
      </c>
      <c r="E118" s="2987"/>
      <c r="F118" s="2987"/>
      <c r="G118" s="2977">
        <v>0.1</v>
      </c>
    </row>
    <row r="119" spans="1:7">
      <c r="A119" s="2986" t="s">
        <v>303</v>
      </c>
      <c r="B119" s="2975" t="s">
        <v>2975</v>
      </c>
      <c r="C119" s="2976">
        <v>5.0999999999999997E-2</v>
      </c>
      <c r="D119" s="2976">
        <v>5.1999999999999998E-2</v>
      </c>
      <c r="E119" s="2987"/>
      <c r="F119" s="2992"/>
      <c r="G119" s="2977">
        <v>0.06</v>
      </c>
    </row>
    <row r="120" spans="1:7">
      <c r="A120" s="2986" t="s">
        <v>303</v>
      </c>
      <c r="B120" s="2975" t="s">
        <v>2979</v>
      </c>
      <c r="C120" s="2987"/>
      <c r="D120" s="2987"/>
      <c r="E120" s="2987"/>
      <c r="F120" s="2976">
        <v>0.1</v>
      </c>
      <c r="G120" s="2993"/>
    </row>
    <row r="121" spans="1:7">
      <c r="A121" s="2986" t="s">
        <v>303</v>
      </c>
      <c r="B121" s="2975" t="s">
        <v>2984</v>
      </c>
      <c r="C121" s="2987"/>
      <c r="D121" s="2987"/>
      <c r="E121" s="2987"/>
      <c r="F121" s="2976">
        <v>0.1</v>
      </c>
      <c r="G121" s="2993"/>
    </row>
    <row r="122" spans="1:7">
      <c r="A122" s="2986" t="s">
        <v>303</v>
      </c>
      <c r="B122" s="2975" t="s">
        <v>2989</v>
      </c>
      <c r="C122" s="2976">
        <v>0.1</v>
      </c>
      <c r="D122" s="2976">
        <v>0.1</v>
      </c>
      <c r="E122" s="2976">
        <v>9.8000000000000004E-2</v>
      </c>
      <c r="F122" s="2976">
        <v>0.1</v>
      </c>
      <c r="G122" s="2977">
        <v>0.1</v>
      </c>
    </row>
    <row r="123" spans="1:7">
      <c r="A123" s="2986" t="s">
        <v>303</v>
      </c>
      <c r="B123" s="2975" t="s">
        <v>2994</v>
      </c>
      <c r="C123" s="2976">
        <v>0.1</v>
      </c>
      <c r="D123" s="2976">
        <v>0.1</v>
      </c>
      <c r="E123" s="2976">
        <v>9.8000000000000004E-2</v>
      </c>
      <c r="F123" s="2976">
        <v>0.1</v>
      </c>
      <c r="G123" s="2977">
        <v>0.1</v>
      </c>
    </row>
    <row r="124" spans="1:7">
      <c r="A124" s="2986" t="s">
        <v>303</v>
      </c>
      <c r="B124" s="2975" t="s">
        <v>2999</v>
      </c>
      <c r="C124" s="2976">
        <v>0.1</v>
      </c>
      <c r="D124" s="2976">
        <v>0.1</v>
      </c>
      <c r="E124" s="2976">
        <v>9.8000000000000004E-2</v>
      </c>
      <c r="F124" s="2992"/>
      <c r="G124" s="2977">
        <v>0.1</v>
      </c>
    </row>
    <row r="125" spans="1:7">
      <c r="A125" s="2986" t="s">
        <v>303</v>
      </c>
      <c r="B125" s="2975" t="s">
        <v>3004</v>
      </c>
      <c r="C125" s="2976">
        <v>9.8000000000000004E-2</v>
      </c>
      <c r="D125" s="2976">
        <v>9.8000000000000004E-2</v>
      </c>
      <c r="E125" s="2976">
        <v>9.6000000000000002E-2</v>
      </c>
      <c r="F125" s="2992"/>
      <c r="G125" s="2977">
        <v>0.1</v>
      </c>
    </row>
    <row r="126" spans="1:7" ht="14.25" thickBot="1">
      <c r="A126" s="2989" t="s">
        <v>303</v>
      </c>
      <c r="B126" s="2979" t="s">
        <v>3170</v>
      </c>
      <c r="C126" s="2980">
        <v>0.1</v>
      </c>
      <c r="D126" s="2980">
        <v>0.1</v>
      </c>
      <c r="E126" s="2980">
        <v>9.8000000000000004E-2</v>
      </c>
      <c r="F126" s="2980">
        <v>0.1</v>
      </c>
      <c r="G126" s="2982">
        <v>0.1</v>
      </c>
    </row>
    <row r="127" spans="1:7">
      <c r="A127" s="2985" t="s">
        <v>29</v>
      </c>
      <c r="B127" s="2971" t="s">
        <v>2847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2917</v>
      </c>
      <c r="C148" s="2976">
        <v>0.13</v>
      </c>
      <c r="D148" s="2976">
        <v>0.13</v>
      </c>
      <c r="E148" s="2976">
        <v>0.13</v>
      </c>
      <c r="F148" s="2987"/>
      <c r="G148" s="2977">
        <v>0.13</v>
      </c>
    </row>
    <row r="149" spans="1:7">
      <c r="A149" s="2986" t="s">
        <v>29</v>
      </c>
      <c r="B149" s="2975" t="s">
        <v>2921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2940</v>
      </c>
      <c r="C153" s="2976">
        <v>0.13</v>
      </c>
      <c r="D153" s="2976">
        <v>0.13</v>
      </c>
      <c r="E153" s="2976">
        <v>0.13</v>
      </c>
      <c r="F153" s="2976">
        <v>0.13</v>
      </c>
      <c r="G153" s="2977">
        <v>0.13</v>
      </c>
    </row>
    <row r="154" spans="1:7">
      <c r="A154" s="2986" t="s">
        <v>29</v>
      </c>
      <c r="B154" s="2975" t="s">
        <v>2947</v>
      </c>
      <c r="C154" s="2976">
        <v>0.121</v>
      </c>
      <c r="D154" s="2976">
        <v>0.121</v>
      </c>
      <c r="E154" s="2976">
        <v>0.105</v>
      </c>
      <c r="F154" s="2976">
        <v>0.121</v>
      </c>
      <c r="G154" s="2977">
        <v>0.123</v>
      </c>
    </row>
    <row r="155" spans="1:7">
      <c r="A155" s="2986" t="s">
        <v>29</v>
      </c>
      <c r="B155" s="2975" t="s">
        <v>2953</v>
      </c>
      <c r="C155" s="2976">
        <v>0.1</v>
      </c>
      <c r="D155" s="2976">
        <v>0.1</v>
      </c>
      <c r="E155" s="2976">
        <v>0.1</v>
      </c>
      <c r="F155" s="2976">
        <v>0.1</v>
      </c>
      <c r="G155" s="2977">
        <v>0.1</v>
      </c>
    </row>
    <row r="156" spans="1:7">
      <c r="A156" s="2986" t="s">
        <v>29</v>
      </c>
      <c r="B156" s="2975" t="s">
        <v>2960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2980</v>
      </c>
      <c r="C160" s="2976">
        <v>0.13</v>
      </c>
      <c r="D160" s="2976">
        <v>0.13</v>
      </c>
      <c r="E160" s="2976">
        <v>0.124</v>
      </c>
      <c r="F160" s="2976">
        <v>0.126</v>
      </c>
      <c r="G160" s="2977">
        <v>0.13</v>
      </c>
    </row>
    <row r="161" spans="1:7">
      <c r="A161" s="2986" t="s">
        <v>29</v>
      </c>
      <c r="B161" s="2975" t="s">
        <v>2985</v>
      </c>
      <c r="C161" s="2976">
        <v>0.13</v>
      </c>
      <c r="D161" s="2976">
        <v>0.13</v>
      </c>
      <c r="E161" s="2976">
        <v>0.124</v>
      </c>
      <c r="F161" s="2976">
        <v>0.127</v>
      </c>
      <c r="G161" s="2977">
        <v>0.13</v>
      </c>
    </row>
    <row r="162" spans="1:7">
      <c r="A162" s="2986" t="s">
        <v>29</v>
      </c>
      <c r="B162" s="2975" t="s">
        <v>2990</v>
      </c>
      <c r="C162" s="2976">
        <v>0.1</v>
      </c>
      <c r="D162" s="2976">
        <v>0.1</v>
      </c>
      <c r="E162" s="2976">
        <v>0.1</v>
      </c>
      <c r="F162" s="2976">
        <v>0.121</v>
      </c>
      <c r="G162" s="2977">
        <v>0.105</v>
      </c>
    </row>
    <row r="163" spans="1:7">
      <c r="A163" s="2986" t="s">
        <v>29</v>
      </c>
      <c r="B163" s="2975" t="s">
        <v>2995</v>
      </c>
      <c r="C163" s="2976">
        <v>0.1</v>
      </c>
      <c r="D163" s="2976">
        <v>0.1</v>
      </c>
      <c r="E163" s="2976">
        <v>0.1</v>
      </c>
      <c r="F163" s="2976">
        <v>0.1</v>
      </c>
      <c r="G163" s="2977">
        <v>0.1</v>
      </c>
    </row>
    <row r="164" spans="1:7">
      <c r="A164" s="2986" t="s">
        <v>29</v>
      </c>
      <c r="B164" s="2975" t="s">
        <v>3000</v>
      </c>
      <c r="C164" s="2992"/>
      <c r="D164" s="2992"/>
      <c r="E164" s="2992"/>
      <c r="F164" s="2976">
        <v>0.1</v>
      </c>
      <c r="G164" s="2988"/>
    </row>
    <row r="165" spans="1:7">
      <c r="A165" s="2986" t="s">
        <v>29</v>
      </c>
      <c r="B165" s="2975" t="s">
        <v>3171</v>
      </c>
      <c r="C165" s="2976">
        <v>0.126</v>
      </c>
      <c r="D165" s="2976">
        <v>0.126</v>
      </c>
      <c r="E165" s="2976">
        <v>0.11899999999999999</v>
      </c>
      <c r="F165" s="2976">
        <v>0.13</v>
      </c>
      <c r="G165" s="2977">
        <v>0.128</v>
      </c>
    </row>
    <row r="166" spans="1:7">
      <c r="A166" s="2986" t="s">
        <v>29</v>
      </c>
      <c r="B166" s="2975" t="s">
        <v>3010</v>
      </c>
      <c r="C166" s="2976">
        <v>0.129</v>
      </c>
      <c r="D166" s="2976">
        <v>0.129</v>
      </c>
      <c r="E166" s="2976">
        <v>0.123</v>
      </c>
      <c r="F166" s="2976">
        <v>0.128</v>
      </c>
      <c r="G166" s="2977">
        <v>0.13</v>
      </c>
    </row>
    <row r="167" spans="1:7">
      <c r="A167" s="2986" t="s">
        <v>29</v>
      </c>
      <c r="B167" s="2975" t="s">
        <v>3014</v>
      </c>
      <c r="C167" s="2976">
        <v>0.125</v>
      </c>
      <c r="D167" s="2976">
        <v>0.125</v>
      </c>
      <c r="E167" s="2976">
        <v>0.11700000000000001</v>
      </c>
      <c r="F167" s="2976">
        <v>0.13</v>
      </c>
      <c r="G167" s="2977">
        <v>0.126</v>
      </c>
    </row>
    <row r="168" spans="1:7">
      <c r="A168" s="2986" t="s">
        <v>29</v>
      </c>
      <c r="B168" s="2975" t="s">
        <v>3019</v>
      </c>
      <c r="C168" s="2976">
        <v>0.128</v>
      </c>
      <c r="D168" s="2976">
        <v>0.128</v>
      </c>
      <c r="E168" s="2976">
        <v>0.123</v>
      </c>
      <c r="F168" s="2987"/>
      <c r="G168" s="2977">
        <v>0.13</v>
      </c>
    </row>
    <row r="169" spans="1:7">
      <c r="A169" s="2986" t="s">
        <v>29</v>
      </c>
      <c r="B169" s="2975" t="s">
        <v>3172</v>
      </c>
      <c r="C169" s="2992"/>
      <c r="D169" s="2992"/>
      <c r="E169" s="2992"/>
      <c r="F169" s="2976">
        <v>0.05</v>
      </c>
      <c r="G169" s="2988"/>
    </row>
    <row r="170" spans="1:7">
      <c r="A170" s="2986" t="s">
        <v>29</v>
      </c>
      <c r="B170" s="2975" t="s">
        <v>3173</v>
      </c>
      <c r="C170" s="2992"/>
      <c r="D170" s="2992"/>
      <c r="E170" s="2992"/>
      <c r="F170" s="2976">
        <v>0.05</v>
      </c>
      <c r="G170" s="2988"/>
    </row>
    <row r="171" spans="1:7">
      <c r="A171" s="2986" t="s">
        <v>29</v>
      </c>
      <c r="B171" s="2975" t="s">
        <v>3174</v>
      </c>
      <c r="C171" s="2992"/>
      <c r="D171" s="2992"/>
      <c r="E171" s="2992"/>
      <c r="F171" s="2976">
        <v>0.05</v>
      </c>
      <c r="G171" s="2993"/>
    </row>
    <row r="172" spans="1:7">
      <c r="A172" s="2986" t="s">
        <v>29</v>
      </c>
      <c r="B172" s="2975" t="s">
        <v>3175</v>
      </c>
      <c r="C172" s="2992"/>
      <c r="D172" s="2992"/>
      <c r="E172" s="2992"/>
      <c r="F172" s="2976">
        <v>0.05</v>
      </c>
      <c r="G172" s="2993"/>
    </row>
    <row r="173" spans="1:7">
      <c r="A173" s="2986" t="s">
        <v>29</v>
      </c>
      <c r="B173" s="2975" t="s">
        <v>3176</v>
      </c>
      <c r="C173" s="2992"/>
      <c r="D173" s="2992"/>
      <c r="E173" s="2992"/>
      <c r="F173" s="2976">
        <v>0.05</v>
      </c>
      <c r="G173" s="2988"/>
    </row>
    <row r="174" spans="1:7">
      <c r="A174" s="2986" t="s">
        <v>29</v>
      </c>
      <c r="B174" s="2975" t="s">
        <v>3177</v>
      </c>
      <c r="C174" s="2992"/>
      <c r="D174" s="2992"/>
      <c r="E174" s="2992"/>
      <c r="F174" s="2976">
        <v>0.05</v>
      </c>
      <c r="G174" s="2988"/>
    </row>
    <row r="175" spans="1:7">
      <c r="A175" s="2986" t="s">
        <v>29</v>
      </c>
      <c r="B175" s="2975" t="s">
        <v>3178</v>
      </c>
      <c r="C175" s="2992"/>
      <c r="D175" s="2992"/>
      <c r="E175" s="2992"/>
      <c r="F175" s="2976">
        <v>0.05</v>
      </c>
      <c r="G175" s="2988"/>
    </row>
    <row r="176" spans="1:7">
      <c r="A176" s="2986" t="s">
        <v>29</v>
      </c>
      <c r="B176" s="2975" t="s">
        <v>3179</v>
      </c>
      <c r="C176" s="2992"/>
      <c r="D176" s="2992"/>
      <c r="E176" s="2992"/>
      <c r="F176" s="2976">
        <v>0.05</v>
      </c>
      <c r="G176" s="2988"/>
    </row>
    <row r="177" spans="1:7">
      <c r="A177" s="2986" t="s">
        <v>29</v>
      </c>
      <c r="B177" s="2975" t="s">
        <v>3180</v>
      </c>
      <c r="C177" s="2987"/>
      <c r="D177" s="2987"/>
      <c r="E177" s="2987"/>
      <c r="F177" s="2976">
        <v>0.05</v>
      </c>
      <c r="G177" s="2993"/>
    </row>
    <row r="178" spans="1:7">
      <c r="A178" s="2986" t="s">
        <v>29</v>
      </c>
      <c r="B178" s="2975" t="s">
        <v>3181</v>
      </c>
      <c r="C178" s="2987"/>
      <c r="D178" s="2987"/>
      <c r="E178" s="2987"/>
      <c r="F178" s="2976">
        <v>0.05</v>
      </c>
      <c r="G178" s="2993"/>
    </row>
    <row r="179" spans="1:7">
      <c r="A179" s="2986" t="s">
        <v>29</v>
      </c>
      <c r="B179" s="2975" t="s">
        <v>3182</v>
      </c>
      <c r="C179" s="2987"/>
      <c r="D179" s="2987"/>
      <c r="E179" s="2987"/>
      <c r="F179" s="2976">
        <v>0.05</v>
      </c>
      <c r="G179" s="2993"/>
    </row>
    <row r="180" spans="1:7">
      <c r="A180" s="2986" t="s">
        <v>29</v>
      </c>
      <c r="B180" s="2975" t="s">
        <v>3183</v>
      </c>
      <c r="C180" s="2987"/>
      <c r="D180" s="2987"/>
      <c r="E180" s="2987"/>
      <c r="F180" s="2976">
        <v>0.05</v>
      </c>
      <c r="G180" s="2993"/>
    </row>
    <row r="181" spans="1:7">
      <c r="A181" s="2986" t="s">
        <v>29</v>
      </c>
      <c r="B181" s="2975" t="s">
        <v>3184</v>
      </c>
      <c r="C181" s="2987"/>
      <c r="D181" s="2987"/>
      <c r="E181" s="2987"/>
      <c r="F181" s="2976">
        <v>0.05</v>
      </c>
      <c r="G181" s="2993"/>
    </row>
    <row r="182" spans="1:7">
      <c r="A182" s="2986" t="s">
        <v>29</v>
      </c>
      <c r="B182" s="2975" t="s">
        <v>3185</v>
      </c>
      <c r="C182" s="2987"/>
      <c r="D182" s="2987"/>
      <c r="E182" s="2987"/>
      <c r="F182" s="2976">
        <v>0.05</v>
      </c>
      <c r="G182" s="2993"/>
    </row>
    <row r="183" spans="1:7">
      <c r="A183" s="2986" t="s">
        <v>29</v>
      </c>
      <c r="B183" s="2975" t="s">
        <v>3186</v>
      </c>
      <c r="C183" s="2987"/>
      <c r="D183" s="2987"/>
      <c r="E183" s="2987"/>
      <c r="F183" s="2976">
        <v>0.05</v>
      </c>
      <c r="G183" s="2993"/>
    </row>
    <row r="184" spans="1:7">
      <c r="A184" s="2986" t="s">
        <v>29</v>
      </c>
      <c r="B184" s="2975" t="s">
        <v>3187</v>
      </c>
      <c r="C184" s="2987"/>
      <c r="D184" s="2987"/>
      <c r="E184" s="2987"/>
      <c r="F184" s="2976">
        <v>0.05</v>
      </c>
      <c r="G184" s="2993"/>
    </row>
    <row r="185" spans="1:7">
      <c r="A185" s="2986" t="s">
        <v>29</v>
      </c>
      <c r="B185" s="2975" t="s">
        <v>3188</v>
      </c>
      <c r="C185" s="2987"/>
      <c r="D185" s="2987"/>
      <c r="E185" s="2987"/>
      <c r="F185" s="2976">
        <v>0.05</v>
      </c>
      <c r="G185" s="2993"/>
    </row>
    <row r="186" spans="1:7">
      <c r="A186" s="2986" t="s">
        <v>29</v>
      </c>
      <c r="B186" s="2975" t="s">
        <v>3189</v>
      </c>
      <c r="C186" s="2987"/>
      <c r="D186" s="2987"/>
      <c r="E186" s="2987"/>
      <c r="F186" s="2976">
        <v>0.05</v>
      </c>
      <c r="G186" s="2993"/>
    </row>
    <row r="187" spans="1:7">
      <c r="A187" s="2986" t="s">
        <v>29</v>
      </c>
      <c r="B187" s="2975" t="s">
        <v>3190</v>
      </c>
      <c r="C187" s="2987"/>
      <c r="D187" s="2987"/>
      <c r="E187" s="2987"/>
      <c r="F187" s="2976">
        <v>0.05</v>
      </c>
      <c r="G187" s="2993"/>
    </row>
    <row r="188" spans="1:7">
      <c r="A188" s="2986" t="s">
        <v>29</v>
      </c>
      <c r="B188" s="2975" t="s">
        <v>3191</v>
      </c>
      <c r="C188" s="2987"/>
      <c r="D188" s="2987"/>
      <c r="E188" s="2987"/>
      <c r="F188" s="2976">
        <v>0.05</v>
      </c>
      <c r="G188" s="2993"/>
    </row>
    <row r="189" spans="1:7" ht="14.25" thickBot="1">
      <c r="A189" s="2989" t="s">
        <v>29</v>
      </c>
      <c r="B189" s="2979" t="s">
        <v>3192</v>
      </c>
      <c r="C189" s="2981"/>
      <c r="D189" s="2981"/>
      <c r="E189" s="2981"/>
      <c r="F189" s="2980">
        <v>0.05</v>
      </c>
      <c r="G189" s="2994"/>
    </row>
    <row r="190" spans="1:7">
      <c r="A190" s="2985" t="s">
        <v>304</v>
      </c>
      <c r="B190" s="2971" t="s">
        <v>2848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2884</v>
      </c>
      <c r="C199" s="2976">
        <v>0.13</v>
      </c>
      <c r="D199" s="2976">
        <v>0.13</v>
      </c>
      <c r="E199" s="2976">
        <v>0.13</v>
      </c>
      <c r="F199" s="2976">
        <v>0.13</v>
      </c>
      <c r="G199" s="2977">
        <v>0.13</v>
      </c>
    </row>
    <row r="200" spans="1:7">
      <c r="A200" s="2986" t="s">
        <v>304</v>
      </c>
      <c r="B200" s="2975" t="s">
        <v>2887</v>
      </c>
      <c r="C200" s="2992"/>
      <c r="D200" s="2992"/>
      <c r="E200" s="2992"/>
      <c r="F200" s="2976">
        <v>0.13</v>
      </c>
      <c r="G200" s="2988"/>
    </row>
    <row r="201" spans="1:7">
      <c r="A201" s="2986" t="s">
        <v>304</v>
      </c>
      <c r="B201" s="2975" t="s">
        <v>2892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2895</v>
      </c>
      <c r="C203" s="2976">
        <v>0.129</v>
      </c>
      <c r="D203" s="2976">
        <v>0.129</v>
      </c>
      <c r="E203" s="2976">
        <v>0.13</v>
      </c>
      <c r="F203" s="2976">
        <v>0.13</v>
      </c>
      <c r="G203" s="2977">
        <v>0.13</v>
      </c>
    </row>
    <row r="204" spans="1:7">
      <c r="A204" s="2986" t="s">
        <v>304</v>
      </c>
      <c r="B204" s="2975" t="s">
        <v>2898</v>
      </c>
      <c r="C204" s="2976">
        <v>0.129</v>
      </c>
      <c r="D204" s="2976">
        <v>0.129</v>
      </c>
      <c r="E204" s="2976">
        <v>0.123</v>
      </c>
      <c r="F204" s="2976">
        <v>0.13</v>
      </c>
      <c r="G204" s="2977">
        <v>0.13</v>
      </c>
    </row>
    <row r="205" spans="1:7">
      <c r="A205" s="2986" t="s">
        <v>304</v>
      </c>
      <c r="B205" s="2975" t="s">
        <v>2900</v>
      </c>
      <c r="C205" s="2976">
        <v>0.13</v>
      </c>
      <c r="D205" s="2976">
        <v>0.13</v>
      </c>
      <c r="E205" s="2976">
        <v>0.13</v>
      </c>
      <c r="F205" s="2976">
        <v>0.13</v>
      </c>
      <c r="G205" s="2977">
        <v>0.13</v>
      </c>
    </row>
    <row r="206" spans="1:7">
      <c r="A206" s="2986" t="s">
        <v>304</v>
      </c>
      <c r="B206" s="2975" t="s">
        <v>2903</v>
      </c>
      <c r="C206" s="2976">
        <v>0.13</v>
      </c>
      <c r="D206" s="2976">
        <v>0.13</v>
      </c>
      <c r="E206" s="2976">
        <v>0.13</v>
      </c>
      <c r="F206" s="2976">
        <v>0.128</v>
      </c>
      <c r="G206" s="2977">
        <v>0.13</v>
      </c>
    </row>
    <row r="207" spans="1:7">
      <c r="A207" s="2986" t="s">
        <v>304</v>
      </c>
      <c r="B207" s="2975" t="s">
        <v>2905</v>
      </c>
      <c r="C207" s="2976">
        <v>0.13</v>
      </c>
      <c r="D207" s="2976">
        <v>0.13</v>
      </c>
      <c r="E207" s="2976">
        <v>0.13</v>
      </c>
      <c r="F207" s="2976">
        <v>0.13</v>
      </c>
      <c r="G207" s="2977">
        <v>0.13</v>
      </c>
    </row>
    <row r="208" spans="1:7">
      <c r="A208" s="2986" t="s">
        <v>304</v>
      </c>
      <c r="B208" s="2975" t="s">
        <v>2908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2915</v>
      </c>
      <c r="C210" s="2976">
        <v>0.121</v>
      </c>
      <c r="D210" s="2976">
        <v>0.121</v>
      </c>
      <c r="E210" s="2976">
        <v>0.125</v>
      </c>
      <c r="F210" s="2976">
        <v>0.13</v>
      </c>
      <c r="G210" s="2977">
        <v>0.123</v>
      </c>
    </row>
    <row r="211" spans="1:7">
      <c r="A211" s="2986" t="s">
        <v>304</v>
      </c>
      <c r="B211" s="2975" t="s">
        <v>2918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2930</v>
      </c>
      <c r="C214" s="2976">
        <v>0.128</v>
      </c>
      <c r="D214" s="2976">
        <v>0.128</v>
      </c>
      <c r="E214" s="2976">
        <v>0.13</v>
      </c>
      <c r="F214" s="2976">
        <v>0.13</v>
      </c>
      <c r="G214" s="2977">
        <v>0.13</v>
      </c>
    </row>
    <row r="215" spans="1:7">
      <c r="A215" s="2986" t="s">
        <v>304</v>
      </c>
      <c r="B215" s="2975" t="s">
        <v>2934</v>
      </c>
      <c r="C215" s="2976">
        <v>0.13</v>
      </c>
      <c r="D215" s="2976">
        <v>0.13</v>
      </c>
      <c r="E215" s="2976">
        <v>0.13</v>
      </c>
      <c r="F215" s="2976">
        <v>0.129</v>
      </c>
      <c r="G215" s="2977">
        <v>0.13</v>
      </c>
    </row>
    <row r="216" spans="1:7">
      <c r="A216" s="2986" t="s">
        <v>304</v>
      </c>
      <c r="B216" s="2975" t="s">
        <v>2941</v>
      </c>
      <c r="C216" s="2976">
        <v>0.13</v>
      </c>
      <c r="D216" s="2976">
        <v>0.13</v>
      </c>
      <c r="E216" s="2976">
        <v>0.13</v>
      </c>
      <c r="F216" s="2976">
        <v>0.13</v>
      </c>
      <c r="G216" s="2977">
        <v>0.13</v>
      </c>
    </row>
    <row r="217" spans="1:7">
      <c r="A217" s="2986" t="s">
        <v>304</v>
      </c>
      <c r="B217" s="2975" t="s">
        <v>2948</v>
      </c>
      <c r="C217" s="2976">
        <v>0.129</v>
      </c>
      <c r="D217" s="2976">
        <v>0.129</v>
      </c>
      <c r="E217" s="2976">
        <v>0.13</v>
      </c>
      <c r="F217" s="2976">
        <v>0.13</v>
      </c>
      <c r="G217" s="2977">
        <v>0.13</v>
      </c>
    </row>
    <row r="218" spans="1:7">
      <c r="A218" s="2986" t="s">
        <v>304</v>
      </c>
      <c r="B218" s="2975" t="s">
        <v>2954</v>
      </c>
      <c r="C218" s="2987"/>
      <c r="D218" s="2987"/>
      <c r="E218" s="2987"/>
      <c r="F218" s="2976">
        <v>0.05</v>
      </c>
      <c r="G218" s="2993"/>
    </row>
    <row r="219" spans="1:7">
      <c r="A219" s="2986" t="s">
        <v>304</v>
      </c>
      <c r="B219" s="2975" t="s">
        <v>2961</v>
      </c>
      <c r="C219" s="2987"/>
      <c r="D219" s="2987"/>
      <c r="E219" s="2987"/>
      <c r="F219" s="2976">
        <v>0.05</v>
      </c>
      <c r="G219" s="2993"/>
    </row>
    <row r="220" spans="1:7">
      <c r="A220" s="2986" t="s">
        <v>304</v>
      </c>
      <c r="B220" s="2975" t="s">
        <v>2967</v>
      </c>
      <c r="C220" s="2987"/>
      <c r="D220" s="2987"/>
      <c r="E220" s="2987"/>
      <c r="F220" s="2976">
        <v>0.05</v>
      </c>
      <c r="G220" s="2993"/>
    </row>
    <row r="221" spans="1:7">
      <c r="A221" s="2986" t="s">
        <v>304</v>
      </c>
      <c r="B221" s="2975" t="s">
        <v>2972</v>
      </c>
      <c r="C221" s="2987"/>
      <c r="D221" s="2987"/>
      <c r="E221" s="2987"/>
      <c r="F221" s="2976">
        <v>0.05</v>
      </c>
      <c r="G221" s="2993"/>
    </row>
    <row r="222" spans="1:7">
      <c r="A222" s="2986" t="s">
        <v>304</v>
      </c>
      <c r="B222" s="2975" t="s">
        <v>2976</v>
      </c>
      <c r="C222" s="2987"/>
      <c r="D222" s="2987"/>
      <c r="E222" s="2987"/>
      <c r="F222" s="2976">
        <v>0.05</v>
      </c>
      <c r="G222" s="2993"/>
    </row>
    <row r="223" spans="1:7">
      <c r="A223" s="2986" t="s">
        <v>304</v>
      </c>
      <c r="B223" s="2975" t="s">
        <v>2981</v>
      </c>
      <c r="C223" s="2987"/>
      <c r="D223" s="2987"/>
      <c r="E223" s="2987"/>
      <c r="F223" s="2976">
        <v>0.05</v>
      </c>
      <c r="G223" s="2993"/>
    </row>
    <row r="224" spans="1:7">
      <c r="A224" s="2986" t="s">
        <v>304</v>
      </c>
      <c r="B224" s="2975" t="s">
        <v>2986</v>
      </c>
      <c r="C224" s="2987"/>
      <c r="D224" s="2987"/>
      <c r="E224" s="2987"/>
      <c r="F224" s="2976">
        <v>0.05</v>
      </c>
      <c r="G224" s="2993"/>
    </row>
    <row r="225" spans="1:7">
      <c r="A225" s="2986" t="s">
        <v>304</v>
      </c>
      <c r="B225" s="2975" t="s">
        <v>2991</v>
      </c>
      <c r="C225" s="2987"/>
      <c r="D225" s="2987"/>
      <c r="E225" s="2987"/>
      <c r="F225" s="2976">
        <v>0.05</v>
      </c>
      <c r="G225" s="2993"/>
    </row>
    <row r="226" spans="1:7">
      <c r="A226" s="2986" t="s">
        <v>304</v>
      </c>
      <c r="B226" s="2975" t="s">
        <v>3193</v>
      </c>
      <c r="C226" s="2987"/>
      <c r="D226" s="2987"/>
      <c r="E226" s="2987"/>
      <c r="F226" s="2976">
        <v>0.05</v>
      </c>
      <c r="G226" s="2993"/>
    </row>
    <row r="227" spans="1:7">
      <c r="A227" s="2986" t="s">
        <v>304</v>
      </c>
      <c r="B227" s="2975" t="s">
        <v>3194</v>
      </c>
      <c r="C227" s="2987"/>
      <c r="D227" s="2987"/>
      <c r="E227" s="2987"/>
      <c r="F227" s="2976">
        <v>0.05</v>
      </c>
      <c r="G227" s="2993"/>
    </row>
    <row r="228" spans="1:7">
      <c r="A228" s="2986" t="s">
        <v>304</v>
      </c>
      <c r="B228" s="2975" t="s">
        <v>3195</v>
      </c>
      <c r="C228" s="2987"/>
      <c r="D228" s="2987"/>
      <c r="E228" s="2987"/>
      <c r="F228" s="2976">
        <v>0.05</v>
      </c>
      <c r="G228" s="2993"/>
    </row>
    <row r="229" spans="1:7">
      <c r="A229" s="2986" t="s">
        <v>304</v>
      </c>
      <c r="B229" s="2975" t="s">
        <v>3196</v>
      </c>
      <c r="C229" s="2987"/>
      <c r="D229" s="2987"/>
      <c r="E229" s="2987"/>
      <c r="F229" s="2976">
        <v>0.05</v>
      </c>
      <c r="G229" s="2993"/>
    </row>
    <row r="230" spans="1:7">
      <c r="A230" s="2986" t="s">
        <v>304</v>
      </c>
      <c r="B230" s="2975" t="s">
        <v>3197</v>
      </c>
      <c r="C230" s="2987"/>
      <c r="D230" s="2987"/>
      <c r="E230" s="2987"/>
      <c r="F230" s="2976">
        <v>0.05</v>
      </c>
      <c r="G230" s="2993"/>
    </row>
    <row r="231" spans="1:7">
      <c r="A231" s="2986" t="s">
        <v>304</v>
      </c>
      <c r="B231" s="2975" t="s">
        <v>3198</v>
      </c>
      <c r="C231" s="2987"/>
      <c r="D231" s="2987"/>
      <c r="E231" s="2987"/>
      <c r="F231" s="2976">
        <v>0.05</v>
      </c>
      <c r="G231" s="2993"/>
    </row>
    <row r="232" spans="1:7">
      <c r="A232" s="2986" t="s">
        <v>304</v>
      </c>
      <c r="B232" s="2975" t="s">
        <v>3199</v>
      </c>
      <c r="C232" s="2987"/>
      <c r="D232" s="2987"/>
      <c r="E232" s="2987"/>
      <c r="F232" s="2976">
        <v>0.05</v>
      </c>
      <c r="G232" s="2993"/>
    </row>
    <row r="233" spans="1:7" ht="14.25" thickBot="1">
      <c r="A233" s="2989" t="s">
        <v>304</v>
      </c>
      <c r="B233" s="2979" t="s">
        <v>3200</v>
      </c>
      <c r="C233" s="2981"/>
      <c r="D233" s="2981"/>
      <c r="E233" s="2981"/>
      <c r="F233" s="2980">
        <v>0.05</v>
      </c>
      <c r="G233" s="2994"/>
    </row>
    <row r="234" spans="1:7">
      <c r="A234" s="2985" t="s">
        <v>305</v>
      </c>
      <c r="B234" s="2971" t="s">
        <v>2849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2869</v>
      </c>
      <c r="C238" s="2976">
        <v>0.14899999999999999</v>
      </c>
      <c r="D238" s="2976">
        <v>0.14899999999999999</v>
      </c>
      <c r="E238" s="2976">
        <v>0.15</v>
      </c>
      <c r="F238" s="2976">
        <v>0.15</v>
      </c>
      <c r="G238" s="2977">
        <v>0.15</v>
      </c>
    </row>
    <row r="239" spans="1:7">
      <c r="A239" s="2986" t="s">
        <v>305</v>
      </c>
      <c r="B239" s="2975" t="s">
        <v>2873</v>
      </c>
      <c r="C239" s="2976">
        <v>0.15</v>
      </c>
      <c r="D239" s="2976">
        <v>0.15</v>
      </c>
      <c r="E239" s="2976">
        <v>0.15</v>
      </c>
      <c r="F239" s="2976">
        <v>0.15</v>
      </c>
      <c r="G239" s="2977">
        <v>0.15</v>
      </c>
    </row>
    <row r="240" spans="1:7">
      <c r="A240" s="2986" t="s">
        <v>305</v>
      </c>
      <c r="B240" s="2975" t="s">
        <v>2878</v>
      </c>
      <c r="C240" s="2976">
        <v>0.15</v>
      </c>
      <c r="D240" s="2976">
        <v>0.15</v>
      </c>
      <c r="E240" s="2976">
        <v>0.15</v>
      </c>
      <c r="F240" s="2976">
        <v>0.15</v>
      </c>
      <c r="G240" s="2977">
        <v>0.15</v>
      </c>
    </row>
    <row r="241" spans="1:7">
      <c r="A241" s="2986" t="s">
        <v>305</v>
      </c>
      <c r="B241" s="2975" t="s">
        <v>2882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2888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2909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2931</v>
      </c>
      <c r="C258" s="2976">
        <v>0.14299999999999999</v>
      </c>
      <c r="D258" s="2976">
        <v>0.14299999999999999</v>
      </c>
      <c r="E258" s="2976">
        <v>0.15</v>
      </c>
      <c r="F258" s="2976">
        <v>0.14799999999999999</v>
      </c>
      <c r="G258" s="2977">
        <v>0.14599999999999999</v>
      </c>
    </row>
    <row r="259" spans="1:7">
      <c r="A259" s="2986" t="s">
        <v>305</v>
      </c>
      <c r="B259" s="2975" t="s">
        <v>2935</v>
      </c>
      <c r="C259" s="2976">
        <v>0.14399999999999999</v>
      </c>
      <c r="D259" s="2976">
        <v>0.14399999999999999</v>
      </c>
      <c r="E259" s="2976">
        <v>0.14899999999999999</v>
      </c>
      <c r="F259" s="2976">
        <v>0.14699999999999999</v>
      </c>
      <c r="G259" s="2977">
        <v>0.14599999999999999</v>
      </c>
    </row>
    <row r="260" spans="1:7">
      <c r="A260" s="2986" t="s">
        <v>305</v>
      </c>
      <c r="B260" s="2975" t="s">
        <v>2942</v>
      </c>
      <c r="C260" s="2976">
        <v>0.109</v>
      </c>
      <c r="D260" s="2976">
        <v>0.111</v>
      </c>
      <c r="E260" s="2976">
        <v>0.13100000000000001</v>
      </c>
      <c r="F260" s="2976">
        <v>0.126</v>
      </c>
      <c r="G260" s="2977">
        <v>0.11899999999999999</v>
      </c>
    </row>
    <row r="261" spans="1:7">
      <c r="A261" s="2986" t="s">
        <v>305</v>
      </c>
      <c r="B261" s="2975" t="s">
        <v>2949</v>
      </c>
      <c r="C261" s="2976">
        <v>0.1</v>
      </c>
      <c r="D261" s="2976">
        <v>0.1</v>
      </c>
      <c r="E261" s="2976">
        <v>0.11799999999999999</v>
      </c>
      <c r="F261" s="2976">
        <v>0.108</v>
      </c>
      <c r="G261" s="2977">
        <v>0.107</v>
      </c>
    </row>
    <row r="262" spans="1:7">
      <c r="A262" s="2986" t="s">
        <v>305</v>
      </c>
      <c r="B262" s="2975" t="s">
        <v>2955</v>
      </c>
      <c r="C262" s="2976">
        <v>0.1</v>
      </c>
      <c r="D262" s="2976">
        <v>0.1</v>
      </c>
      <c r="E262" s="2976">
        <v>0.1</v>
      </c>
      <c r="F262" s="2976">
        <v>0.14099999999999999</v>
      </c>
      <c r="G262" s="2977">
        <v>0.1</v>
      </c>
    </row>
    <row r="263" spans="1:7">
      <c r="A263" s="2986" t="s">
        <v>305</v>
      </c>
      <c r="B263" s="2975" t="s">
        <v>2962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2973</v>
      </c>
      <c r="C265" s="2987"/>
      <c r="D265" s="2987"/>
      <c r="E265" s="2987"/>
      <c r="F265" s="2976">
        <v>0.05</v>
      </c>
      <c r="G265" s="2993"/>
    </row>
    <row r="266" spans="1:7">
      <c r="A266" s="2986" t="s">
        <v>305</v>
      </c>
      <c r="B266" s="2975" t="s">
        <v>2977</v>
      </c>
      <c r="C266" s="2987"/>
      <c r="D266" s="2987"/>
      <c r="E266" s="2987"/>
      <c r="F266" s="2976">
        <v>0.05</v>
      </c>
      <c r="G266" s="2993"/>
    </row>
    <row r="267" spans="1:7">
      <c r="A267" s="2986" t="s">
        <v>305</v>
      </c>
      <c r="B267" s="2975" t="s">
        <v>2982</v>
      </c>
      <c r="C267" s="2987"/>
      <c r="D267" s="2987"/>
      <c r="E267" s="2987"/>
      <c r="F267" s="2976">
        <v>0.05</v>
      </c>
      <c r="G267" s="2993"/>
    </row>
    <row r="268" spans="1:7">
      <c r="A268" s="2986" t="s">
        <v>305</v>
      </c>
      <c r="B268" s="2975" t="s">
        <v>2987</v>
      </c>
      <c r="C268" s="2987"/>
      <c r="D268" s="2987"/>
      <c r="E268" s="2987"/>
      <c r="F268" s="2976">
        <v>0.05</v>
      </c>
      <c r="G268" s="2993"/>
    </row>
    <row r="269" spans="1:7">
      <c r="A269" s="2986" t="s">
        <v>305</v>
      </c>
      <c r="B269" s="2975" t="s">
        <v>2992</v>
      </c>
      <c r="C269" s="2987"/>
      <c r="D269" s="2987"/>
      <c r="E269" s="2987"/>
      <c r="F269" s="2976">
        <v>0.05</v>
      </c>
      <c r="G269" s="2993"/>
    </row>
    <row r="270" spans="1:7">
      <c r="A270" s="2986" t="s">
        <v>305</v>
      </c>
      <c r="B270" s="2975" t="s">
        <v>2997</v>
      </c>
      <c r="C270" s="2987"/>
      <c r="D270" s="2987"/>
      <c r="E270" s="2987"/>
      <c r="F270" s="2976">
        <v>0.05</v>
      </c>
      <c r="G270" s="2993"/>
    </row>
    <row r="271" spans="1:7">
      <c r="A271" s="2986" t="s">
        <v>305</v>
      </c>
      <c r="B271" s="2975" t="s">
        <v>3201</v>
      </c>
      <c r="C271" s="2987"/>
      <c r="D271" s="2987"/>
      <c r="E271" s="2987"/>
      <c r="F271" s="2976">
        <v>0.05</v>
      </c>
      <c r="G271" s="2993"/>
    </row>
    <row r="272" spans="1:7">
      <c r="A272" s="2986" t="s">
        <v>305</v>
      </c>
      <c r="B272" s="2975" t="s">
        <v>3202</v>
      </c>
      <c r="C272" s="2987"/>
      <c r="D272" s="2987"/>
      <c r="E272" s="2987"/>
      <c r="F272" s="2976">
        <v>0.05</v>
      </c>
      <c r="G272" s="2993"/>
    </row>
    <row r="273" spans="1:7">
      <c r="A273" s="2986" t="s">
        <v>305</v>
      </c>
      <c r="B273" s="2975" t="s">
        <v>3203</v>
      </c>
      <c r="C273" s="2987"/>
      <c r="D273" s="2987"/>
      <c r="E273" s="2987"/>
      <c r="F273" s="2976">
        <v>0.05</v>
      </c>
      <c r="G273" s="2993"/>
    </row>
    <row r="274" spans="1:7">
      <c r="A274" s="2986" t="s">
        <v>305</v>
      </c>
      <c r="B274" s="2975" t="s">
        <v>3204</v>
      </c>
      <c r="C274" s="2987"/>
      <c r="D274" s="2987"/>
      <c r="E274" s="2987"/>
      <c r="F274" s="2976">
        <v>0.05</v>
      </c>
      <c r="G274" s="2993"/>
    </row>
    <row r="275" spans="1:7">
      <c r="A275" s="2986" t="s">
        <v>305</v>
      </c>
      <c r="B275" s="2975" t="s">
        <v>3205</v>
      </c>
      <c r="C275" s="2987"/>
      <c r="D275" s="2987"/>
      <c r="E275" s="2987"/>
      <c r="F275" s="2976">
        <v>0.05</v>
      </c>
      <c r="G275" s="2993"/>
    </row>
    <row r="276" spans="1:7" ht="14.25" thickBot="1">
      <c r="A276" s="2989" t="s">
        <v>305</v>
      </c>
      <c r="B276" s="2979" t="s">
        <v>3206</v>
      </c>
      <c r="C276" s="2981"/>
      <c r="D276" s="2981"/>
      <c r="E276" s="2981"/>
      <c r="F276" s="2980">
        <v>0.05</v>
      </c>
      <c r="G276" s="2994"/>
    </row>
    <row r="277" spans="1:7">
      <c r="A277" s="2985" t="s">
        <v>306</v>
      </c>
      <c r="B277" s="2971" t="s">
        <v>2850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2862</v>
      </c>
      <c r="C279" s="2976">
        <v>0.15</v>
      </c>
      <c r="D279" s="2976">
        <v>0.15</v>
      </c>
      <c r="E279" s="2976">
        <v>0.15</v>
      </c>
      <c r="F279" s="2976">
        <v>0.15</v>
      </c>
      <c r="G279" s="2977">
        <v>0.15</v>
      </c>
    </row>
    <row r="280" spans="1:7">
      <c r="A280" s="2986" t="s">
        <v>306</v>
      </c>
      <c r="B280" s="2975" t="s">
        <v>2866</v>
      </c>
      <c r="C280" s="2976">
        <v>0.15</v>
      </c>
      <c r="D280" s="2976">
        <v>0.15</v>
      </c>
      <c r="E280" s="2976">
        <v>0.15</v>
      </c>
      <c r="F280" s="2976">
        <v>0.15</v>
      </c>
      <c r="G280" s="2977">
        <v>0.15</v>
      </c>
    </row>
    <row r="281" spans="1:7">
      <c r="A281" s="2986" t="s">
        <v>306</v>
      </c>
      <c r="B281" s="2975" t="s">
        <v>2870</v>
      </c>
      <c r="C281" s="2976">
        <v>0.15</v>
      </c>
      <c r="D281" s="2976">
        <v>0.15</v>
      </c>
      <c r="E281" s="2976">
        <v>0.15</v>
      </c>
      <c r="F281" s="2976">
        <v>0.15</v>
      </c>
      <c r="G281" s="2977">
        <v>0.15</v>
      </c>
    </row>
    <row r="282" spans="1:7">
      <c r="A282" s="2986" t="s">
        <v>306</v>
      </c>
      <c r="B282" s="2975" t="s">
        <v>2874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2889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2904</v>
      </c>
      <c r="C293" s="2976">
        <v>0.15</v>
      </c>
      <c r="D293" s="2976">
        <v>0.15</v>
      </c>
      <c r="E293" s="2976">
        <v>0.15</v>
      </c>
      <c r="F293" s="2976">
        <v>0.14499999999999999</v>
      </c>
      <c r="G293" s="2977">
        <v>0.15</v>
      </c>
    </row>
    <row r="294" spans="1:7">
      <c r="A294" s="2986" t="s">
        <v>306</v>
      </c>
      <c r="B294" s="2975" t="s">
        <v>2906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2936</v>
      </c>
      <c r="C302" s="2976">
        <v>0.15</v>
      </c>
      <c r="D302" s="2976">
        <v>0.15</v>
      </c>
      <c r="E302" s="2976">
        <v>0.15</v>
      </c>
      <c r="F302" s="2976">
        <v>0.14699999999999999</v>
      </c>
      <c r="G302" s="2977">
        <v>0.15</v>
      </c>
    </row>
    <row r="303" spans="1:7">
      <c r="A303" s="2986" t="s">
        <v>306</v>
      </c>
      <c r="B303" s="2975" t="s">
        <v>2943</v>
      </c>
      <c r="C303" s="2976">
        <v>0.15</v>
      </c>
      <c r="D303" s="2976">
        <v>0.15</v>
      </c>
      <c r="E303" s="2976">
        <v>0.15</v>
      </c>
      <c r="F303" s="2976">
        <v>0.14199999999999999</v>
      </c>
      <c r="G303" s="2977">
        <v>0.15</v>
      </c>
    </row>
    <row r="304" spans="1:7">
      <c r="A304" s="2986" t="s">
        <v>306</v>
      </c>
      <c r="B304" s="2975" t="s">
        <v>2950</v>
      </c>
      <c r="C304" s="2976">
        <v>0.15</v>
      </c>
      <c r="D304" s="2976">
        <v>0.15</v>
      </c>
      <c r="E304" s="2976">
        <v>0.15</v>
      </c>
      <c r="F304" s="2976">
        <v>0.14499999999999999</v>
      </c>
      <c r="G304" s="2977">
        <v>0.15</v>
      </c>
    </row>
    <row r="305" spans="1:7">
      <c r="A305" s="2986" t="s">
        <v>306</v>
      </c>
      <c r="B305" s="2975" t="s">
        <v>2956</v>
      </c>
      <c r="C305" s="2976">
        <v>0.15</v>
      </c>
      <c r="D305" s="2976">
        <v>0.15</v>
      </c>
      <c r="E305" s="2976">
        <v>0.15</v>
      </c>
      <c r="F305" s="2976">
        <v>0.111</v>
      </c>
      <c r="G305" s="2977">
        <v>0.15</v>
      </c>
    </row>
    <row r="306" spans="1:7">
      <c r="A306" s="2986" t="s">
        <v>306</v>
      </c>
      <c r="B306" s="2975" t="s">
        <v>2963</v>
      </c>
      <c r="C306" s="2976">
        <v>0.15</v>
      </c>
      <c r="D306" s="2976">
        <v>0.15</v>
      </c>
      <c r="E306" s="2976">
        <v>0.15</v>
      </c>
      <c r="F306" s="2976">
        <v>0.126</v>
      </c>
      <c r="G306" s="2977">
        <v>0.15</v>
      </c>
    </row>
    <row r="307" spans="1:7">
      <c r="A307" s="2986" t="s">
        <v>306</v>
      </c>
      <c r="B307" s="2975" t="s">
        <v>2968</v>
      </c>
      <c r="C307" s="2976">
        <v>0.15</v>
      </c>
      <c r="D307" s="2976">
        <v>0.15</v>
      </c>
      <c r="E307" s="2976">
        <v>0.15</v>
      </c>
      <c r="F307" s="2976">
        <v>0.12</v>
      </c>
      <c r="G307" s="2977">
        <v>0.15</v>
      </c>
    </row>
    <row r="308" spans="1:7">
      <c r="A308" s="2986" t="s">
        <v>306</v>
      </c>
      <c r="B308" s="2975" t="s">
        <v>2974</v>
      </c>
      <c r="C308" s="2976">
        <v>0.15</v>
      </c>
      <c r="D308" s="2976">
        <v>0.15</v>
      </c>
      <c r="E308" s="2976">
        <v>0.15</v>
      </c>
      <c r="F308" s="2976">
        <v>0.13</v>
      </c>
      <c r="G308" s="2977">
        <v>0.15</v>
      </c>
    </row>
    <row r="309" spans="1:7">
      <c r="A309" s="2986" t="s">
        <v>306</v>
      </c>
      <c r="B309" s="2975" t="s">
        <v>2978</v>
      </c>
      <c r="C309" s="2976">
        <v>0.15</v>
      </c>
      <c r="D309" s="2976">
        <v>0.15</v>
      </c>
      <c r="E309" s="2976">
        <v>0.15</v>
      </c>
      <c r="F309" s="2976">
        <v>0.14099999999999999</v>
      </c>
      <c r="G309" s="2977">
        <v>0.15</v>
      </c>
    </row>
    <row r="310" spans="1:7">
      <c r="A310" s="2986" t="s">
        <v>306</v>
      </c>
      <c r="B310" s="2975" t="s">
        <v>2983</v>
      </c>
      <c r="C310" s="2976">
        <v>0.15</v>
      </c>
      <c r="D310" s="2976">
        <v>0.15</v>
      </c>
      <c r="E310" s="2976">
        <v>0.15</v>
      </c>
      <c r="F310" s="2976">
        <v>0.15</v>
      </c>
      <c r="G310" s="2977">
        <v>0.15</v>
      </c>
    </row>
    <row r="311" spans="1:7">
      <c r="A311" s="2986" t="s">
        <v>306</v>
      </c>
      <c r="B311" s="2975" t="s">
        <v>2988</v>
      </c>
      <c r="C311" s="2976">
        <v>0.13200000000000001</v>
      </c>
      <c r="D311" s="2976">
        <v>0.13300000000000001</v>
      </c>
      <c r="E311" s="2976">
        <v>0.14499999999999999</v>
      </c>
      <c r="F311" s="2976">
        <v>0.14199999999999999</v>
      </c>
      <c r="G311" s="2977">
        <v>0.14000000000000001</v>
      </c>
    </row>
    <row r="312" spans="1:7">
      <c r="A312" s="2986" t="s">
        <v>306</v>
      </c>
      <c r="B312" s="2975" t="s">
        <v>2993</v>
      </c>
      <c r="C312" s="2976">
        <v>0.13800000000000001</v>
      </c>
      <c r="D312" s="2976">
        <v>0.14000000000000001</v>
      </c>
      <c r="E312" s="2976">
        <v>0.14599999999999999</v>
      </c>
      <c r="F312" s="2976">
        <v>0.14899999999999999</v>
      </c>
      <c r="G312" s="2977">
        <v>0.14199999999999999</v>
      </c>
    </row>
    <row r="313" spans="1:7">
      <c r="A313" s="2986" t="s">
        <v>306</v>
      </c>
      <c r="B313" s="2975" t="s">
        <v>2998</v>
      </c>
      <c r="C313" s="2976">
        <v>0.125</v>
      </c>
      <c r="D313" s="2976">
        <v>0.127</v>
      </c>
      <c r="E313" s="2976">
        <v>0.14399999999999999</v>
      </c>
      <c r="F313" s="2976">
        <v>0.115</v>
      </c>
      <c r="G313" s="2977">
        <v>0.13600000000000001</v>
      </c>
    </row>
    <row r="314" spans="1:7">
      <c r="A314" s="2986" t="s">
        <v>306</v>
      </c>
      <c r="B314" s="2975" t="s">
        <v>3207</v>
      </c>
      <c r="C314" s="2992"/>
      <c r="D314" s="2992"/>
      <c r="E314" s="2992"/>
      <c r="F314" s="2976">
        <v>0.05</v>
      </c>
      <c r="G314" s="2993"/>
    </row>
    <row r="315" spans="1:7">
      <c r="A315" s="2986" t="s">
        <v>306</v>
      </c>
      <c r="B315" s="2975" t="s">
        <v>3208</v>
      </c>
      <c r="C315" s="2992"/>
      <c r="D315" s="2992"/>
      <c r="E315" s="2992"/>
      <c r="F315" s="2976">
        <v>0.05</v>
      </c>
      <c r="G315" s="2993"/>
    </row>
    <row r="316" spans="1:7">
      <c r="A316" s="2986" t="s">
        <v>306</v>
      </c>
      <c r="B316" s="2975" t="s">
        <v>3209</v>
      </c>
      <c r="C316" s="2987"/>
      <c r="D316" s="2987"/>
      <c r="E316" s="2987"/>
      <c r="F316" s="2976">
        <v>0.05</v>
      </c>
      <c r="G316" s="2993"/>
    </row>
    <row r="317" spans="1:7">
      <c r="A317" s="2986" t="s">
        <v>306</v>
      </c>
      <c r="B317" s="2975" t="s">
        <v>3210</v>
      </c>
      <c r="C317" s="2987"/>
      <c r="D317" s="2987"/>
      <c r="E317" s="2987"/>
      <c r="F317" s="2976">
        <v>0.05</v>
      </c>
      <c r="G317" s="2993"/>
    </row>
    <row r="318" spans="1:7">
      <c r="A318" s="2986" t="s">
        <v>306</v>
      </c>
      <c r="B318" s="2975" t="s">
        <v>3211</v>
      </c>
      <c r="C318" s="2987"/>
      <c r="D318" s="2987"/>
      <c r="E318" s="2987"/>
      <c r="F318" s="2976">
        <v>0.05</v>
      </c>
      <c r="G318" s="2993"/>
    </row>
    <row r="319" spans="1:7">
      <c r="A319" s="2986" t="s">
        <v>306</v>
      </c>
      <c r="B319" s="2975" t="s">
        <v>3212</v>
      </c>
      <c r="C319" s="2987"/>
      <c r="D319" s="2987"/>
      <c r="E319" s="2987"/>
      <c r="F319" s="2976">
        <v>0.05</v>
      </c>
      <c r="G319" s="2993"/>
    </row>
    <row r="320" spans="1:7">
      <c r="A320" s="2986" t="s">
        <v>306</v>
      </c>
      <c r="B320" s="2975" t="s">
        <v>3213</v>
      </c>
      <c r="C320" s="2987"/>
      <c r="D320" s="2987"/>
      <c r="E320" s="2987"/>
      <c r="F320" s="2976">
        <v>0.05</v>
      </c>
      <c r="G320" s="2993"/>
    </row>
    <row r="321" spans="1:7">
      <c r="A321" s="2986" t="s">
        <v>306</v>
      </c>
      <c r="B321" s="2975" t="s">
        <v>3214</v>
      </c>
      <c r="C321" s="2987"/>
      <c r="D321" s="2987"/>
      <c r="E321" s="2987"/>
      <c r="F321" s="2976">
        <v>0.05</v>
      </c>
      <c r="G321" s="2993"/>
    </row>
    <row r="322" spans="1:7">
      <c r="A322" s="2986" t="s">
        <v>306</v>
      </c>
      <c r="B322" s="2975" t="s">
        <v>3215</v>
      </c>
      <c r="C322" s="2987"/>
      <c r="D322" s="2987"/>
      <c r="E322" s="2987"/>
      <c r="F322" s="2976">
        <v>0.05</v>
      </c>
      <c r="G322" s="2993"/>
    </row>
    <row r="323" spans="1:7">
      <c r="A323" s="2986" t="s">
        <v>306</v>
      </c>
      <c r="B323" s="2975" t="s">
        <v>3216</v>
      </c>
      <c r="C323" s="2987"/>
      <c r="D323" s="2987"/>
      <c r="E323" s="2987"/>
      <c r="F323" s="2976">
        <v>0.05</v>
      </c>
      <c r="G323" s="2993"/>
    </row>
    <row r="324" spans="1:7">
      <c r="A324" s="2986" t="s">
        <v>306</v>
      </c>
      <c r="B324" s="2975" t="s">
        <v>3217</v>
      </c>
      <c r="C324" s="2987"/>
      <c r="D324" s="2987"/>
      <c r="E324" s="2987"/>
      <c r="F324" s="2976">
        <v>0.05</v>
      </c>
      <c r="G324" s="2993"/>
    </row>
    <row r="325" spans="1:7">
      <c r="A325" s="2986" t="s">
        <v>306</v>
      </c>
      <c r="B325" s="2975" t="s">
        <v>3218</v>
      </c>
      <c r="C325" s="2987"/>
      <c r="D325" s="2987"/>
      <c r="E325" s="2987"/>
      <c r="F325" s="2976">
        <v>0.05</v>
      </c>
      <c r="G325" s="2993"/>
    </row>
    <row r="326" spans="1:7" ht="14.25" thickBot="1">
      <c r="A326" s="2989" t="s">
        <v>306</v>
      </c>
      <c r="B326" s="2979" t="s">
        <v>3219</v>
      </c>
      <c r="C326" s="2981"/>
      <c r="D326" s="2981"/>
      <c r="E326" s="2981"/>
      <c r="F326" s="2980">
        <v>0.05</v>
      </c>
      <c r="G326" s="2994"/>
    </row>
    <row r="327" spans="1:7">
      <c r="A327" s="2985" t="s">
        <v>307</v>
      </c>
      <c r="B327" s="2971" t="s">
        <v>2851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2863</v>
      </c>
      <c r="C329" s="2976">
        <v>0.15</v>
      </c>
      <c r="D329" s="2976">
        <v>0.15</v>
      </c>
      <c r="E329" s="2976">
        <v>0.15</v>
      </c>
      <c r="F329" s="2976">
        <v>0.15</v>
      </c>
      <c r="G329" s="2977">
        <v>0.15</v>
      </c>
    </row>
    <row r="330" spans="1:7">
      <c r="A330" s="2986" t="s">
        <v>307</v>
      </c>
      <c r="B330" s="2975" t="s">
        <v>2867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2875</v>
      </c>
      <c r="C332" s="2976">
        <v>0.15</v>
      </c>
      <c r="D332" s="2976">
        <v>0.15</v>
      </c>
      <c r="E332" s="2976">
        <v>0.15</v>
      </c>
      <c r="F332" s="2976">
        <v>0.15</v>
      </c>
      <c r="G332" s="2977">
        <v>0.15</v>
      </c>
    </row>
    <row r="333" spans="1:7">
      <c r="A333" s="2986" t="s">
        <v>307</v>
      </c>
      <c r="B333" s="2975" t="s">
        <v>2879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2885</v>
      </c>
      <c r="C336" s="2976">
        <v>0.15</v>
      </c>
      <c r="D336" s="2976">
        <v>0.15</v>
      </c>
      <c r="E336" s="2976">
        <v>0.15</v>
      </c>
      <c r="F336" s="2976">
        <v>0.14199999999999999</v>
      </c>
      <c r="G336" s="2977">
        <v>0.15</v>
      </c>
    </row>
    <row r="337" spans="1:7">
      <c r="A337" s="2986" t="s">
        <v>307</v>
      </c>
      <c r="B337" s="2975" t="s">
        <v>2890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2897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2910</v>
      </c>
      <c r="C345" s="2976">
        <v>0.15</v>
      </c>
      <c r="D345" s="2976">
        <v>0.15</v>
      </c>
      <c r="E345" s="2976">
        <v>0.15</v>
      </c>
      <c r="F345" s="2976">
        <v>0.13800000000000001</v>
      </c>
      <c r="G345" s="2977">
        <v>0.15</v>
      </c>
    </row>
    <row r="346" spans="1:7">
      <c r="A346" s="2986" t="s">
        <v>307</v>
      </c>
      <c r="B346" s="2975" t="s">
        <v>2912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2919</v>
      </c>
      <c r="C348" s="2976">
        <v>0.15</v>
      </c>
      <c r="D348" s="2976">
        <v>0.15</v>
      </c>
      <c r="E348" s="2976">
        <v>0.15</v>
      </c>
      <c r="F348" s="2976">
        <v>0.14399999999999999</v>
      </c>
      <c r="G348" s="2977">
        <v>0.15</v>
      </c>
    </row>
    <row r="349" spans="1:7">
      <c r="A349" s="2986" t="s">
        <v>307</v>
      </c>
      <c r="B349" s="2975" t="s">
        <v>2924</v>
      </c>
      <c r="C349" s="2976">
        <v>0.15</v>
      </c>
      <c r="D349" s="2976">
        <v>0.15</v>
      </c>
      <c r="E349" s="2976">
        <v>0.15</v>
      </c>
      <c r="F349" s="2976">
        <v>0.15</v>
      </c>
      <c r="G349" s="2977">
        <v>0.15</v>
      </c>
    </row>
    <row r="350" spans="1:7">
      <c r="A350" s="2986" t="s">
        <v>307</v>
      </c>
      <c r="B350" s="2975" t="s">
        <v>2927</v>
      </c>
      <c r="C350" s="2976">
        <v>0.15</v>
      </c>
      <c r="D350" s="2976">
        <v>0.15</v>
      </c>
      <c r="E350" s="2976">
        <v>0.15</v>
      </c>
      <c r="F350" s="2976">
        <v>0.14699999999999999</v>
      </c>
      <c r="G350" s="2977">
        <v>0.15</v>
      </c>
    </row>
    <row r="351" spans="1:7">
      <c r="A351" s="2986" t="s">
        <v>307</v>
      </c>
      <c r="B351" s="2975" t="s">
        <v>2932</v>
      </c>
      <c r="C351" s="2976">
        <v>0.15</v>
      </c>
      <c r="D351" s="2976">
        <v>0.15</v>
      </c>
      <c r="E351" s="2976">
        <v>0.15</v>
      </c>
      <c r="F351" s="2976">
        <v>0.13</v>
      </c>
      <c r="G351" s="2977">
        <v>0.15</v>
      </c>
    </row>
    <row r="352" spans="1:7">
      <c r="A352" s="2986" t="s">
        <v>307</v>
      </c>
      <c r="B352" s="2975" t="s">
        <v>2937</v>
      </c>
      <c r="C352" s="2976">
        <v>0.15</v>
      </c>
      <c r="D352" s="2976">
        <v>0.15</v>
      </c>
      <c r="E352" s="2976">
        <v>0.15</v>
      </c>
      <c r="F352" s="2976">
        <v>0.14599999999999999</v>
      </c>
      <c r="G352" s="2977">
        <v>0.15</v>
      </c>
    </row>
    <row r="353" spans="1:7">
      <c r="A353" s="2986" t="s">
        <v>307</v>
      </c>
      <c r="B353" s="2975" t="s">
        <v>2944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2957</v>
      </c>
      <c r="C355" s="2976">
        <v>0.15</v>
      </c>
      <c r="D355" s="2976">
        <v>0.15</v>
      </c>
      <c r="E355" s="2976">
        <v>0.15</v>
      </c>
      <c r="F355" s="2976">
        <v>0.15</v>
      </c>
      <c r="G355" s="2977">
        <v>0.15</v>
      </c>
    </row>
    <row r="356" spans="1:7">
      <c r="A356" s="2986" t="s">
        <v>307</v>
      </c>
      <c r="B356" s="2975" t="s">
        <v>2964</v>
      </c>
      <c r="C356" s="2976">
        <v>0.15</v>
      </c>
      <c r="D356" s="2976">
        <v>0.15</v>
      </c>
      <c r="E356" s="2976">
        <v>0.15</v>
      </c>
      <c r="F356" s="2976">
        <v>0.15</v>
      </c>
      <c r="G356" s="2977">
        <v>0.15</v>
      </c>
    </row>
    <row r="357" spans="1:7" ht="14.25" thickBot="1">
      <c r="A357" s="2989" t="s">
        <v>307</v>
      </c>
      <c r="B357" s="2979" t="s">
        <v>2969</v>
      </c>
      <c r="C357" s="2980">
        <v>0.126</v>
      </c>
      <c r="D357" s="2980">
        <v>0.127</v>
      </c>
      <c r="E357" s="2980">
        <v>0.14299999999999999</v>
      </c>
      <c r="F357" s="2980">
        <v>0.125</v>
      </c>
      <c r="G357" s="2982">
        <v>0.129</v>
      </c>
    </row>
    <row r="358" spans="1:7">
      <c r="A358" s="2985" t="s">
        <v>2838</v>
      </c>
      <c r="B358" s="2971" t="s">
        <v>2852</v>
      </c>
      <c r="C358" s="2972">
        <v>0.15</v>
      </c>
      <c r="D358" s="2972">
        <v>0.15</v>
      </c>
      <c r="E358" s="2972">
        <v>0.15</v>
      </c>
      <c r="F358" s="2972">
        <v>0.15</v>
      </c>
      <c r="G358" s="2973">
        <v>0.15</v>
      </c>
    </row>
    <row r="359" spans="1:7">
      <c r="A359" s="2986" t="s">
        <v>2838</v>
      </c>
      <c r="B359" s="2975" t="s">
        <v>2858</v>
      </c>
      <c r="C359" s="2976">
        <v>0.1</v>
      </c>
      <c r="D359" s="2976">
        <v>0.1</v>
      </c>
      <c r="E359" s="2976">
        <v>0.1</v>
      </c>
      <c r="F359" s="2976">
        <v>0.1</v>
      </c>
      <c r="G359" s="2977">
        <v>0.1</v>
      </c>
    </row>
    <row r="360" spans="1:7">
      <c r="A360" s="2986" t="s">
        <v>2838</v>
      </c>
      <c r="B360" s="2975" t="s">
        <v>2864</v>
      </c>
      <c r="C360" s="2976">
        <v>0.15</v>
      </c>
      <c r="D360" s="2976">
        <v>0.15</v>
      </c>
      <c r="E360" s="2976">
        <v>0.15</v>
      </c>
      <c r="F360" s="2976">
        <v>0.14899999999999999</v>
      </c>
      <c r="G360" s="2977">
        <v>0.15</v>
      </c>
    </row>
    <row r="361" spans="1:7">
      <c r="A361" s="2986" t="s">
        <v>2838</v>
      </c>
      <c r="B361" s="2975" t="s">
        <v>153</v>
      </c>
      <c r="C361" s="2976">
        <v>0.15</v>
      </c>
      <c r="D361" s="2976">
        <v>0.15</v>
      </c>
      <c r="E361" s="2976">
        <v>0.15</v>
      </c>
      <c r="F361" s="2976">
        <v>0.115</v>
      </c>
      <c r="G361" s="2977">
        <v>0.15</v>
      </c>
    </row>
    <row r="362" spans="1:7">
      <c r="A362" s="2986" t="s">
        <v>2838</v>
      </c>
      <c r="B362" s="2975" t="s">
        <v>2871</v>
      </c>
      <c r="C362" s="2976">
        <v>0.15</v>
      </c>
      <c r="D362" s="2976">
        <v>0.15</v>
      </c>
      <c r="E362" s="2976">
        <v>0.15</v>
      </c>
      <c r="F362" s="2976">
        <v>0.106</v>
      </c>
      <c r="G362" s="2977">
        <v>0.15</v>
      </c>
    </row>
    <row r="363" spans="1:7">
      <c r="A363" s="2986" t="s">
        <v>2838</v>
      </c>
      <c r="B363" s="2975" t="s">
        <v>2876</v>
      </c>
      <c r="C363" s="2976">
        <v>0.15</v>
      </c>
      <c r="D363" s="2976">
        <v>0.15</v>
      </c>
      <c r="E363" s="2976">
        <v>0.15</v>
      </c>
      <c r="F363" s="2976">
        <v>0.14699999999999999</v>
      </c>
      <c r="G363" s="2977">
        <v>0.15</v>
      </c>
    </row>
    <row r="364" spans="1:7">
      <c r="A364" s="2986" t="s">
        <v>2838</v>
      </c>
      <c r="B364" s="2975" t="s">
        <v>2880</v>
      </c>
      <c r="C364" s="2976">
        <v>0.15</v>
      </c>
      <c r="D364" s="2976">
        <v>0.15</v>
      </c>
      <c r="E364" s="2976">
        <v>0.15</v>
      </c>
      <c r="F364" s="2976">
        <v>0.14799999999999999</v>
      </c>
      <c r="G364" s="2977">
        <v>0.15</v>
      </c>
    </row>
    <row r="365" spans="1:7">
      <c r="A365" s="2986" t="s">
        <v>2838</v>
      </c>
      <c r="B365" s="2975" t="s">
        <v>200</v>
      </c>
      <c r="C365" s="2976">
        <v>0.15</v>
      </c>
      <c r="D365" s="2976">
        <v>0.15</v>
      </c>
      <c r="E365" s="2976">
        <v>0.15</v>
      </c>
      <c r="F365" s="2976">
        <v>0.15</v>
      </c>
      <c r="G365" s="2977">
        <v>0.15</v>
      </c>
    </row>
    <row r="366" spans="1:7">
      <c r="A366" s="2986" t="s">
        <v>2838</v>
      </c>
      <c r="B366" s="2975" t="s">
        <v>2883</v>
      </c>
      <c r="C366" s="2976">
        <v>0.15</v>
      </c>
      <c r="D366" s="2976">
        <v>0.15</v>
      </c>
      <c r="E366" s="2976">
        <v>0.15</v>
      </c>
      <c r="F366" s="2976">
        <v>0.15</v>
      </c>
      <c r="G366" s="2977">
        <v>0.15</v>
      </c>
    </row>
    <row r="367" spans="1:7">
      <c r="A367" s="2986" t="s">
        <v>2838</v>
      </c>
      <c r="B367" s="2975" t="s">
        <v>2886</v>
      </c>
      <c r="C367" s="2976">
        <v>0.15</v>
      </c>
      <c r="D367" s="2976">
        <v>0.15</v>
      </c>
      <c r="E367" s="2976">
        <v>0.15</v>
      </c>
      <c r="F367" s="2976">
        <v>0.14699999999999999</v>
      </c>
      <c r="G367" s="2977">
        <v>0.15</v>
      </c>
    </row>
    <row r="368" spans="1:7">
      <c r="A368" s="2986" t="s">
        <v>2838</v>
      </c>
      <c r="B368" s="2975" t="s">
        <v>2891</v>
      </c>
      <c r="C368" s="2976">
        <v>0.15</v>
      </c>
      <c r="D368" s="2976">
        <v>0.15</v>
      </c>
      <c r="E368" s="2976">
        <v>0.15</v>
      </c>
      <c r="F368" s="2976">
        <v>0.13600000000000001</v>
      </c>
      <c r="G368" s="2977">
        <v>0.15</v>
      </c>
    </row>
    <row r="369" spans="1:7">
      <c r="A369" s="2986" t="s">
        <v>2838</v>
      </c>
      <c r="B369" s="2975" t="s">
        <v>214</v>
      </c>
      <c r="C369" s="2976">
        <v>0.15</v>
      </c>
      <c r="D369" s="2976">
        <v>0.15</v>
      </c>
      <c r="E369" s="2976">
        <v>0.15</v>
      </c>
      <c r="F369" s="2976">
        <v>0.14399999999999999</v>
      </c>
      <c r="G369" s="2977">
        <v>0.15</v>
      </c>
    </row>
    <row r="370" spans="1:7">
      <c r="A370" s="2986" t="s">
        <v>2838</v>
      </c>
      <c r="B370" s="2975" t="s">
        <v>221</v>
      </c>
      <c r="C370" s="2976">
        <v>0.15</v>
      </c>
      <c r="D370" s="2976">
        <v>0.15</v>
      </c>
      <c r="E370" s="2976">
        <v>0.15</v>
      </c>
      <c r="F370" s="2976">
        <v>0.14599999999999999</v>
      </c>
      <c r="G370" s="2977">
        <v>0.15</v>
      </c>
    </row>
    <row r="371" spans="1:7">
      <c r="A371" s="2986" t="s">
        <v>2838</v>
      </c>
      <c r="B371" s="2975" t="s">
        <v>229</v>
      </c>
      <c r="C371" s="2976">
        <v>0.15</v>
      </c>
      <c r="D371" s="2976">
        <v>0.15</v>
      </c>
      <c r="E371" s="2976">
        <v>0.15</v>
      </c>
      <c r="F371" s="2976">
        <v>0.12</v>
      </c>
      <c r="G371" s="2977">
        <v>0.15</v>
      </c>
    </row>
    <row r="372" spans="1:7">
      <c r="A372" s="2986" t="s">
        <v>2838</v>
      </c>
      <c r="B372" s="2975" t="s">
        <v>2899</v>
      </c>
      <c r="C372" s="2976">
        <v>0.15</v>
      </c>
      <c r="D372" s="2976">
        <v>0.15</v>
      </c>
      <c r="E372" s="2976">
        <v>0.15</v>
      </c>
      <c r="F372" s="2976">
        <v>0.14299999999999999</v>
      </c>
      <c r="G372" s="2977">
        <v>0.15</v>
      </c>
    </row>
    <row r="373" spans="1:7">
      <c r="A373" s="2986" t="s">
        <v>2838</v>
      </c>
      <c r="B373" s="2975" t="s">
        <v>258</v>
      </c>
      <c r="C373" s="2976">
        <v>0.15</v>
      </c>
      <c r="D373" s="2976">
        <v>0.15</v>
      </c>
      <c r="E373" s="2976">
        <v>0.15</v>
      </c>
      <c r="F373" s="2976">
        <v>0.14599999999999999</v>
      </c>
      <c r="G373" s="2977">
        <v>0.15</v>
      </c>
    </row>
    <row r="374" spans="1:7">
      <c r="A374" s="2986" t="s">
        <v>2838</v>
      </c>
      <c r="B374" s="2975" t="s">
        <v>266</v>
      </c>
      <c r="C374" s="2976">
        <v>0.15</v>
      </c>
      <c r="D374" s="2976">
        <v>0.15</v>
      </c>
      <c r="E374" s="2976">
        <v>0.15</v>
      </c>
      <c r="F374" s="2976">
        <v>0.14399999999999999</v>
      </c>
      <c r="G374" s="2977">
        <v>0.15</v>
      </c>
    </row>
    <row r="375" spans="1:7">
      <c r="A375" s="2986" t="s">
        <v>2838</v>
      </c>
      <c r="B375" s="2975" t="s">
        <v>2907</v>
      </c>
      <c r="C375" s="2976">
        <v>0.15</v>
      </c>
      <c r="D375" s="2976">
        <v>0.15</v>
      </c>
      <c r="E375" s="2976">
        <v>0.15</v>
      </c>
      <c r="F375" s="2976">
        <v>0.13</v>
      </c>
      <c r="G375" s="2977">
        <v>0.15</v>
      </c>
    </row>
    <row r="376" spans="1:7">
      <c r="A376" s="2986" t="s">
        <v>2838</v>
      </c>
      <c r="B376" s="2975" t="s">
        <v>277</v>
      </c>
      <c r="C376" s="2976">
        <v>0.15</v>
      </c>
      <c r="D376" s="2976">
        <v>0.15</v>
      </c>
      <c r="E376" s="2976">
        <v>0.15</v>
      </c>
      <c r="F376" s="2976">
        <v>0.14199999999999999</v>
      </c>
      <c r="G376" s="2977">
        <v>0.15</v>
      </c>
    </row>
    <row r="377" spans="1:7" ht="14.25" thickBot="1">
      <c r="A377" s="2989" t="s">
        <v>2838</v>
      </c>
      <c r="B377" s="2979" t="s">
        <v>2913</v>
      </c>
      <c r="C377" s="2980">
        <v>0.15</v>
      </c>
      <c r="D377" s="2980">
        <v>0.15</v>
      </c>
      <c r="E377" s="2980">
        <v>0.15</v>
      </c>
      <c r="F377" s="2980">
        <v>0.14000000000000001</v>
      </c>
      <c r="G377" s="2982">
        <v>0.15</v>
      </c>
    </row>
    <row r="378" spans="1:7">
      <c r="A378" s="2985" t="s">
        <v>2839</v>
      </c>
      <c r="B378" s="2971" t="s">
        <v>2853</v>
      </c>
      <c r="C378" s="2972">
        <v>0.15</v>
      </c>
      <c r="D378" s="2972">
        <v>0.15</v>
      </c>
      <c r="E378" s="2972">
        <v>0.15</v>
      </c>
      <c r="F378" s="2972">
        <v>0.107</v>
      </c>
      <c r="G378" s="2973">
        <v>0.15</v>
      </c>
    </row>
    <row r="379" spans="1:7">
      <c r="A379" s="2986" t="s">
        <v>2839</v>
      </c>
      <c r="B379" s="2975" t="s">
        <v>2859</v>
      </c>
      <c r="C379" s="2976">
        <v>0.15</v>
      </c>
      <c r="D379" s="2976">
        <v>0.15</v>
      </c>
      <c r="E379" s="2976">
        <v>0.15</v>
      </c>
      <c r="F379" s="2976">
        <v>0.115</v>
      </c>
      <c r="G379" s="2977">
        <v>0.14899999999999999</v>
      </c>
    </row>
    <row r="380" spans="1:7">
      <c r="A380" s="2986" t="s">
        <v>2839</v>
      </c>
      <c r="B380" s="2975" t="s">
        <v>2865</v>
      </c>
      <c r="C380" s="2976">
        <v>0.15</v>
      </c>
      <c r="D380" s="2976">
        <v>0.15</v>
      </c>
      <c r="E380" s="2976">
        <v>0.15</v>
      </c>
      <c r="F380" s="2976">
        <v>0.1</v>
      </c>
      <c r="G380" s="2977">
        <v>0.14799999999999999</v>
      </c>
    </row>
    <row r="381" spans="1:7">
      <c r="A381" s="2986" t="s">
        <v>2839</v>
      </c>
      <c r="B381" s="2975" t="s">
        <v>2868</v>
      </c>
      <c r="C381" s="2976">
        <v>0.15</v>
      </c>
      <c r="D381" s="2976">
        <v>0.15</v>
      </c>
      <c r="E381" s="2976">
        <v>0.15</v>
      </c>
      <c r="F381" s="2976">
        <v>0.126</v>
      </c>
      <c r="G381" s="2977">
        <v>0.15</v>
      </c>
    </row>
    <row r="382" spans="1:7">
      <c r="A382" s="2986" t="s">
        <v>2839</v>
      </c>
      <c r="B382" s="2975" t="s">
        <v>2872</v>
      </c>
      <c r="C382" s="2976">
        <v>0.15</v>
      </c>
      <c r="D382" s="2976">
        <v>0.15</v>
      </c>
      <c r="E382" s="2976">
        <v>0.15</v>
      </c>
      <c r="F382" s="2976">
        <v>0.15</v>
      </c>
      <c r="G382" s="2977">
        <v>0.15</v>
      </c>
    </row>
    <row r="383" spans="1:7">
      <c r="A383" s="2986" t="s">
        <v>2839</v>
      </c>
      <c r="B383" s="2975" t="s">
        <v>2877</v>
      </c>
      <c r="C383" s="2976">
        <v>0.15</v>
      </c>
      <c r="D383" s="2976">
        <v>0.15</v>
      </c>
      <c r="E383" s="2976">
        <v>0.15</v>
      </c>
      <c r="F383" s="2976">
        <v>0.14699999999999999</v>
      </c>
      <c r="G383" s="2977">
        <v>0.15</v>
      </c>
    </row>
    <row r="384" spans="1:7" ht="14.25" thickBot="1">
      <c r="A384" s="2996" t="s">
        <v>2839</v>
      </c>
      <c r="B384" s="2997" t="s">
        <v>2881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c r="A1" s="3563" t="s">
        <v>3220</v>
      </c>
      <c r="B1" s="3563"/>
      <c r="C1" s="3563"/>
      <c r="D1" s="3563"/>
      <c r="E1" s="3563"/>
      <c r="F1" s="3564"/>
    </row>
    <row r="2" spans="1:6">
      <c r="A2" s="3000" t="s">
        <v>3221</v>
      </c>
    </row>
    <row r="3" spans="1:6">
      <c r="A3" s="3000" t="s">
        <v>3222</v>
      </c>
      <c r="F3" s="3001" t="s">
        <v>3223</v>
      </c>
    </row>
    <row r="4" spans="1:6">
      <c r="A4" s="3002" t="s">
        <v>672</v>
      </c>
      <c r="B4" s="3002" t="s">
        <v>673</v>
      </c>
      <c r="C4" s="3002" t="s">
        <v>21</v>
      </c>
      <c r="D4" s="3002" t="s">
        <v>674</v>
      </c>
      <c r="E4" s="3002" t="s">
        <v>3</v>
      </c>
      <c r="F4" s="3002" t="s">
        <v>3224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5">
        <f>基准地价修正!G23</f>
        <v>45986</v>
      </c>
      <c r="B1" s="2927" t="s">
        <v>3364</v>
      </c>
      <c r="C1" s="2928"/>
      <c r="D1" s="2928"/>
      <c r="E1" s="2928"/>
      <c r="F1" s="2928"/>
      <c r="G1" s="2928"/>
      <c r="H1" s="2928"/>
      <c r="I1" s="2928"/>
      <c r="J1" s="2894"/>
      <c r="K1" s="2928" t="s">
        <v>454</v>
      </c>
      <c r="L1" s="2928"/>
      <c r="M1" s="2928"/>
      <c r="N1" s="2928"/>
      <c r="O1" s="2928"/>
      <c r="P1" s="2928"/>
      <c r="Q1" s="2894"/>
      <c r="R1" s="3565" t="s">
        <v>456</v>
      </c>
      <c r="S1" s="3566"/>
      <c r="T1" s="3566"/>
      <c r="U1" s="3566"/>
      <c r="V1" s="3566"/>
      <c r="W1" s="3566"/>
      <c r="X1" s="2894"/>
      <c r="Y1" s="3565" t="s">
        <v>457</v>
      </c>
      <c r="Z1" s="3566"/>
      <c r="AA1" s="3566"/>
      <c r="AB1" s="3566"/>
      <c r="AC1" s="3566"/>
      <c r="AD1" s="3566"/>
    </row>
    <row r="2" spans="1:44" s="2007" customFormat="1" ht="14.25" thickBot="1">
      <c r="B2" s="2879"/>
      <c r="C2" s="2880"/>
      <c r="D2" s="2008" t="s">
        <v>2798</v>
      </c>
      <c r="E2" s="2009" t="s">
        <v>2799</v>
      </c>
      <c r="F2" s="2009" t="s">
        <v>2800</v>
      </c>
      <c r="G2" s="2009" t="s">
        <v>2801</v>
      </c>
      <c r="H2" s="2009" t="s">
        <v>2802</v>
      </c>
      <c r="I2" s="2009" t="s">
        <v>2619</v>
      </c>
      <c r="J2" s="2881"/>
      <c r="K2" s="2008" t="s">
        <v>2798</v>
      </c>
      <c r="L2" s="2009" t="s">
        <v>2799</v>
      </c>
      <c r="M2" s="2009" t="s">
        <v>2800</v>
      </c>
      <c r="N2" s="2009" t="s">
        <v>2801</v>
      </c>
      <c r="O2" s="2009" t="s">
        <v>2803</v>
      </c>
      <c r="P2" s="2009" t="s">
        <v>2619</v>
      </c>
      <c r="Q2" s="2881"/>
      <c r="R2" s="2008" t="s">
        <v>2798</v>
      </c>
      <c r="S2" s="2009" t="s">
        <v>2799</v>
      </c>
      <c r="T2" s="2009" t="s">
        <v>2800</v>
      </c>
      <c r="U2" s="2009" t="s">
        <v>2804</v>
      </c>
      <c r="V2" s="2009" t="s">
        <v>2805</v>
      </c>
      <c r="W2" s="2009" t="s">
        <v>2619</v>
      </c>
      <c r="X2" s="2881"/>
      <c r="Y2" s="2008" t="s">
        <v>2798</v>
      </c>
      <c r="Z2" s="2009" t="s">
        <v>2799</v>
      </c>
      <c r="AA2" s="2009" t="s">
        <v>2800</v>
      </c>
      <c r="AB2" s="2009" t="s">
        <v>2806</v>
      </c>
      <c r="AC2" s="2009" t="s">
        <v>2805</v>
      </c>
      <c r="AD2" s="2009" t="s">
        <v>2619</v>
      </c>
      <c r="AF2" t="s">
        <v>3389</v>
      </c>
      <c r="AG2" t="s">
        <v>673</v>
      </c>
      <c r="AH2" t="s">
        <v>21</v>
      </c>
      <c r="AI2" t="s">
        <v>3390</v>
      </c>
      <c r="AJ2" t="s">
        <v>3</v>
      </c>
      <c r="AK2" t="s">
        <v>3391</v>
      </c>
      <c r="AM2" t="s">
        <v>3389</v>
      </c>
      <c r="AN2" t="s">
        <v>673</v>
      </c>
      <c r="AO2" t="s">
        <v>21</v>
      </c>
      <c r="AP2" t="s">
        <v>3390</v>
      </c>
      <c r="AQ2" t="s">
        <v>3</v>
      </c>
      <c r="AR2" t="s">
        <v>3391</v>
      </c>
    </row>
    <row r="3" spans="1:44" s="2884" customFormat="1" ht="12.75">
      <c r="A3" s="2882" t="s">
        <v>2807</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44" s="2042" customFormat="1">
      <c r="A5" s="2037" t="s">
        <v>3388</v>
      </c>
      <c r="B5" s="2028">
        <v>2025</v>
      </c>
      <c r="C5" s="2039">
        <v>4</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 t="shared" ref="P5:P11" si="10">M5</f>
        <v>0</v>
      </c>
      <c r="Q5" s="2904"/>
      <c r="R5" s="2024">
        <f>ROUND(IF(项目基本情况!$B$8="出让",SUMPRODUCT(PRODUCT(1+K5:$K$24)),SUMPRODUCT(PRODUCT(1+K5:$K$23))),4)</f>
        <v>1.0529999999999999</v>
      </c>
      <c r="S5" s="2024">
        <f>ROUND(IF(项目基本情况!$B$8="出让",SUMPRODUCT(PRODUCT(1+L5:$L$24)),SUMPRODUCT(PRODUCT(1+L5:$L$23))),4)</f>
        <v>1.0251999999999999</v>
      </c>
      <c r="T5" s="2024">
        <f>ROUND(IF(项目基本情况!$B$8="出让",SUMPRODUCT(PRODUCT(1+M5:$M$24)),SUMPRODUCT(PRODUCT(1+M5:$M$23))),4)</f>
        <v>0.97289999999999999</v>
      </c>
      <c r="U5" s="2024">
        <f>ROUND(IF(项目基本情况!$B$8="出让",SUMPRODUCT(PRODUCT(1+N5:$N$24)),SUMPRODUCT(PRODUCT(1+N5:$N$23))),4)</f>
        <v>1.0647</v>
      </c>
      <c r="V5" s="2024">
        <f>ROUND(IF(项目基本情况!$B$8="出让",SUMPRODUCT(PRODUCT(1+O5:$O$24)),SUMPRODUCT(PRODUCT(1+O5:$O$23))),4)</f>
        <v>1.0894999999999999</v>
      </c>
      <c r="W5" s="2024">
        <f t="shared" ref="W5:W11" si="11">T5</f>
        <v>0.97289999999999999</v>
      </c>
      <c r="X5" s="2904"/>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2.75">
      <c r="A6" s="2905" t="s">
        <v>3402</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2" customFormat="1" ht="12.75">
      <c r="A7" s="2037" t="s">
        <v>3403</v>
      </c>
      <c r="B7" s="2028">
        <v>2025</v>
      </c>
      <c r="C7" s="2039">
        <v>2</v>
      </c>
      <c r="D7" s="2004">
        <v>0.05</v>
      </c>
      <c r="E7" s="2004">
        <v>-0.62</v>
      </c>
      <c r="F7" s="2004">
        <v>-1.05</v>
      </c>
      <c r="G7" s="2004">
        <v>0.09</v>
      </c>
      <c r="H7" s="2004">
        <v>0.17</v>
      </c>
      <c r="I7" s="2005">
        <f t="shared" ref="I7" si="37">F7</f>
        <v>-1.05</v>
      </c>
      <c r="J7" s="2904"/>
      <c r="K7" s="2040">
        <f t="shared" ref="K7" si="38">D7/100</f>
        <v>5.0000000000000001E-4</v>
      </c>
      <c r="L7" s="2025">
        <f t="shared" ref="L7" si="39">E7/100</f>
        <v>-6.1999999999999998E-3</v>
      </c>
      <c r="M7" s="2025">
        <f t="shared" ref="M7" si="40">F7/100</f>
        <v>-1.0500000000000001E-2</v>
      </c>
      <c r="N7" s="2025">
        <f t="shared" ref="N7" si="41">G7/100</f>
        <v>8.9999999999999998E-4</v>
      </c>
      <c r="O7" s="2025">
        <f t="shared" ref="O7" si="42">H7/100</f>
        <v>1.7000000000000001E-3</v>
      </c>
      <c r="P7" s="2025">
        <f t="shared" si="10"/>
        <v>-1.0500000000000001E-2</v>
      </c>
      <c r="Q7" s="2904"/>
      <c r="R7" s="2024">
        <f>ROUND(IF(项目基本情况!$B$8="出让",SUMPRODUCT(PRODUCT(1+K7:$K$24)),SUMPRODUCT(PRODUCT(1+K7:$K$23))),4)</f>
        <v>1.0577000000000001</v>
      </c>
      <c r="S7" s="2024">
        <f>ROUND(IF(项目基本情况!$B$8="出让",SUMPRODUCT(PRODUCT(1+L7:$L$24)),SUMPRODUCT(PRODUCT(1+L7:$L$23))),4)</f>
        <v>1.0275000000000001</v>
      </c>
      <c r="T7" s="2024">
        <f>ROUND(IF(项目基本情况!$B$8="出让",SUMPRODUCT(PRODUCT(1+M7:$M$24)),SUMPRODUCT(PRODUCT(1+M7:$M$23))),4)</f>
        <v>0.98089999999999999</v>
      </c>
      <c r="U7" s="2024">
        <f>ROUND(IF(项目基本情况!$B$8="出让",SUMPRODUCT(PRODUCT(1+N7:$N$24)),SUMPRODUCT(PRODUCT(1+N7:$N$23))),4)</f>
        <v>1.0689</v>
      </c>
      <c r="V7" s="2024">
        <f>ROUND(IF(项目基本情况!$B$8="出让",SUMPRODUCT(PRODUCT(1+O7:$O$24)),SUMPRODUCT(PRODUCT(1+O7:$O$23))),4)</f>
        <v>1.0891</v>
      </c>
      <c r="W7" s="2024">
        <f t="shared" si="11"/>
        <v>0.98089999999999999</v>
      </c>
      <c r="X7" s="2904"/>
      <c r="Y7" s="2025">
        <f t="shared" si="12"/>
        <v>2.3E-3</v>
      </c>
      <c r="Z7" s="2025">
        <f t="shared" ref="Z7" si="43">IF(E7=0,0,ROUND(AVERAGE(E7:E20)/100,4))</f>
        <v>1E-3</v>
      </c>
      <c r="AA7" s="2025">
        <f t="shared" ref="AA7" si="44">IF(F7=0,0,ROUND(AVERAGE(F7:F20)/100,4))</f>
        <v>-1.9E-3</v>
      </c>
      <c r="AB7" s="2025">
        <f t="shared" ref="AB7" si="45">IF(G7=0,0,ROUND(AVERAGE(G7:G20)/100,4))</f>
        <v>2.8999999999999998E-3</v>
      </c>
      <c r="AC7" s="2025">
        <f t="shared" ref="AC7" si="46">IF(H7=0,0,ROUND(AVERAGE(H7:H20)/100,4))</f>
        <v>4.7000000000000002E-3</v>
      </c>
      <c r="AD7" s="2025">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2" customFormat="1" ht="12.75">
      <c r="A8" s="2037" t="s">
        <v>3394</v>
      </c>
      <c r="B8" s="2028">
        <v>2025</v>
      </c>
      <c r="C8" s="2039">
        <v>1</v>
      </c>
      <c r="D8" s="2004">
        <v>0.56999999999999995</v>
      </c>
      <c r="E8" s="2004">
        <v>-0.56999999999999995</v>
      </c>
      <c r="F8" s="2004">
        <v>-0.9</v>
      </c>
      <c r="G8" s="2004">
        <v>1.1200000000000001</v>
      </c>
      <c r="H8" s="2004">
        <v>0.42</v>
      </c>
      <c r="I8" s="2005">
        <f t="shared" ref="I8" si="54">F8</f>
        <v>-0.9</v>
      </c>
      <c r="J8" s="2904"/>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4"/>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4"/>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2" customFormat="1" ht="12.75">
      <c r="A9" s="2037" t="s">
        <v>3393</v>
      </c>
      <c r="B9" s="2028">
        <v>2024</v>
      </c>
      <c r="C9" s="2039">
        <v>4</v>
      </c>
      <c r="D9" s="2004">
        <v>-1.02</v>
      </c>
      <c r="E9" s="2004">
        <v>-0.48</v>
      </c>
      <c r="F9" s="2004">
        <v>-0.75</v>
      </c>
      <c r="G9" s="2004">
        <v>-1.05</v>
      </c>
      <c r="H9" s="2004">
        <v>0.08</v>
      </c>
      <c r="I9" s="2005">
        <f t="shared" ref="I9" si="65">F9</f>
        <v>-0.75</v>
      </c>
      <c r="J9" s="2904"/>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4"/>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4"/>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2" customFormat="1" ht="12.75">
      <c r="A10" s="2037" t="s">
        <v>3368</v>
      </c>
      <c r="B10" s="2028">
        <v>2024</v>
      </c>
      <c r="C10" s="2039">
        <v>3</v>
      </c>
      <c r="D10" s="2004">
        <v>-1.19</v>
      </c>
      <c r="E10" s="2004">
        <v>-0.47</v>
      </c>
      <c r="F10" s="2004">
        <v>-0.28999999999999998</v>
      </c>
      <c r="G10" s="2004">
        <v>-0.74</v>
      </c>
      <c r="H10" s="2004">
        <v>-0.21</v>
      </c>
      <c r="I10" s="2005">
        <f t="shared" ref="I10" si="76">F10</f>
        <v>-0.28999999999999998</v>
      </c>
      <c r="J10" s="2904"/>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4"/>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4"/>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2" customFormat="1" ht="12.75">
      <c r="A11" s="2903" t="s">
        <v>3362</v>
      </c>
      <c r="B11" s="2028">
        <v>2024</v>
      </c>
      <c r="C11" s="2039">
        <v>2</v>
      </c>
      <c r="D11" s="2004">
        <v>-0.59</v>
      </c>
      <c r="E11" s="2004">
        <v>-0.21</v>
      </c>
      <c r="F11" s="2004">
        <v>-1.38</v>
      </c>
      <c r="G11" s="2004">
        <v>-1.24</v>
      </c>
      <c r="H11" s="2915">
        <v>0.34</v>
      </c>
      <c r="I11" s="2005">
        <f t="shared" ref="I11:I24" si="87">F11</f>
        <v>-1.38</v>
      </c>
      <c r="J11" s="2904"/>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4"/>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4"/>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2" customFormat="1" ht="12.75">
      <c r="A12" s="2903" t="s">
        <v>3361</v>
      </c>
      <c r="B12" s="2028">
        <v>2024</v>
      </c>
      <c r="C12" s="2039">
        <v>1</v>
      </c>
      <c r="D12" s="2004">
        <v>0.08</v>
      </c>
      <c r="E12" s="2004">
        <v>0.46</v>
      </c>
      <c r="F12" s="2004">
        <v>-0.16</v>
      </c>
      <c r="G12" s="2004">
        <v>0.26</v>
      </c>
      <c r="H12" s="2915">
        <v>0.59</v>
      </c>
      <c r="I12" s="2005">
        <f t="shared" si="87"/>
        <v>-0.16</v>
      </c>
      <c r="J12" s="2904"/>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4"/>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4"/>
      <c r="Y12" s="2025"/>
      <c r="Z12" s="2025"/>
      <c r="AA12" s="2025"/>
      <c r="AB12" s="2025"/>
      <c r="AC12" s="2025"/>
      <c r="AD12" s="2025"/>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2" customFormat="1" ht="12.75">
      <c r="A13" s="2903" t="s">
        <v>3357</v>
      </c>
      <c r="B13" s="2028">
        <v>2023</v>
      </c>
      <c r="C13" s="2039">
        <v>4</v>
      </c>
      <c r="D13" s="2004">
        <v>0.19</v>
      </c>
      <c r="E13" s="2004">
        <v>0.24</v>
      </c>
      <c r="F13" s="2004">
        <v>-0.16</v>
      </c>
      <c r="G13" s="2004">
        <v>0.17</v>
      </c>
      <c r="H13" s="2915">
        <v>0.61</v>
      </c>
      <c r="I13" s="2005">
        <f>F13</f>
        <v>-0.16</v>
      </c>
      <c r="J13" s="2904"/>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4"/>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4"/>
      <c r="Y13" s="2025"/>
      <c r="Z13" s="2025"/>
      <c r="AA13" s="2025"/>
      <c r="AB13" s="2025"/>
      <c r="AC13" s="2025"/>
      <c r="AD13" s="2025"/>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2" customFormat="1" ht="12.75">
      <c r="A14" s="2903" t="s">
        <v>3356</v>
      </c>
      <c r="B14" s="2028">
        <v>2023</v>
      </c>
      <c r="C14" s="2039">
        <v>3</v>
      </c>
      <c r="D14" s="2004">
        <v>0.25</v>
      </c>
      <c r="E14" s="2004">
        <v>0.5</v>
      </c>
      <c r="F14" s="2004">
        <v>0.31</v>
      </c>
      <c r="G14" s="2004">
        <v>0.21</v>
      </c>
      <c r="H14" s="2915">
        <v>0.43</v>
      </c>
      <c r="I14" s="2005">
        <f t="shared" si="87"/>
        <v>0.31</v>
      </c>
      <c r="J14" s="2904"/>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4"/>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4"/>
      <c r="Y14" s="2025"/>
      <c r="Z14" s="2025"/>
      <c r="AA14" s="2025"/>
      <c r="AB14" s="2025"/>
      <c r="AC14" s="2025"/>
      <c r="AD14" s="2025"/>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2" customFormat="1" ht="12.75">
      <c r="A15" s="2903" t="s">
        <v>3354</v>
      </c>
      <c r="B15" s="2028">
        <v>2023</v>
      </c>
      <c r="C15" s="2039">
        <v>2</v>
      </c>
      <c r="D15" s="2004">
        <v>0.91</v>
      </c>
      <c r="E15" s="2004">
        <v>0.66</v>
      </c>
      <c r="F15" s="2004">
        <v>0.47</v>
      </c>
      <c r="G15" s="2004">
        <v>0.96</v>
      </c>
      <c r="H15" s="2915">
        <v>0.71</v>
      </c>
      <c r="I15" s="2005">
        <f t="shared" si="87"/>
        <v>0.47</v>
      </c>
      <c r="J15" s="2904"/>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4"/>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4"/>
      <c r="Y15" s="2025"/>
      <c r="Z15" s="2025"/>
      <c r="AA15" s="2025"/>
      <c r="AB15" s="2025"/>
      <c r="AC15" s="2025"/>
      <c r="AD15" s="2025"/>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2" customFormat="1" ht="12.75">
      <c r="A16" s="2903" t="s">
        <v>3353</v>
      </c>
      <c r="B16" s="2028">
        <v>2023</v>
      </c>
      <c r="C16" s="2039">
        <v>1</v>
      </c>
      <c r="D16" s="2004">
        <v>0.89</v>
      </c>
      <c r="E16" s="2004">
        <v>0.74</v>
      </c>
      <c r="F16" s="2004">
        <v>0.56999999999999995</v>
      </c>
      <c r="G16" s="2004">
        <v>0.92</v>
      </c>
      <c r="H16" s="2915">
        <v>0.5</v>
      </c>
      <c r="I16" s="2005">
        <f t="shared" si="87"/>
        <v>0.56999999999999995</v>
      </c>
      <c r="J16" s="2904"/>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4"/>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4"/>
      <c r="Y16" s="2025"/>
      <c r="Z16" s="2025"/>
      <c r="AA16" s="2025"/>
      <c r="AB16" s="2025"/>
      <c r="AC16" s="2025"/>
      <c r="AD16" s="2025"/>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2" customFormat="1" ht="12.75">
      <c r="A17" s="2903" t="s">
        <v>3352</v>
      </c>
      <c r="B17" s="2028">
        <v>2022</v>
      </c>
      <c r="C17" s="2039">
        <v>4</v>
      </c>
      <c r="D17" s="2004">
        <v>0.62</v>
      </c>
      <c r="E17" s="2004">
        <v>0.2</v>
      </c>
      <c r="F17" s="2004">
        <v>0.11</v>
      </c>
      <c r="G17" s="2004">
        <v>0.69</v>
      </c>
      <c r="H17" s="2915">
        <v>0.53</v>
      </c>
      <c r="I17" s="2005">
        <f t="shared" si="87"/>
        <v>0.11</v>
      </c>
      <c r="J17" s="2904"/>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4"/>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4"/>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2" customFormat="1" ht="12.75">
      <c r="A18" s="2903" t="s">
        <v>3350</v>
      </c>
      <c r="B18" s="2028">
        <v>2022</v>
      </c>
      <c r="C18" s="2039">
        <v>3</v>
      </c>
      <c r="D18" s="2004">
        <v>0.66</v>
      </c>
      <c r="E18" s="2004">
        <v>0.32</v>
      </c>
      <c r="F18" s="2004">
        <v>0.23</v>
      </c>
      <c r="G18" s="2004">
        <v>0.72</v>
      </c>
      <c r="H18" s="2915">
        <v>0.63</v>
      </c>
      <c r="I18" s="2005">
        <f t="shared" si="87"/>
        <v>0.23</v>
      </c>
      <c r="J18" s="2904"/>
      <c r="K18" s="2040">
        <f t="shared" si="88"/>
        <v>6.6E-3</v>
      </c>
      <c r="L18" s="2025">
        <f t="shared" si="88"/>
        <v>3.2000000000000002E-3</v>
      </c>
      <c r="M18" s="2025">
        <f t="shared" si="88"/>
        <v>2.3E-3</v>
      </c>
      <c r="N18" s="2025">
        <f t="shared" si="88"/>
        <v>7.1999999999999998E-3</v>
      </c>
      <c r="O18" s="2025">
        <f t="shared" si="88"/>
        <v>6.3E-3</v>
      </c>
      <c r="P18" s="2025">
        <f t="shared" si="108"/>
        <v>2.3E-3</v>
      </c>
      <c r="Q18" s="2904"/>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4"/>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2" customFormat="1" ht="12.75">
      <c r="A19" s="2903" t="s">
        <v>3341</v>
      </c>
      <c r="B19" s="2028">
        <v>2022</v>
      </c>
      <c r="C19" s="2039">
        <v>2</v>
      </c>
      <c r="D19" s="2004">
        <v>0.93</v>
      </c>
      <c r="E19" s="2004">
        <v>0.15</v>
      </c>
      <c r="F19" s="2004">
        <v>0.01</v>
      </c>
      <c r="G19" s="2004">
        <v>1.05</v>
      </c>
      <c r="H19" s="2915">
        <v>1.08</v>
      </c>
      <c r="I19" s="2005">
        <f t="shared" si="87"/>
        <v>0.01</v>
      </c>
      <c r="J19" s="2904"/>
      <c r="K19" s="2040">
        <f t="shared" si="88"/>
        <v>9.300000000000001E-3</v>
      </c>
      <c r="L19" s="2025">
        <f t="shared" si="88"/>
        <v>1.5E-3</v>
      </c>
      <c r="M19" s="2025">
        <f t="shared" si="88"/>
        <v>1E-4</v>
      </c>
      <c r="N19" s="2025">
        <f t="shared" si="88"/>
        <v>1.0500000000000001E-2</v>
      </c>
      <c r="O19" s="2025">
        <f t="shared" si="88"/>
        <v>1.0800000000000001E-2</v>
      </c>
      <c r="P19" s="2025">
        <f t="shared" si="108"/>
        <v>1E-4</v>
      </c>
      <c r="Q19" s="2904"/>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4"/>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2" customFormat="1" ht="12.75">
      <c r="A20" s="2903" t="s">
        <v>2808</v>
      </c>
      <c r="B20" s="2028">
        <v>2022</v>
      </c>
      <c r="C20" s="2039">
        <v>1</v>
      </c>
      <c r="D20" s="2004">
        <v>0.89</v>
      </c>
      <c r="E20" s="2004">
        <v>0.44</v>
      </c>
      <c r="F20" s="2004">
        <v>0.37</v>
      </c>
      <c r="G20" s="2004">
        <v>0.96</v>
      </c>
      <c r="H20" s="2915">
        <v>0.64</v>
      </c>
      <c r="I20" s="2005">
        <f t="shared" si="87"/>
        <v>0.37</v>
      </c>
      <c r="J20" s="2904"/>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4"/>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4"/>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2" customFormat="1" ht="12.75">
      <c r="A21" s="2903" t="s">
        <v>2809</v>
      </c>
      <c r="B21" s="2028">
        <v>2021</v>
      </c>
      <c r="C21" s="2039">
        <v>4</v>
      </c>
      <c r="D21" s="2004">
        <v>1.03</v>
      </c>
      <c r="E21" s="2004">
        <v>0.24</v>
      </c>
      <c r="F21" s="2004">
        <v>7.0000000000000007E-2</v>
      </c>
      <c r="G21" s="2004">
        <v>1.17</v>
      </c>
      <c r="H21" s="2915">
        <v>0.55000000000000004</v>
      </c>
      <c r="I21" s="2005">
        <f t="shared" si="87"/>
        <v>7.0000000000000007E-2</v>
      </c>
      <c r="J21" s="2904"/>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4"/>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4"/>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2" customFormat="1" ht="12.75">
      <c r="A22" s="2903" t="s">
        <v>2810</v>
      </c>
      <c r="B22" s="2028">
        <v>2021</v>
      </c>
      <c r="C22" s="2039">
        <v>3</v>
      </c>
      <c r="D22" s="2004">
        <v>0.47</v>
      </c>
      <c r="E22" s="2004">
        <v>0.41</v>
      </c>
      <c r="F22" s="2004">
        <v>0.24</v>
      </c>
      <c r="G22" s="2004">
        <v>0.48</v>
      </c>
      <c r="H22" s="2915">
        <v>0.48</v>
      </c>
      <c r="I22" s="2005">
        <f t="shared" si="87"/>
        <v>0.24</v>
      </c>
      <c r="J22" s="2904"/>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4"/>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4"/>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2" customFormat="1" ht="12.75">
      <c r="A23" s="2903" t="s">
        <v>2811</v>
      </c>
      <c r="B23" s="2028">
        <v>2021</v>
      </c>
      <c r="C23" s="2039">
        <v>2</v>
      </c>
      <c r="D23" s="2004">
        <v>0.92</v>
      </c>
      <c r="E23" s="2004">
        <v>0.72</v>
      </c>
      <c r="F23" s="2004">
        <v>0.41</v>
      </c>
      <c r="G23" s="2004">
        <v>0.95</v>
      </c>
      <c r="H23" s="2915">
        <v>1.01</v>
      </c>
      <c r="I23" s="2005">
        <f t="shared" si="87"/>
        <v>0.41</v>
      </c>
      <c r="J23" s="2904"/>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4"/>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4"/>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25" thickBot="1">
      <c r="A24" s="2916" t="s">
        <v>2812</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3367</v>
      </c>
    </row>
    <row r="27" spans="1:44">
      <c r="I27" s="1402" t="s">
        <v>2813</v>
      </c>
    </row>
    <row r="29" spans="1:44" s="2006" customFormat="1" ht="12.75">
      <c r="B29" s="2927" t="s">
        <v>3365</v>
      </c>
      <c r="C29" s="2928"/>
      <c r="D29" s="2928"/>
      <c r="E29" s="2928"/>
      <c r="F29" s="2928"/>
      <c r="G29" s="2928"/>
      <c r="H29" s="2928"/>
      <c r="I29" s="2928"/>
      <c r="J29" s="2894"/>
      <c r="K29" s="2928" t="s">
        <v>2814</v>
      </c>
      <c r="L29" s="2928"/>
      <c r="M29" s="2928"/>
      <c r="N29" s="2928"/>
      <c r="O29" s="2928"/>
      <c r="P29" s="2928"/>
      <c r="Q29" s="2894"/>
      <c r="R29" s="3565" t="s">
        <v>2815</v>
      </c>
      <c r="S29" s="3566"/>
      <c r="T29" s="3566"/>
      <c r="U29" s="3566"/>
      <c r="V29" s="3566"/>
      <c r="W29" s="3566"/>
      <c r="X29" s="2894"/>
      <c r="Y29" s="3565" t="s">
        <v>2816</v>
      </c>
      <c r="Z29" s="3566"/>
      <c r="AA29" s="3566"/>
      <c r="AB29" s="3566"/>
      <c r="AC29" s="3566"/>
      <c r="AD29" s="3566"/>
    </row>
    <row r="30" spans="1:44" s="2007" customFormat="1" ht="14.25" thickBot="1">
      <c r="B30" s="2879"/>
      <c r="C30" s="2880"/>
      <c r="D30" s="2008" t="s">
        <v>2817</v>
      </c>
      <c r="E30" s="2009" t="s">
        <v>2818</v>
      </c>
      <c r="F30" s="2009" t="s">
        <v>2819</v>
      </c>
      <c r="G30" s="2009" t="s">
        <v>2820</v>
      </c>
      <c r="H30" s="2009"/>
      <c r="I30" s="2009" t="s">
        <v>2821</v>
      </c>
      <c r="J30" s="2881"/>
      <c r="K30" s="2008" t="s">
        <v>2817</v>
      </c>
      <c r="L30" s="2009" t="s">
        <v>2818</v>
      </c>
      <c r="M30" s="2009" t="s">
        <v>2819</v>
      </c>
      <c r="N30" s="2009" t="s">
        <v>2820</v>
      </c>
      <c r="O30" s="2009"/>
      <c r="P30" s="2009" t="s">
        <v>2821</v>
      </c>
      <c r="Q30" s="2881"/>
      <c r="R30" s="2008" t="s">
        <v>2817</v>
      </c>
      <c r="S30" s="2009" t="s">
        <v>2818</v>
      </c>
      <c r="T30" s="2009" t="s">
        <v>2819</v>
      </c>
      <c r="U30" s="2009" t="s">
        <v>2820</v>
      </c>
      <c r="V30" s="2009"/>
      <c r="W30" s="2009" t="s">
        <v>2821</v>
      </c>
      <c r="X30" s="2881"/>
      <c r="Y30" s="2008" t="s">
        <v>2817</v>
      </c>
      <c r="Z30" s="2009" t="s">
        <v>2818</v>
      </c>
      <c r="AA30" s="2009" t="s">
        <v>2819</v>
      </c>
      <c r="AB30" s="2009" t="s">
        <v>2820</v>
      </c>
      <c r="AC30" s="2009"/>
      <c r="AD30" s="2009" t="s">
        <v>2821</v>
      </c>
      <c r="AG30" t="s">
        <v>673</v>
      </c>
      <c r="AH30" t="s">
        <v>21</v>
      </c>
      <c r="AI30" t="s">
        <v>3390</v>
      </c>
      <c r="AJ30"/>
      <c r="AK30" t="s">
        <v>3391</v>
      </c>
      <c r="AN30" t="s">
        <v>673</v>
      </c>
      <c r="AO30" t="s">
        <v>21</v>
      </c>
      <c r="AP30" t="s">
        <v>3390</v>
      </c>
      <c r="AQ30"/>
      <c r="AR30" t="s">
        <v>3391</v>
      </c>
    </row>
    <row r="31" spans="1:44" s="2884" customFormat="1" ht="12.75">
      <c r="A31" s="2882" t="s">
        <v>2822</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6" customFormat="1" ht="12.75">
      <c r="B32" s="2022"/>
      <c r="J32" s="2894"/>
      <c r="K32" s="2895"/>
      <c r="L32" s="2896"/>
      <c r="M32" s="2896"/>
      <c r="N32" s="2896"/>
      <c r="O32" s="2896"/>
      <c r="P32" s="2896"/>
      <c r="Q32" s="2894"/>
      <c r="R32" s="2024"/>
      <c r="S32" s="2897"/>
      <c r="T32" s="2898"/>
      <c r="U32" s="2024"/>
      <c r="V32" s="2899"/>
      <c r="W32" s="2024"/>
      <c r="X32" s="2894"/>
      <c r="Y32" s="2025"/>
      <c r="Z32" s="2900"/>
      <c r="AA32" s="2901"/>
      <c r="AB32" s="2025"/>
      <c r="AC32" s="2902"/>
      <c r="AD32" s="2025"/>
    </row>
    <row r="33" spans="1:44" s="2042" customFormat="1">
      <c r="A33" s="2037" t="s">
        <v>3388</v>
      </c>
      <c r="B33" s="2028">
        <v>2025</v>
      </c>
      <c r="C33" s="2039">
        <v>4</v>
      </c>
      <c r="D33" s="2004"/>
      <c r="E33" s="2004">
        <v>0</v>
      </c>
      <c r="F33" s="2004">
        <v>0</v>
      </c>
      <c r="G33" s="2004">
        <v>0</v>
      </c>
      <c r="H33" s="2004"/>
      <c r="I33" s="2005">
        <f t="shared" ref="I33" si="119">F33</f>
        <v>0</v>
      </c>
      <c r="J33" s="2904"/>
      <c r="K33" s="2040"/>
      <c r="L33" s="2025">
        <f t="shared" ref="L33" si="120">E33/100</f>
        <v>0</v>
      </c>
      <c r="M33" s="2025">
        <f t="shared" ref="M33" si="121">F33/100</f>
        <v>0</v>
      </c>
      <c r="N33" s="2025">
        <f t="shared" ref="N33" si="122">G33/100</f>
        <v>0</v>
      </c>
      <c r="O33" s="2025"/>
      <c r="P33" s="2025">
        <f t="shared" ref="P33:P39" si="123">M33</f>
        <v>0</v>
      </c>
      <c r="Q33" s="2904"/>
      <c r="R33" s="2024"/>
      <c r="S33" s="2024">
        <f>ROUND(IF(项目基本情况!$B$8="出让",SUMPRODUCT(PRODUCT(1+L33:L$52)),SUMPRODUCT(PRODUCT(1+L33:L$51))),4)</f>
        <v>1.0037</v>
      </c>
      <c r="T33" s="2024">
        <f>ROUND(IF(项目基本情况!$B$8="出让",SUMPRODUCT(PRODUCT(1+M33:M$52)),SUMPRODUCT(PRODUCT(1+M33:M$51))),4)</f>
        <v>0.98229999999999995</v>
      </c>
      <c r="U33" s="2024">
        <f>ROUND(IF(项目基本情况!$B$8="出让",SUMPRODUCT(PRODUCT(1+N33:N$52)),SUMPRODUCT(PRODUCT(1+N33:N$51))),4)</f>
        <v>1.0274000000000001</v>
      </c>
      <c r="V33" s="2024"/>
      <c r="W33" s="2024">
        <f t="shared" ref="W33:W39" si="124">T33</f>
        <v>0.98229999999999995</v>
      </c>
      <c r="X33" s="2904"/>
      <c r="Y33" s="2025"/>
      <c r="Z33" s="2900">
        <f t="shared" ref="Z33" si="125">IF(E33=0,0,ROUND(AVERAGE(E33:E46)/100,4))</f>
        <v>0</v>
      </c>
      <c r="AA33" s="2900">
        <f t="shared" ref="AA33" si="126">IF(F33=0,0,ROUND(AVERAGE(F33:F46)/100,4))</f>
        <v>0</v>
      </c>
      <c r="AB33" s="2900">
        <f t="shared" ref="AB33" si="127">IF(G33=0,0,ROUND(AVERAGE(G33:G46)/100,4))</f>
        <v>0</v>
      </c>
      <c r="AC33" s="2902"/>
      <c r="AD33" s="2025">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2.75">
      <c r="A34" s="2905" t="s">
        <v>3404</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2" customFormat="1" ht="12.75">
      <c r="A35" s="2037" t="s">
        <v>3403</v>
      </c>
      <c r="B35" s="2028">
        <v>2025</v>
      </c>
      <c r="C35" s="2039">
        <v>2</v>
      </c>
      <c r="D35" s="2004"/>
      <c r="E35" s="2004">
        <v>-0.31</v>
      </c>
      <c r="F35" s="2004">
        <v>-1.03</v>
      </c>
      <c r="G35" s="2004">
        <v>0.03</v>
      </c>
      <c r="H35" s="2004"/>
      <c r="I35" s="2005">
        <f t="shared" ref="I35" si="141">F35</f>
        <v>-1.03</v>
      </c>
      <c r="J35" s="2904"/>
      <c r="K35" s="2040"/>
      <c r="L35" s="2025">
        <f t="shared" ref="L35" si="142">E35/100</f>
        <v>-3.0999999999999999E-3</v>
      </c>
      <c r="M35" s="2025">
        <f t="shared" ref="M35" si="143">F35/100</f>
        <v>-1.03E-2</v>
      </c>
      <c r="N35" s="2025">
        <f t="shared" ref="N35" si="144">G35/100</f>
        <v>2.9999999999999997E-4</v>
      </c>
      <c r="O35" s="2025"/>
      <c r="P35" s="2025">
        <f t="shared" si="123"/>
        <v>-1.03E-2</v>
      </c>
      <c r="Q35" s="2904"/>
      <c r="R35" s="2024"/>
      <c r="S35" s="2024">
        <f>ROUND(IF(项目基本情况!$B$8="出让",SUMPRODUCT(PRODUCT(1+L35:L$52)),SUMPRODUCT(PRODUCT(1+L35:L$51))),4)</f>
        <v>1.0118</v>
      </c>
      <c r="T35" s="2024">
        <f>ROUND(IF(项目基本情况!$B$8="出让",SUMPRODUCT(PRODUCT(1+M35:M$52)),SUMPRODUCT(PRODUCT(1+M35:M$51))),4)</f>
        <v>0.99680000000000002</v>
      </c>
      <c r="U35" s="2024">
        <f>ROUND(IF(项目基本情况!$B$8="出让",SUMPRODUCT(PRODUCT(1+N35:N$52)),SUMPRODUCT(PRODUCT(1+N35:N$51))),4)</f>
        <v>1.0338000000000001</v>
      </c>
      <c r="V35" s="2024"/>
      <c r="W35" s="2024">
        <f t="shared" si="124"/>
        <v>0.99680000000000002</v>
      </c>
      <c r="X35" s="2904"/>
      <c r="Y35" s="2025"/>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5">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2" customFormat="1" ht="12.75">
      <c r="A36" s="2037" t="s">
        <v>3392</v>
      </c>
      <c r="B36" s="2028">
        <v>2025</v>
      </c>
      <c r="C36" s="2039">
        <v>1</v>
      </c>
      <c r="D36" s="2004"/>
      <c r="E36" s="2004">
        <v>-1.47</v>
      </c>
      <c r="F36" s="2004">
        <v>-0.98</v>
      </c>
      <c r="G36" s="2004">
        <v>-0.51</v>
      </c>
      <c r="H36" s="2004"/>
      <c r="I36" s="2005">
        <f t="shared" ref="I36" si="152">F36</f>
        <v>-0.98</v>
      </c>
      <c r="J36" s="2904"/>
      <c r="K36" s="2040"/>
      <c r="L36" s="2025">
        <f t="shared" ref="L36" si="153">E36/100</f>
        <v>-1.47E-2</v>
      </c>
      <c r="M36" s="2025">
        <f t="shared" ref="M36" si="154">F36/100</f>
        <v>-9.7999999999999997E-3</v>
      </c>
      <c r="N36" s="2025">
        <f t="shared" ref="N36" si="155">G36/100</f>
        <v>-5.1000000000000004E-3</v>
      </c>
      <c r="O36" s="2025"/>
      <c r="P36" s="2025">
        <f t="shared" si="123"/>
        <v>-9.7999999999999997E-3</v>
      </c>
      <c r="Q36" s="2904"/>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4"/>
      <c r="Y36" s="2025"/>
      <c r="Z36" s="2900">
        <f t="shared" ref="Z36" si="156">IF(E36=0,0,ROUND(AVERAGE(E36:E49)/100,4))</f>
        <v>4.0000000000000002E-4</v>
      </c>
      <c r="AA36" s="2900">
        <f t="shared" ref="AA36" si="157">IF(F36=0,0,ROUND(AVERAGE(F36:F49)/100,4))</f>
        <v>0</v>
      </c>
      <c r="AB36" s="2900">
        <f t="shared" ref="AB36" si="158">IF(G36=0,0,ROUND(AVERAGE(G36:G49)/100,4))</f>
        <v>1E-3</v>
      </c>
      <c r="AC36" s="2902"/>
      <c r="AD36" s="2025">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2" customFormat="1" ht="12.75">
      <c r="A37" s="2037" t="s">
        <v>3393</v>
      </c>
      <c r="B37" s="2028">
        <v>2024</v>
      </c>
      <c r="C37" s="2039">
        <v>4</v>
      </c>
      <c r="D37" s="2004"/>
      <c r="E37" s="2004">
        <v>-0.61</v>
      </c>
      <c r="F37" s="2004">
        <v>-0.71</v>
      </c>
      <c r="G37" s="2004">
        <v>-0.88</v>
      </c>
      <c r="H37" s="2004"/>
      <c r="I37" s="2005">
        <f t="shared" ref="I37" si="162">F37</f>
        <v>-0.71</v>
      </c>
      <c r="J37" s="2904"/>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4"/>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4"/>
      <c r="Y37" s="2025"/>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5">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2" customFormat="1" ht="12.75">
      <c r="A38" s="2037" t="s">
        <v>3359</v>
      </c>
      <c r="B38" s="2028">
        <v>2024</v>
      </c>
      <c r="C38" s="2039">
        <v>3</v>
      </c>
      <c r="D38" s="2004"/>
      <c r="E38" s="2004">
        <v>-0.66</v>
      </c>
      <c r="F38" s="2004">
        <v>-0.52</v>
      </c>
      <c r="G38" s="2004">
        <v>-2.87</v>
      </c>
      <c r="H38" s="2004"/>
      <c r="I38" s="2005">
        <f t="shared" ref="I38" si="169">F38</f>
        <v>-0.52</v>
      </c>
      <c r="J38" s="2904"/>
      <c r="K38" s="2040"/>
      <c r="L38" s="2025">
        <f t="shared" ref="L38" si="170">E38/100</f>
        <v>-6.6E-3</v>
      </c>
      <c r="M38" s="2025">
        <f t="shared" ref="M38" si="171">F38/100</f>
        <v>-5.1999999999999998E-3</v>
      </c>
      <c r="N38" s="2025">
        <f t="shared" ref="N38" si="172">G38/100</f>
        <v>-2.87E-2</v>
      </c>
      <c r="O38" s="2025"/>
      <c r="P38" s="2025">
        <f t="shared" si="123"/>
        <v>-5.1999999999999998E-3</v>
      </c>
      <c r="Q38" s="2904"/>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4"/>
      <c r="Y38" s="2025"/>
      <c r="Z38" s="2900">
        <f t="shared" ref="Z38:AB39" si="173">IF(E38=0,0,ROUND(AVERAGE(E38:E51)/100,4))</f>
        <v>2.5999999999999999E-3</v>
      </c>
      <c r="AA38" s="2900">
        <f t="shared" si="173"/>
        <v>1.6999999999999999E-3</v>
      </c>
      <c r="AB38" s="2900">
        <f t="shared" si="173"/>
        <v>3.3999999999999998E-3</v>
      </c>
      <c r="AC38" s="2902"/>
      <c r="AD38" s="2025">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2" customFormat="1" ht="12.75">
      <c r="A39" s="2903" t="s">
        <v>3363</v>
      </c>
      <c r="B39" s="2028">
        <v>2024</v>
      </c>
      <c r="C39" s="2039">
        <v>2</v>
      </c>
      <c r="D39" s="2004"/>
      <c r="E39" s="2004">
        <v>-0.31</v>
      </c>
      <c r="F39" s="2004">
        <v>-0.39</v>
      </c>
      <c r="G39" s="2004">
        <v>1.23</v>
      </c>
      <c r="H39" s="2915"/>
      <c r="I39" s="2005">
        <f t="shared" ref="I39:I52" si="174">F39</f>
        <v>-0.39</v>
      </c>
      <c r="J39" s="2904"/>
      <c r="K39" s="2040"/>
      <c r="L39" s="2025">
        <f t="shared" ref="L39:N52" si="175">E39/100</f>
        <v>-3.0999999999999999E-3</v>
      </c>
      <c r="M39" s="2025">
        <f t="shared" si="175"/>
        <v>-3.9000000000000003E-3</v>
      </c>
      <c r="N39" s="2025">
        <f t="shared" si="175"/>
        <v>1.23E-2</v>
      </c>
      <c r="O39" s="2025"/>
      <c r="P39" s="2025">
        <f t="shared" si="123"/>
        <v>-3.9000000000000003E-3</v>
      </c>
      <c r="Q39" s="2904"/>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4"/>
      <c r="Y39" s="2025"/>
      <c r="Z39" s="2900">
        <f t="shared" si="173"/>
        <v>3.3E-3</v>
      </c>
      <c r="AA39" s="2901">
        <f t="shared" si="173"/>
        <v>2.3999999999999998E-3</v>
      </c>
      <c r="AB39" s="2025">
        <f t="shared" si="173"/>
        <v>6.1999999999999998E-3</v>
      </c>
      <c r="AC39" s="2902"/>
      <c r="AD39" s="2025">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2" customFormat="1" ht="12.75">
      <c r="A40" s="2903" t="s">
        <v>3360</v>
      </c>
      <c r="B40" s="2028">
        <v>2024</v>
      </c>
      <c r="C40" s="2039">
        <v>1</v>
      </c>
      <c r="D40" s="2004"/>
      <c r="E40" s="2004">
        <v>0.25</v>
      </c>
      <c r="F40" s="2004">
        <v>0.4</v>
      </c>
      <c r="G40" s="2004">
        <v>-0.63</v>
      </c>
      <c r="H40" s="2915"/>
      <c r="I40" s="2005">
        <f t="shared" ref="I40:I41" si="176">F40</f>
        <v>0.4</v>
      </c>
      <c r="J40" s="2904"/>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4"/>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4"/>
      <c r="Y40" s="2025"/>
      <c r="Z40" s="2900"/>
      <c r="AA40" s="2901"/>
      <c r="AB40" s="2025"/>
      <c r="AC40" s="2902"/>
      <c r="AD40" s="2025"/>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2" customFormat="1" ht="12.75">
      <c r="A41" s="2903" t="s">
        <v>3358</v>
      </c>
      <c r="B41" s="2028">
        <v>2023</v>
      </c>
      <c r="C41" s="2039">
        <v>4</v>
      </c>
      <c r="D41" s="2004"/>
      <c r="E41" s="2004">
        <v>7.0000000000000007E-2</v>
      </c>
      <c r="F41" s="2004">
        <v>0.09</v>
      </c>
      <c r="G41" s="2004">
        <v>0.03</v>
      </c>
      <c r="H41" s="2915"/>
      <c r="I41" s="2005">
        <f t="shared" si="176"/>
        <v>0.09</v>
      </c>
      <c r="J41" s="2904"/>
      <c r="K41" s="2040"/>
      <c r="L41" s="2025">
        <f t="shared" si="175"/>
        <v>7.000000000000001E-4</v>
      </c>
      <c r="M41" s="2025">
        <f t="shared" si="175"/>
        <v>8.9999999999999998E-4</v>
      </c>
      <c r="N41" s="2025">
        <f t="shared" si="175"/>
        <v>2.9999999999999997E-4</v>
      </c>
      <c r="O41" s="2025"/>
      <c r="P41" s="2025">
        <f t="shared" ref="P41" si="182">M41</f>
        <v>8.9999999999999998E-4</v>
      </c>
      <c r="Q41" s="2904"/>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4"/>
      <c r="Y41" s="2025"/>
      <c r="Z41" s="2900"/>
      <c r="AA41" s="2901"/>
      <c r="AB41" s="2025"/>
      <c r="AC41" s="2902"/>
      <c r="AD41" s="2025"/>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2" customFormat="1" ht="12.75">
      <c r="A42" s="2903" t="s">
        <v>3356</v>
      </c>
      <c r="B42" s="2028">
        <v>2023</v>
      </c>
      <c r="C42" s="2039">
        <v>3</v>
      </c>
      <c r="D42" s="2004"/>
      <c r="E42" s="2004">
        <v>0.35</v>
      </c>
      <c r="F42" s="2004">
        <v>0.17</v>
      </c>
      <c r="G42" s="2004">
        <v>0.52</v>
      </c>
      <c r="H42" s="2915"/>
      <c r="I42" s="2005">
        <f t="shared" si="174"/>
        <v>0.17</v>
      </c>
      <c r="J42" s="2904"/>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4"/>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4"/>
      <c r="Y42" s="2025"/>
      <c r="Z42" s="2900"/>
      <c r="AA42" s="2901"/>
      <c r="AB42" s="2025"/>
      <c r="AC42" s="2902"/>
      <c r="AD42" s="2025"/>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2" customFormat="1" ht="12.75">
      <c r="A43" s="2903" t="s">
        <v>3355</v>
      </c>
      <c r="B43" s="2028">
        <v>2023</v>
      </c>
      <c r="C43" s="2039">
        <v>2</v>
      </c>
      <c r="D43" s="2004"/>
      <c r="E43" s="2004">
        <v>0.5</v>
      </c>
      <c r="F43" s="2004">
        <v>0.45</v>
      </c>
      <c r="G43" s="2004">
        <v>0.89</v>
      </c>
      <c r="H43" s="2915"/>
      <c r="I43" s="2005">
        <f t="shared" si="174"/>
        <v>0.45</v>
      </c>
      <c r="J43" s="2904"/>
      <c r="K43" s="2040"/>
      <c r="L43" s="2025">
        <f t="shared" si="184"/>
        <v>5.0000000000000001E-3</v>
      </c>
      <c r="M43" s="2025">
        <f t="shared" si="185"/>
        <v>4.5000000000000005E-3</v>
      </c>
      <c r="N43" s="2025">
        <f t="shared" si="186"/>
        <v>8.8999999999999999E-3</v>
      </c>
      <c r="O43" s="2025"/>
      <c r="P43" s="2025">
        <f t="shared" si="187"/>
        <v>4.5000000000000005E-3</v>
      </c>
      <c r="Q43" s="2904"/>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4"/>
      <c r="Y43" s="2025"/>
      <c r="Z43" s="2900"/>
      <c r="AA43" s="2901"/>
      <c r="AB43" s="2025"/>
      <c r="AC43" s="2902"/>
      <c r="AD43" s="2025"/>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2" customFormat="1" ht="12.75">
      <c r="A44" s="2903" t="s">
        <v>3353</v>
      </c>
      <c r="B44" s="2028">
        <v>2023</v>
      </c>
      <c r="C44" s="2039">
        <v>1</v>
      </c>
      <c r="D44" s="2004"/>
      <c r="E44" s="2004">
        <v>0.55000000000000004</v>
      </c>
      <c r="F44" s="2004">
        <v>0.59</v>
      </c>
      <c r="G44" s="2004">
        <v>0.64</v>
      </c>
      <c r="H44" s="2915"/>
      <c r="I44" s="2005">
        <f t="shared" si="174"/>
        <v>0.59</v>
      </c>
      <c r="J44" s="2904"/>
      <c r="K44" s="2040"/>
      <c r="L44" s="2025">
        <f t="shared" si="184"/>
        <v>5.5000000000000005E-3</v>
      </c>
      <c r="M44" s="2025">
        <f t="shared" si="185"/>
        <v>5.8999999999999999E-3</v>
      </c>
      <c r="N44" s="2025">
        <f t="shared" si="186"/>
        <v>6.4000000000000003E-3</v>
      </c>
      <c r="O44" s="2025"/>
      <c r="P44" s="2025">
        <f t="shared" si="187"/>
        <v>5.8999999999999999E-3</v>
      </c>
      <c r="Q44" s="2904"/>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4"/>
      <c r="Y44" s="2025"/>
      <c r="Z44" s="2900"/>
      <c r="AA44" s="2901"/>
      <c r="AB44" s="2025"/>
      <c r="AC44" s="2902"/>
      <c r="AD44" s="2025"/>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2" customFormat="1" ht="12.75">
      <c r="A45" s="2903" t="s">
        <v>3352</v>
      </c>
      <c r="B45" s="2028">
        <v>2022</v>
      </c>
      <c r="C45" s="2039">
        <v>4</v>
      </c>
      <c r="D45" s="2004"/>
      <c r="E45" s="2004">
        <v>0.45</v>
      </c>
      <c r="F45" s="2004">
        <v>0.2</v>
      </c>
      <c r="G45" s="2004">
        <v>0.38</v>
      </c>
      <c r="H45" s="2915"/>
      <c r="I45" s="2005">
        <f t="shared" si="174"/>
        <v>0.2</v>
      </c>
      <c r="J45" s="2904"/>
      <c r="K45" s="2040"/>
      <c r="L45" s="2025">
        <f t="shared" si="175"/>
        <v>4.5000000000000005E-3</v>
      </c>
      <c r="M45" s="2025">
        <f t="shared" si="175"/>
        <v>2E-3</v>
      </c>
      <c r="N45" s="2025">
        <f t="shared" si="175"/>
        <v>3.8E-3</v>
      </c>
      <c r="O45" s="2025"/>
      <c r="P45" s="2025">
        <f t="shared" ref="P45:P52" si="189">M45</f>
        <v>2E-3</v>
      </c>
      <c r="Q45" s="2904"/>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4"/>
      <c r="Y45" s="2025"/>
      <c r="Z45" s="2900">
        <f t="shared" ref="Z45:AD52" si="191">IF(E45=0,0,ROUND(AVERAGE(E45:E53)/100,4))</f>
        <v>4.0000000000000001E-3</v>
      </c>
      <c r="AA45" s="2901">
        <f t="shared" si="191"/>
        <v>2.5999999999999999E-3</v>
      </c>
      <c r="AB45" s="2025">
        <f t="shared" si="191"/>
        <v>7.4000000000000003E-3</v>
      </c>
      <c r="AC45" s="2902"/>
      <c r="AD45" s="2025">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2" customFormat="1" ht="12.75">
      <c r="A46" s="2903" t="s">
        <v>3351</v>
      </c>
      <c r="B46" s="2028">
        <v>2022</v>
      </c>
      <c r="C46" s="2039">
        <v>3</v>
      </c>
      <c r="D46" s="2004"/>
      <c r="E46" s="2004">
        <v>0.3</v>
      </c>
      <c r="F46" s="2004">
        <v>0.28999999999999998</v>
      </c>
      <c r="G46" s="2004">
        <v>0.83</v>
      </c>
      <c r="H46" s="2915"/>
      <c r="I46" s="2005">
        <f t="shared" si="174"/>
        <v>0.28999999999999998</v>
      </c>
      <c r="J46" s="2904"/>
      <c r="K46" s="2040"/>
      <c r="L46" s="2025">
        <f t="shared" si="175"/>
        <v>3.0000000000000001E-3</v>
      </c>
      <c r="M46" s="2025">
        <f t="shared" si="175"/>
        <v>2.8999999999999998E-3</v>
      </c>
      <c r="N46" s="2025">
        <f t="shared" si="175"/>
        <v>8.3000000000000001E-3</v>
      </c>
      <c r="O46" s="2025"/>
      <c r="P46" s="2025">
        <f t="shared" si="189"/>
        <v>2.8999999999999998E-3</v>
      </c>
      <c r="Q46" s="2904"/>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4"/>
      <c r="Y46" s="2025"/>
      <c r="Z46" s="2900">
        <f t="shared" si="191"/>
        <v>3.8999999999999998E-3</v>
      </c>
      <c r="AA46" s="2901">
        <f t="shared" si="191"/>
        <v>2.7000000000000001E-3</v>
      </c>
      <c r="AB46" s="2025">
        <f t="shared" si="191"/>
        <v>7.9000000000000008E-3</v>
      </c>
      <c r="AC46" s="2902"/>
      <c r="AD46" s="2025">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2" customFormat="1" ht="12.75">
      <c r="A47" s="2903" t="s">
        <v>3341</v>
      </c>
      <c r="B47" s="2028">
        <v>2022</v>
      </c>
      <c r="C47" s="2039">
        <v>2</v>
      </c>
      <c r="D47" s="2004"/>
      <c r="E47" s="2004">
        <v>-0.11</v>
      </c>
      <c r="F47" s="2004">
        <v>-0.13</v>
      </c>
      <c r="G47" s="2004">
        <v>0.53</v>
      </c>
      <c r="H47" s="2915"/>
      <c r="I47" s="2005">
        <f t="shared" si="174"/>
        <v>-0.13</v>
      </c>
      <c r="J47" s="2904"/>
      <c r="K47" s="2040"/>
      <c r="L47" s="2025">
        <f t="shared" si="175"/>
        <v>-1.1000000000000001E-3</v>
      </c>
      <c r="M47" s="2025">
        <f t="shared" si="175"/>
        <v>-1.2999999999999999E-3</v>
      </c>
      <c r="N47" s="2025">
        <f t="shared" si="175"/>
        <v>5.3E-3</v>
      </c>
      <c r="O47" s="2025"/>
      <c r="P47" s="2025">
        <f t="shared" si="189"/>
        <v>-1.2999999999999999E-3</v>
      </c>
      <c r="Q47" s="2904"/>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4"/>
      <c r="Y47" s="2025"/>
      <c r="Z47" s="2900">
        <f t="shared" si="191"/>
        <v>4.1000000000000003E-3</v>
      </c>
      <c r="AA47" s="2901">
        <f t="shared" si="191"/>
        <v>2.7000000000000001E-3</v>
      </c>
      <c r="AB47" s="2025">
        <f t="shared" si="191"/>
        <v>7.9000000000000008E-3</v>
      </c>
      <c r="AC47" s="2902"/>
      <c r="AD47" s="2025">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2" customFormat="1" ht="12.75">
      <c r="A48" s="2903" t="s">
        <v>2823</v>
      </c>
      <c r="B48" s="2028">
        <v>2022</v>
      </c>
      <c r="C48" s="2039">
        <v>1</v>
      </c>
      <c r="D48" s="2004"/>
      <c r="E48" s="2004">
        <v>0.6</v>
      </c>
      <c r="F48" s="2004">
        <v>0.45</v>
      </c>
      <c r="G48" s="2004">
        <v>0.53</v>
      </c>
      <c r="H48" s="2915"/>
      <c r="I48" s="2005">
        <f t="shared" si="174"/>
        <v>0.45</v>
      </c>
      <c r="J48" s="2904"/>
      <c r="K48" s="2040"/>
      <c r="L48" s="2025">
        <f t="shared" si="175"/>
        <v>6.0000000000000001E-3</v>
      </c>
      <c r="M48" s="2025">
        <f t="shared" si="175"/>
        <v>4.5000000000000005E-3</v>
      </c>
      <c r="N48" s="2025">
        <f t="shared" si="175"/>
        <v>5.3E-3</v>
      </c>
      <c r="O48" s="2025"/>
      <c r="P48" s="2025">
        <f t="shared" si="189"/>
        <v>4.5000000000000005E-3</v>
      </c>
      <c r="Q48" s="2904"/>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4"/>
      <c r="Y48" s="2025"/>
      <c r="Z48" s="2900">
        <f t="shared" si="191"/>
        <v>5.1000000000000004E-3</v>
      </c>
      <c r="AA48" s="2901">
        <f t="shared" si="191"/>
        <v>3.5000000000000001E-3</v>
      </c>
      <c r="AB48" s="2025">
        <f t="shared" si="191"/>
        <v>8.3999999999999995E-3</v>
      </c>
      <c r="AC48" s="2902"/>
      <c r="AD48" s="2025">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2" customFormat="1" ht="12.75">
      <c r="A49" s="2903" t="s">
        <v>2824</v>
      </c>
      <c r="B49" s="2028">
        <v>2021</v>
      </c>
      <c r="C49" s="2039">
        <v>4</v>
      </c>
      <c r="D49" s="2004"/>
      <c r="E49" s="2004">
        <v>0.57999999999999996</v>
      </c>
      <c r="F49" s="2004">
        <v>0.08</v>
      </c>
      <c r="G49" s="2004">
        <v>0.68</v>
      </c>
      <c r="H49" s="2915"/>
      <c r="I49" s="2005">
        <f t="shared" si="174"/>
        <v>0.08</v>
      </c>
      <c r="J49" s="2904"/>
      <c r="K49" s="2040"/>
      <c r="L49" s="2025">
        <f t="shared" si="175"/>
        <v>5.7999999999999996E-3</v>
      </c>
      <c r="M49" s="2025">
        <f t="shared" si="175"/>
        <v>8.0000000000000004E-4</v>
      </c>
      <c r="N49" s="2025">
        <f t="shared" si="175"/>
        <v>6.8000000000000005E-3</v>
      </c>
      <c r="O49" s="2025"/>
      <c r="P49" s="2025">
        <f t="shared" si="189"/>
        <v>8.0000000000000004E-4</v>
      </c>
      <c r="Q49" s="2904"/>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4"/>
      <c r="Y49" s="2025"/>
      <c r="Z49" s="2900">
        <f t="shared" si="191"/>
        <v>4.8999999999999998E-3</v>
      </c>
      <c r="AA49" s="2901">
        <f t="shared" si="191"/>
        <v>3.3E-3</v>
      </c>
      <c r="AB49" s="2025">
        <f t="shared" si="191"/>
        <v>9.1999999999999998E-3</v>
      </c>
      <c r="AC49" s="2902"/>
      <c r="AD49" s="2025">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2" customFormat="1" ht="12.75">
      <c r="A50" s="2903" t="s">
        <v>2825</v>
      </c>
      <c r="B50" s="2028">
        <v>2021</v>
      </c>
      <c r="C50" s="2039">
        <v>3</v>
      </c>
      <c r="D50" s="2004"/>
      <c r="E50" s="2004">
        <v>0.47</v>
      </c>
      <c r="F50" s="2004">
        <v>0.28000000000000003</v>
      </c>
      <c r="G50" s="2004">
        <v>0.91</v>
      </c>
      <c r="H50" s="2915"/>
      <c r="I50" s="2005">
        <f t="shared" si="174"/>
        <v>0.28000000000000003</v>
      </c>
      <c r="J50" s="2904"/>
      <c r="K50" s="2040"/>
      <c r="L50" s="2025">
        <f t="shared" si="175"/>
        <v>4.6999999999999993E-3</v>
      </c>
      <c r="M50" s="2025">
        <f t="shared" si="175"/>
        <v>2.8000000000000004E-3</v>
      </c>
      <c r="N50" s="2025">
        <f t="shared" si="175"/>
        <v>9.1000000000000004E-3</v>
      </c>
      <c r="O50" s="2025"/>
      <c r="P50" s="2025">
        <f t="shared" si="189"/>
        <v>2.8000000000000004E-3</v>
      </c>
      <c r="Q50" s="2904"/>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4"/>
      <c r="Y50" s="2025"/>
      <c r="Z50" s="2900">
        <f t="shared" si="191"/>
        <v>4.5999999999999999E-3</v>
      </c>
      <c r="AA50" s="2901">
        <f t="shared" si="191"/>
        <v>4.1000000000000003E-3</v>
      </c>
      <c r="AB50" s="2025">
        <f t="shared" si="191"/>
        <v>0.01</v>
      </c>
      <c r="AC50" s="2902"/>
      <c r="AD50" s="2025">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2" customFormat="1" ht="12.75">
      <c r="A51" s="2903" t="s">
        <v>2826</v>
      </c>
      <c r="B51" s="2028">
        <v>2021</v>
      </c>
      <c r="C51" s="2039">
        <v>2</v>
      </c>
      <c r="D51" s="2004"/>
      <c r="E51" s="2004">
        <v>0.55000000000000004</v>
      </c>
      <c r="F51" s="2004">
        <v>0.46</v>
      </c>
      <c r="G51" s="2004">
        <v>1.1000000000000001</v>
      </c>
      <c r="H51" s="2915"/>
      <c r="I51" s="2005">
        <f t="shared" si="174"/>
        <v>0.46</v>
      </c>
      <c r="J51" s="2904"/>
      <c r="K51" s="2040"/>
      <c r="L51" s="2025">
        <f t="shared" si="175"/>
        <v>5.5000000000000005E-3</v>
      </c>
      <c r="M51" s="2025">
        <f t="shared" si="175"/>
        <v>4.5999999999999999E-3</v>
      </c>
      <c r="N51" s="2025">
        <f t="shared" si="175"/>
        <v>1.1000000000000001E-2</v>
      </c>
      <c r="O51" s="2025"/>
      <c r="P51" s="2025">
        <f t="shared" si="189"/>
        <v>4.5999999999999999E-3</v>
      </c>
      <c r="Q51" s="2904"/>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4"/>
      <c r="Y51" s="2025"/>
      <c r="Z51" s="2900">
        <f t="shared" si="191"/>
        <v>4.4999999999999997E-3</v>
      </c>
      <c r="AA51" s="2901">
        <f t="shared" si="191"/>
        <v>4.7000000000000002E-3</v>
      </c>
      <c r="AB51" s="2025">
        <f t="shared" si="191"/>
        <v>1.04E-2</v>
      </c>
      <c r="AC51" s="2902"/>
      <c r="AD51" s="2025">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25" thickBot="1">
      <c r="A52" s="2916" t="s">
        <v>2812</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3366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70" t="s">
        <v>452</v>
      </c>
      <c r="C1" s="3570"/>
      <c r="D1" s="3570"/>
      <c r="E1" s="3570"/>
      <c r="F1" s="3570"/>
      <c r="G1" s="3566" t="s">
        <v>453</v>
      </c>
      <c r="H1" s="3566"/>
      <c r="I1" s="3566"/>
      <c r="J1" s="3566"/>
      <c r="K1" s="3566"/>
      <c r="L1" s="3566"/>
      <c r="N1" s="3566" t="s">
        <v>454</v>
      </c>
      <c r="O1" s="3566"/>
      <c r="P1" s="3566"/>
      <c r="Q1" s="3566"/>
      <c r="S1" s="3566" t="s">
        <v>455</v>
      </c>
      <c r="T1" s="3566"/>
      <c r="U1" s="3566"/>
      <c r="V1" s="3566"/>
      <c r="X1" s="3565" t="s">
        <v>456</v>
      </c>
      <c r="Y1" s="3566"/>
      <c r="Z1" s="3566"/>
      <c r="AA1" s="3566"/>
      <c r="AB1" s="3566"/>
      <c r="AD1" s="3565" t="s">
        <v>457</v>
      </c>
      <c r="AE1" s="3566"/>
      <c r="AF1" s="3566"/>
      <c r="AG1" s="3566"/>
      <c r="AH1" s="3566"/>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2111</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3349</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3346</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2112</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3347</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3348</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2424</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2301</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2300</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2299</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2296</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2295</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2127</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2125</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2124</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2123</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2121</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2120</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2122</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2118</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2117</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2110</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7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2108</v>
      </c>
      <c r="B25" s="2046">
        <v>439</v>
      </c>
      <c r="C25" s="2046">
        <v>327</v>
      </c>
      <c r="D25" s="2046">
        <f>C25</f>
        <v>327</v>
      </c>
      <c r="E25" s="2046">
        <v>627</v>
      </c>
      <c r="F25" s="2047">
        <v>283</v>
      </c>
      <c r="G25" s="357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2109</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6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7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7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6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6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6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6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6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7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7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7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7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6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6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6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6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6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6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6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6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6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6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6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6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6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6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6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6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6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6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6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8">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69">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6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8">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69">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78" t="s">
        <v>2827</v>
      </c>
      <c r="B1" s="3578"/>
      <c r="C1" s="3578"/>
      <c r="D1" s="3578"/>
      <c r="E1" s="3578"/>
      <c r="F1" s="3578"/>
      <c r="G1" s="3579"/>
      <c r="I1" s="2936" t="s">
        <v>2828</v>
      </c>
      <c r="J1" s="2937" t="s">
        <v>2829</v>
      </c>
      <c r="K1" s="2937" t="s">
        <v>2830</v>
      </c>
      <c r="L1" s="2937" t="s">
        <v>2831</v>
      </c>
      <c r="M1" s="2937" t="s">
        <v>2832</v>
      </c>
      <c r="N1" s="2937" t="s">
        <v>2833</v>
      </c>
      <c r="O1" s="2937" t="s">
        <v>2834</v>
      </c>
      <c r="P1" s="2937" t="s">
        <v>2835</v>
      </c>
      <c r="Q1" s="2937" t="s">
        <v>2836</v>
      </c>
      <c r="R1" s="2937" t="s">
        <v>2837</v>
      </c>
      <c r="S1" s="2937" t="s">
        <v>2838</v>
      </c>
      <c r="T1" s="2938" t="s">
        <v>2839</v>
      </c>
    </row>
    <row r="2" spans="1:20" ht="12" thickBot="1">
      <c r="A2" s="2939" t="s">
        <v>2840</v>
      </c>
      <c r="B2" s="2939"/>
      <c r="C2" s="2939"/>
      <c r="D2" s="2939"/>
      <c r="E2" s="2939"/>
      <c r="F2" s="2939"/>
      <c r="G2" s="2940" t="s">
        <v>2841</v>
      </c>
      <c r="I2" s="2941" t="s">
        <v>2842</v>
      </c>
      <c r="J2" s="2941" t="s">
        <v>2843</v>
      </c>
      <c r="K2" s="2941" t="s">
        <v>2844</v>
      </c>
      <c r="L2" s="2941" t="s">
        <v>2845</v>
      </c>
      <c r="M2" s="2941" t="s">
        <v>2846</v>
      </c>
      <c r="N2" s="2941" t="s">
        <v>2847</v>
      </c>
      <c r="O2" s="2941" t="s">
        <v>2848</v>
      </c>
      <c r="P2" s="2941" t="s">
        <v>2849</v>
      </c>
      <c r="Q2" s="2941" t="s">
        <v>2850</v>
      </c>
      <c r="R2" s="2941" t="s">
        <v>2851</v>
      </c>
      <c r="S2" s="2941" t="s">
        <v>2852</v>
      </c>
      <c r="T2" s="2941" t="s">
        <v>2853</v>
      </c>
    </row>
    <row r="3" spans="1:20" s="2947" customFormat="1">
      <c r="A3" s="3576" t="s">
        <v>2854</v>
      </c>
      <c r="B3" s="2942"/>
      <c r="C3" s="2943" t="s">
        <v>2799</v>
      </c>
      <c r="D3" s="2943" t="s">
        <v>2855</v>
      </c>
      <c r="E3" s="2943" t="s">
        <v>2801</v>
      </c>
      <c r="F3" s="2943" t="s">
        <v>2856</v>
      </c>
      <c r="G3" s="2943" t="s">
        <v>2619</v>
      </c>
      <c r="H3" s="2944"/>
      <c r="I3" s="2945" t="s">
        <v>2857</v>
      </c>
      <c r="J3" s="2946" t="s">
        <v>128</v>
      </c>
      <c r="K3" s="2946" t="s">
        <v>129</v>
      </c>
      <c r="L3" s="2945" t="s">
        <v>130</v>
      </c>
      <c r="M3" s="2945" t="s">
        <v>131</v>
      </c>
      <c r="N3" s="2945" t="s">
        <v>132</v>
      </c>
      <c r="O3" s="2945" t="s">
        <v>133</v>
      </c>
      <c r="P3" s="2945" t="s">
        <v>134</v>
      </c>
      <c r="Q3" s="2945" t="s">
        <v>135</v>
      </c>
      <c r="R3" s="2945" t="s">
        <v>136</v>
      </c>
      <c r="S3" s="2945" t="s">
        <v>2858</v>
      </c>
      <c r="T3" s="2945" t="s">
        <v>2859</v>
      </c>
    </row>
    <row r="4" spans="1:20" s="2947" customFormat="1" ht="12" thickBot="1">
      <c r="A4" s="3577"/>
      <c r="B4" s="2948" t="s">
        <v>2860</v>
      </c>
      <c r="C4" s="2948" t="s">
        <v>2861</v>
      </c>
      <c r="D4" s="2948" t="s">
        <v>2861</v>
      </c>
      <c r="E4" s="2948" t="s">
        <v>2861</v>
      </c>
      <c r="F4" s="2949" t="s">
        <v>2861</v>
      </c>
      <c r="G4" s="2949" t="s">
        <v>2861</v>
      </c>
      <c r="H4" s="2944"/>
      <c r="I4" s="2946" t="s">
        <v>137</v>
      </c>
      <c r="J4" s="2946" t="s">
        <v>111</v>
      </c>
      <c r="K4" s="2946" t="s">
        <v>138</v>
      </c>
      <c r="L4" s="2945" t="s">
        <v>139</v>
      </c>
      <c r="M4" s="2945" t="s">
        <v>140</v>
      </c>
      <c r="N4" s="2945" t="s">
        <v>141</v>
      </c>
      <c r="O4" s="2945" t="s">
        <v>142</v>
      </c>
      <c r="P4" s="2945" t="s">
        <v>143</v>
      </c>
      <c r="Q4" s="2945" t="s">
        <v>2862</v>
      </c>
      <c r="R4" s="2945" t="s">
        <v>2863</v>
      </c>
      <c r="S4" s="2945" t="s">
        <v>2864</v>
      </c>
      <c r="T4" s="2945" t="s">
        <v>2865</v>
      </c>
    </row>
    <row r="5" spans="1:20">
      <c r="A5" s="2950" t="s">
        <v>2828</v>
      </c>
      <c r="B5" s="2941" t="s">
        <v>2842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2866</v>
      </c>
      <c r="R5" s="2945" t="s">
        <v>2867</v>
      </c>
      <c r="S5" s="2945" t="s">
        <v>153</v>
      </c>
      <c r="T5" s="2945" t="s">
        <v>2868</v>
      </c>
    </row>
    <row r="6" spans="1:20" ht="12" thickBot="1">
      <c r="A6" s="2945" t="s">
        <v>144</v>
      </c>
      <c r="B6" s="2945" t="s">
        <v>2857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2869</v>
      </c>
      <c r="Q6" s="2945" t="s">
        <v>2870</v>
      </c>
      <c r="R6" s="2945" t="s">
        <v>161</v>
      </c>
      <c r="S6" s="2945" t="s">
        <v>2871</v>
      </c>
      <c r="T6" s="2945" t="s">
        <v>2872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2873</v>
      </c>
      <c r="Q7" s="2945" t="s">
        <v>2874</v>
      </c>
      <c r="R7" s="2945" t="s">
        <v>2875</v>
      </c>
      <c r="S7" s="2945" t="s">
        <v>2876</v>
      </c>
      <c r="T7" s="2945" t="s">
        <v>2877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2878</v>
      </c>
      <c r="Q8" s="2945" t="s">
        <v>174</v>
      </c>
      <c r="R8" s="2945" t="s">
        <v>2879</v>
      </c>
      <c r="S8" s="2945" t="s">
        <v>2880</v>
      </c>
      <c r="T8" s="2952" t="s">
        <v>2881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2882</v>
      </c>
      <c r="Q9" s="2945" t="s">
        <v>182</v>
      </c>
      <c r="R9" s="2945" t="s">
        <v>183</v>
      </c>
      <c r="S9" s="2945" t="s">
        <v>200</v>
      </c>
    </row>
    <row r="10" spans="1:20">
      <c r="A10" s="2950" t="s">
        <v>184</v>
      </c>
      <c r="B10" s="2941" t="s">
        <v>2843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2884</v>
      </c>
      <c r="P11" s="2945" t="s">
        <v>191</v>
      </c>
      <c r="Q11" s="2945" t="s">
        <v>199</v>
      </c>
      <c r="R11" s="2945" t="s">
        <v>2885</v>
      </c>
      <c r="S11" s="2945" t="s">
        <v>2886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2887</v>
      </c>
      <c r="P12" s="2945" t="s">
        <v>2888</v>
      </c>
      <c r="Q12" s="2945" t="s">
        <v>2889</v>
      </c>
      <c r="R12" s="2945" t="s">
        <v>2890</v>
      </c>
      <c r="S12" s="2945" t="s">
        <v>2891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2893</v>
      </c>
      <c r="K14" s="2946" t="s">
        <v>215</v>
      </c>
      <c r="L14" s="2945" t="s">
        <v>216</v>
      </c>
      <c r="M14" s="2945" t="s">
        <v>217</v>
      </c>
      <c r="N14" s="2945" t="s">
        <v>218</v>
      </c>
      <c r="O14" s="2945" t="s">
        <v>240</v>
      </c>
      <c r="P14" s="2945" t="s">
        <v>213</v>
      </c>
      <c r="Q14" s="2945" t="s">
        <v>2894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2895</v>
      </c>
      <c r="P15" s="2945" t="s">
        <v>2896</v>
      </c>
      <c r="Q15" s="2945" t="s">
        <v>242</v>
      </c>
      <c r="R15" s="2945" t="s">
        <v>2897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2898</v>
      </c>
      <c r="P16" s="2945" t="s">
        <v>227</v>
      </c>
      <c r="Q16" s="2945" t="s">
        <v>250</v>
      </c>
      <c r="R16" s="2945" t="s">
        <v>207</v>
      </c>
      <c r="S16" s="2945" t="s">
        <v>2899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2900</v>
      </c>
      <c r="P17" s="2945" t="s">
        <v>2901</v>
      </c>
      <c r="Q17" s="2945" t="s">
        <v>256</v>
      </c>
      <c r="R17" s="2945" t="s">
        <v>2902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2903</v>
      </c>
      <c r="P18" s="2945" t="s">
        <v>241</v>
      </c>
      <c r="Q18" s="2945" t="s">
        <v>2904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2905</v>
      </c>
      <c r="P19" s="2945" t="s">
        <v>249</v>
      </c>
      <c r="Q19" s="2945" t="s">
        <v>2906</v>
      </c>
      <c r="R19" s="2945" t="s">
        <v>265</v>
      </c>
      <c r="S19" s="2945" t="s">
        <v>2907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2908</v>
      </c>
      <c r="P20" s="2945" t="s">
        <v>2909</v>
      </c>
      <c r="Q20" s="2945" t="s">
        <v>290</v>
      </c>
      <c r="R20" s="2945" t="s">
        <v>2910</v>
      </c>
      <c r="S20" s="2945" t="s">
        <v>277</v>
      </c>
    </row>
    <row r="21" spans="1:19" ht="14.25" customHeight="1" thickBot="1">
      <c r="A21" s="2945" t="s">
        <v>184</v>
      </c>
      <c r="B21" s="2946" t="s">
        <v>208</v>
      </c>
      <c r="C21" s="2945">
        <v>32370</v>
      </c>
      <c r="D21" s="2945">
        <v>26730</v>
      </c>
      <c r="E21" s="2945">
        <v>26640</v>
      </c>
      <c r="F21" s="2945"/>
      <c r="G21" s="2945">
        <v>19440</v>
      </c>
      <c r="J21" s="2952" t="s">
        <v>2911</v>
      </c>
      <c r="K21" s="2946" t="s">
        <v>267</v>
      </c>
      <c r="L21" s="2945" t="s">
        <v>268</v>
      </c>
      <c r="M21" s="2945" t="s">
        <v>269</v>
      </c>
      <c r="N21" s="2945" t="s">
        <v>270</v>
      </c>
      <c r="O21" s="2945" t="s">
        <v>264</v>
      </c>
      <c r="P21" s="2945" t="s">
        <v>283</v>
      </c>
      <c r="Q21" s="2945" t="s">
        <v>293</v>
      </c>
      <c r="R21" s="2945" t="s">
        <v>2912</v>
      </c>
      <c r="S21" s="2952" t="s">
        <v>2913</v>
      </c>
    </row>
    <row r="22" spans="1:19" ht="14.25" customHeight="1">
      <c r="A22" s="2945" t="s">
        <v>184</v>
      </c>
      <c r="B22" s="2946" t="s">
        <v>2893</v>
      </c>
      <c r="C22" s="2945">
        <v>29830</v>
      </c>
      <c r="D22" s="2945">
        <v>27600</v>
      </c>
      <c r="E22" s="2945">
        <v>28150</v>
      </c>
      <c r="F22" s="2945"/>
      <c r="G22" s="2945">
        <v>20080</v>
      </c>
      <c r="K22" s="2946" t="s">
        <v>2914</v>
      </c>
      <c r="L22" s="2945" t="s">
        <v>272</v>
      </c>
      <c r="M22" s="2945" t="s">
        <v>273</v>
      </c>
      <c r="N22" s="2945" t="s">
        <v>274</v>
      </c>
      <c r="O22" s="2945" t="s">
        <v>2915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2916</v>
      </c>
      <c r="L23" s="2945" t="s">
        <v>278</v>
      </c>
      <c r="M23" s="2945" t="s">
        <v>279</v>
      </c>
      <c r="N23" s="2945" t="s">
        <v>2917</v>
      </c>
      <c r="O23" s="2945" t="s">
        <v>2918</v>
      </c>
      <c r="P23" s="2945" t="s">
        <v>289</v>
      </c>
      <c r="Q23" s="2945" t="s">
        <v>298</v>
      </c>
      <c r="R23" s="2945" t="s">
        <v>2919</v>
      </c>
    </row>
    <row r="24" spans="1:19" ht="14.25" customHeight="1">
      <c r="A24" s="2945" t="s">
        <v>184</v>
      </c>
      <c r="B24" s="2946" t="s">
        <v>230</v>
      </c>
      <c r="C24" s="2945">
        <v>27930</v>
      </c>
      <c r="D24" s="2945">
        <v>32260</v>
      </c>
      <c r="E24" s="2945">
        <v>32120</v>
      </c>
      <c r="F24" s="2945"/>
      <c r="G24" s="2945">
        <v>23470</v>
      </c>
      <c r="K24" s="2946" t="s">
        <v>2920</v>
      </c>
      <c r="L24" s="2945" t="s">
        <v>281</v>
      </c>
      <c r="M24" s="2945" t="s">
        <v>282</v>
      </c>
      <c r="N24" s="2945" t="s">
        <v>2921</v>
      </c>
      <c r="O24" s="2945" t="s">
        <v>285</v>
      </c>
      <c r="P24" s="2945" t="s">
        <v>2922</v>
      </c>
      <c r="Q24" s="2954" t="s">
        <v>2923</v>
      </c>
      <c r="R24" s="2945" t="s">
        <v>2924</v>
      </c>
    </row>
    <row r="25" spans="1:19" ht="14.25" customHeight="1">
      <c r="A25" s="2945" t="s">
        <v>184</v>
      </c>
      <c r="B25" s="2946" t="s">
        <v>235</v>
      </c>
      <c r="C25" s="2945">
        <v>32230</v>
      </c>
      <c r="D25" s="2945">
        <v>29640</v>
      </c>
      <c r="E25" s="2945">
        <v>29510</v>
      </c>
      <c r="F25" s="2945"/>
      <c r="G25" s="2945">
        <v>21560</v>
      </c>
      <c r="K25" s="2946" t="s">
        <v>2925</v>
      </c>
      <c r="L25" s="2945" t="s">
        <v>2926</v>
      </c>
      <c r="M25" s="2945" t="s">
        <v>284</v>
      </c>
      <c r="N25" s="2945" t="s">
        <v>292</v>
      </c>
      <c r="O25" s="2945" t="s">
        <v>288</v>
      </c>
      <c r="P25" s="2945" t="s">
        <v>275</v>
      </c>
      <c r="Q25" s="2954" t="s">
        <v>271</v>
      </c>
      <c r="R25" s="2945" t="s">
        <v>2927</v>
      </c>
    </row>
    <row r="26" spans="1:19" ht="14.25" customHeight="1" thickBot="1">
      <c r="A26" s="2945" t="s">
        <v>184</v>
      </c>
      <c r="B26" s="2946" t="s">
        <v>244</v>
      </c>
      <c r="C26" s="2945">
        <v>31690</v>
      </c>
      <c r="D26" s="2945">
        <v>27650</v>
      </c>
      <c r="E26" s="2945">
        <v>28200</v>
      </c>
      <c r="F26" s="2945"/>
      <c r="G26" s="2945">
        <v>20110</v>
      </c>
      <c r="K26" s="2951" t="s">
        <v>2928</v>
      </c>
      <c r="L26" s="2945" t="s">
        <v>2929</v>
      </c>
      <c r="M26" s="2945" t="s">
        <v>287</v>
      </c>
      <c r="N26" s="2945" t="s">
        <v>294</v>
      </c>
      <c r="O26" s="2945" t="s">
        <v>2930</v>
      </c>
      <c r="P26" s="2945" t="s">
        <v>2931</v>
      </c>
      <c r="Q26" s="2954" t="s">
        <v>276</v>
      </c>
      <c r="R26" s="2945" t="s">
        <v>2932</v>
      </c>
    </row>
    <row r="27" spans="1:19" ht="14.25" customHeight="1">
      <c r="A27" s="2945" t="s">
        <v>184</v>
      </c>
      <c r="B27" s="2946" t="s">
        <v>251</v>
      </c>
      <c r="C27" s="2945">
        <v>29610</v>
      </c>
      <c r="D27" s="2945">
        <v>27770</v>
      </c>
      <c r="E27" s="2945">
        <v>28300</v>
      </c>
      <c r="F27" s="2945"/>
      <c r="G27" s="2945">
        <v>20210</v>
      </c>
      <c r="L27" s="2945" t="s">
        <v>2933</v>
      </c>
      <c r="M27" s="2945" t="s">
        <v>291</v>
      </c>
      <c r="N27" s="2945" t="s">
        <v>297</v>
      </c>
      <c r="O27" s="2945" t="s">
        <v>2934</v>
      </c>
      <c r="P27" s="2945" t="s">
        <v>2935</v>
      </c>
      <c r="Q27" s="2945" t="s">
        <v>2936</v>
      </c>
      <c r="R27" s="2945" t="s">
        <v>2937</v>
      </c>
    </row>
    <row r="28" spans="1:19" ht="14.25" customHeight="1">
      <c r="A28" s="2945" t="s">
        <v>184</v>
      </c>
      <c r="B28" s="2946" t="s">
        <v>259</v>
      </c>
      <c r="C28" s="2945"/>
      <c r="D28" s="2945">
        <v>31520</v>
      </c>
      <c r="E28" s="2945">
        <v>31410</v>
      </c>
      <c r="F28" s="2945"/>
      <c r="G28" s="2945">
        <v>22940</v>
      </c>
      <c r="L28" s="2945" t="s">
        <v>2938</v>
      </c>
      <c r="M28" s="2945" t="s">
        <v>2939</v>
      </c>
      <c r="N28" s="2945" t="s">
        <v>2940</v>
      </c>
      <c r="O28" s="2945" t="s">
        <v>2941</v>
      </c>
      <c r="P28" s="2945" t="s">
        <v>2942</v>
      </c>
      <c r="Q28" s="2945" t="s">
        <v>2943</v>
      </c>
      <c r="R28" s="2945" t="s">
        <v>2944</v>
      </c>
    </row>
    <row r="29" spans="1:19" ht="14.25" customHeight="1" thickBot="1">
      <c r="A29" s="2953" t="s">
        <v>184</v>
      </c>
      <c r="B29" s="2955" t="s">
        <v>2911</v>
      </c>
      <c r="C29" s="2956"/>
      <c r="D29" s="2956">
        <v>29460</v>
      </c>
      <c r="E29" s="2956">
        <v>28640</v>
      </c>
      <c r="F29" s="2956"/>
      <c r="G29" s="2956">
        <v>21430</v>
      </c>
      <c r="L29" s="2945" t="s">
        <v>2945</v>
      </c>
      <c r="M29" s="2945" t="s">
        <v>2946</v>
      </c>
      <c r="N29" s="2945" t="s">
        <v>2947</v>
      </c>
      <c r="O29" s="2945" t="s">
        <v>2948</v>
      </c>
      <c r="P29" s="2945" t="s">
        <v>2949</v>
      </c>
      <c r="Q29" s="2945" t="s">
        <v>2950</v>
      </c>
      <c r="R29" s="2945" t="s">
        <v>280</v>
      </c>
    </row>
    <row r="30" spans="1:19" ht="14.25" customHeight="1">
      <c r="A30" s="2950" t="s">
        <v>296</v>
      </c>
      <c r="B30" s="2941" t="s">
        <v>2844</v>
      </c>
      <c r="C30" s="2941">
        <v>26890</v>
      </c>
      <c r="D30" s="2941">
        <v>26770</v>
      </c>
      <c r="E30" s="2941">
        <v>25700</v>
      </c>
      <c r="F30" s="2941">
        <v>8180</v>
      </c>
      <c r="G30" s="2957">
        <v>18740</v>
      </c>
      <c r="L30" s="2945" t="s">
        <v>2951</v>
      </c>
      <c r="M30" s="2945" t="s">
        <v>2952</v>
      </c>
      <c r="N30" s="2945" t="s">
        <v>2953</v>
      </c>
      <c r="O30" s="2945" t="s">
        <v>2954</v>
      </c>
      <c r="P30" s="2945" t="s">
        <v>2955</v>
      </c>
      <c r="Q30" s="2945" t="s">
        <v>2956</v>
      </c>
      <c r="R30" s="2945" t="s">
        <v>2957</v>
      </c>
    </row>
    <row r="31" spans="1:19" ht="14.25" customHeight="1">
      <c r="A31" s="2945" t="s">
        <v>296</v>
      </c>
      <c r="B31" s="2946" t="s">
        <v>129</v>
      </c>
      <c r="C31" s="2945">
        <v>24550</v>
      </c>
      <c r="D31" s="2945">
        <v>23990</v>
      </c>
      <c r="E31" s="2945">
        <v>22930</v>
      </c>
      <c r="F31" s="2945">
        <v>7470</v>
      </c>
      <c r="G31" s="2958">
        <v>16790</v>
      </c>
      <c r="L31" s="2945" t="s">
        <v>2958</v>
      </c>
      <c r="M31" s="2945" t="s">
        <v>2959</v>
      </c>
      <c r="N31" s="2945" t="s">
        <v>2960</v>
      </c>
      <c r="O31" s="2945" t="s">
        <v>2961</v>
      </c>
      <c r="P31" s="2945" t="s">
        <v>2962</v>
      </c>
      <c r="Q31" s="2945" t="s">
        <v>2963</v>
      </c>
      <c r="R31" s="2945" t="s">
        <v>2964</v>
      </c>
    </row>
    <row r="32" spans="1:19" ht="14.25" customHeight="1" thickBot="1">
      <c r="A32" s="2945" t="s">
        <v>296</v>
      </c>
      <c r="B32" s="2946" t="s">
        <v>138</v>
      </c>
      <c r="C32" s="2945">
        <v>27210</v>
      </c>
      <c r="D32" s="2945">
        <v>23240</v>
      </c>
      <c r="E32" s="2945">
        <v>23260</v>
      </c>
      <c r="F32" s="2945">
        <v>7130</v>
      </c>
      <c r="G32" s="2958">
        <v>16270</v>
      </c>
      <c r="L32" s="2945" t="s">
        <v>2965</v>
      </c>
      <c r="M32" s="2945" t="s">
        <v>2966</v>
      </c>
      <c r="N32" s="2945" t="s">
        <v>300</v>
      </c>
      <c r="O32" s="2945" t="s">
        <v>2967</v>
      </c>
      <c r="P32" s="2945" t="s">
        <v>299</v>
      </c>
      <c r="Q32" s="2945" t="s">
        <v>2968</v>
      </c>
      <c r="R32" s="2952" t="s">
        <v>2969</v>
      </c>
    </row>
    <row r="33" spans="1:17" ht="14.25" customHeight="1" thickBot="1">
      <c r="A33" s="2945" t="s">
        <v>296</v>
      </c>
      <c r="B33" s="2946" t="s">
        <v>147</v>
      </c>
      <c r="C33" s="2945">
        <v>27300</v>
      </c>
      <c r="D33" s="2945">
        <v>22980</v>
      </c>
      <c r="E33" s="2945">
        <v>24260</v>
      </c>
      <c r="F33" s="2945">
        <v>5860</v>
      </c>
      <c r="G33" s="2958">
        <v>16090</v>
      </c>
      <c r="L33" s="2952" t="s">
        <v>2970</v>
      </c>
      <c r="M33" s="2945" t="s">
        <v>2971</v>
      </c>
      <c r="N33" s="2945" t="s">
        <v>301</v>
      </c>
      <c r="O33" s="2945" t="s">
        <v>2972</v>
      </c>
      <c r="P33" s="2945" t="s">
        <v>2973</v>
      </c>
      <c r="Q33" s="2945" t="s">
        <v>2974</v>
      </c>
    </row>
    <row r="34" spans="1:17" ht="14.25" customHeight="1">
      <c r="A34" s="2945" t="s">
        <v>296</v>
      </c>
      <c r="B34" s="2946" t="s">
        <v>156</v>
      </c>
      <c r="C34" s="2945">
        <v>23090</v>
      </c>
      <c r="D34" s="2945">
        <v>23390</v>
      </c>
      <c r="E34" s="2945">
        <v>23510</v>
      </c>
      <c r="F34" s="2945">
        <v>6700</v>
      </c>
      <c r="G34" s="2958">
        <v>16370</v>
      </c>
      <c r="M34" s="2945" t="s">
        <v>2975</v>
      </c>
      <c r="N34" s="2945" t="s">
        <v>302</v>
      </c>
      <c r="O34" s="2945" t="s">
        <v>2976</v>
      </c>
      <c r="P34" s="2945" t="s">
        <v>2977</v>
      </c>
      <c r="Q34" s="2945" t="s">
        <v>2978</v>
      </c>
    </row>
    <row r="35" spans="1:17" ht="14.25" customHeight="1">
      <c r="A35" s="2945" t="s">
        <v>296</v>
      </c>
      <c r="B35" s="2946" t="s">
        <v>163</v>
      </c>
      <c r="C35" s="2945">
        <v>27270</v>
      </c>
      <c r="D35" s="2945">
        <v>24270</v>
      </c>
      <c r="E35" s="2945">
        <v>24950</v>
      </c>
      <c r="F35" s="2945">
        <v>6600</v>
      </c>
      <c r="G35" s="2958">
        <v>16990</v>
      </c>
      <c r="M35" s="2945" t="s">
        <v>2979</v>
      </c>
      <c r="N35" s="2945" t="s">
        <v>2980</v>
      </c>
      <c r="O35" s="2945" t="s">
        <v>2981</v>
      </c>
      <c r="P35" s="2945" t="s">
        <v>2982</v>
      </c>
      <c r="Q35" s="2945" t="s">
        <v>2983</v>
      </c>
    </row>
    <row r="36" spans="1:17" ht="14.25" customHeight="1">
      <c r="A36" s="2945" t="s">
        <v>296</v>
      </c>
      <c r="B36" s="2946" t="s">
        <v>169</v>
      </c>
      <c r="C36" s="2945">
        <v>23490</v>
      </c>
      <c r="D36" s="2945">
        <v>23020</v>
      </c>
      <c r="E36" s="2945">
        <v>25230</v>
      </c>
      <c r="F36" s="2945">
        <v>6780</v>
      </c>
      <c r="G36" s="2958">
        <v>16120</v>
      </c>
      <c r="M36" s="2945" t="s">
        <v>2984</v>
      </c>
      <c r="N36" s="2945" t="s">
        <v>2985</v>
      </c>
      <c r="O36" s="2945" t="s">
        <v>2986</v>
      </c>
      <c r="P36" s="2945" t="s">
        <v>2987</v>
      </c>
      <c r="Q36" s="2945" t="s">
        <v>2988</v>
      </c>
    </row>
    <row r="37" spans="1:17" ht="14.25" customHeight="1">
      <c r="A37" s="2945" t="s">
        <v>296</v>
      </c>
      <c r="B37" s="2946" t="s">
        <v>176</v>
      </c>
      <c r="C37" s="2945">
        <v>24380</v>
      </c>
      <c r="D37" s="2945">
        <v>22240</v>
      </c>
      <c r="E37" s="2945">
        <v>25980</v>
      </c>
      <c r="F37" s="2945">
        <v>8160</v>
      </c>
      <c r="G37" s="2958">
        <v>15570</v>
      </c>
      <c r="M37" s="2945" t="s">
        <v>2989</v>
      </c>
      <c r="N37" s="2945" t="s">
        <v>2990</v>
      </c>
      <c r="O37" s="2945" t="s">
        <v>2991</v>
      </c>
      <c r="P37" s="2945" t="s">
        <v>2992</v>
      </c>
      <c r="Q37" s="2945" t="s">
        <v>2993</v>
      </c>
    </row>
    <row r="38" spans="1:17" ht="14.25" customHeight="1">
      <c r="A38" s="2945" t="s">
        <v>296</v>
      </c>
      <c r="B38" s="2946" t="s">
        <v>186</v>
      </c>
      <c r="C38" s="2945">
        <v>23120</v>
      </c>
      <c r="D38" s="2945">
        <v>24630</v>
      </c>
      <c r="E38" s="2945">
        <v>25030</v>
      </c>
      <c r="F38" s="2945">
        <v>7710</v>
      </c>
      <c r="G38" s="2958">
        <v>17240</v>
      </c>
      <c r="M38" s="2945" t="s">
        <v>2994</v>
      </c>
      <c r="N38" s="2945" t="s">
        <v>2995</v>
      </c>
      <c r="O38" s="2945" t="s">
        <v>2996</v>
      </c>
      <c r="P38" s="2945" t="s">
        <v>2997</v>
      </c>
      <c r="Q38" s="2945" t="s">
        <v>2998</v>
      </c>
    </row>
    <row r="39" spans="1:17" ht="14.25" customHeight="1">
      <c r="A39" s="2945" t="s">
        <v>296</v>
      </c>
      <c r="B39" s="2946" t="s">
        <v>195</v>
      </c>
      <c r="C39" s="2945">
        <v>22330</v>
      </c>
      <c r="D39" s="2945">
        <v>21140</v>
      </c>
      <c r="E39" s="2945">
        <v>23970</v>
      </c>
      <c r="F39" s="2945">
        <v>7940</v>
      </c>
      <c r="G39" s="2958">
        <v>14790</v>
      </c>
      <c r="M39" s="2945" t="s">
        <v>2999</v>
      </c>
      <c r="N39" s="2945" t="s">
        <v>3000</v>
      </c>
      <c r="O39" s="2945" t="s">
        <v>3001</v>
      </c>
      <c r="P39" s="2945" t="s">
        <v>3002</v>
      </c>
      <c r="Q39" s="2945" t="s">
        <v>3003</v>
      </c>
    </row>
    <row r="40" spans="1:17" ht="14.25" customHeight="1">
      <c r="A40" s="2945" t="s">
        <v>296</v>
      </c>
      <c r="B40" s="2946" t="s">
        <v>202</v>
      </c>
      <c r="C40" s="2945">
        <v>24740</v>
      </c>
      <c r="D40" s="2945">
        <v>24690</v>
      </c>
      <c r="E40" s="2945">
        <v>22610</v>
      </c>
      <c r="F40" s="2945"/>
      <c r="G40" s="2958">
        <v>17280</v>
      </c>
      <c r="M40" s="2945" t="s">
        <v>3004</v>
      </c>
      <c r="N40" s="2945" t="s">
        <v>3005</v>
      </c>
      <c r="O40" s="2945" t="s">
        <v>3006</v>
      </c>
      <c r="P40" s="2945" t="s">
        <v>3007</v>
      </c>
      <c r="Q40" s="2945" t="s">
        <v>3008</v>
      </c>
    </row>
    <row r="41" spans="1:17" ht="14.25" customHeight="1" thickBot="1">
      <c r="A41" s="2945" t="s">
        <v>296</v>
      </c>
      <c r="B41" s="2946" t="s">
        <v>209</v>
      </c>
      <c r="C41" s="2945">
        <v>21220</v>
      </c>
      <c r="D41" s="2945">
        <v>21120</v>
      </c>
      <c r="E41" s="2945">
        <v>22590</v>
      </c>
      <c r="F41" s="2945"/>
      <c r="G41" s="2958">
        <v>14780</v>
      </c>
      <c r="M41" s="2952" t="s">
        <v>3009</v>
      </c>
      <c r="N41" s="2945" t="s">
        <v>3010</v>
      </c>
      <c r="O41" s="2945" t="s">
        <v>3011</v>
      </c>
      <c r="P41" s="2945" t="s">
        <v>3012</v>
      </c>
      <c r="Q41" s="2945" t="s">
        <v>3013</v>
      </c>
    </row>
    <row r="42" spans="1:17" ht="14.25" customHeight="1">
      <c r="A42" s="2945" t="s">
        <v>296</v>
      </c>
      <c r="B42" s="2946" t="s">
        <v>215</v>
      </c>
      <c r="C42" s="2945">
        <v>24800</v>
      </c>
      <c r="D42" s="2945">
        <v>22280</v>
      </c>
      <c r="E42" s="2945">
        <v>24350</v>
      </c>
      <c r="F42" s="2945"/>
      <c r="G42" s="2958">
        <v>15590</v>
      </c>
      <c r="N42" s="2945" t="s">
        <v>3014</v>
      </c>
      <c r="O42" s="2945" t="s">
        <v>3015</v>
      </c>
      <c r="P42" s="2945" t="s">
        <v>3016</v>
      </c>
      <c r="Q42" s="2945" t="s">
        <v>3017</v>
      </c>
    </row>
    <row r="43" spans="1:17" ht="14.25" customHeight="1">
      <c r="A43" s="2945" t="s">
        <v>3018</v>
      </c>
      <c r="B43" s="2946" t="s">
        <v>223</v>
      </c>
      <c r="C43" s="2945">
        <v>21210</v>
      </c>
      <c r="D43" s="2945">
        <v>21160</v>
      </c>
      <c r="E43" s="2945">
        <v>22650</v>
      </c>
      <c r="F43" s="2945"/>
      <c r="G43" s="2958">
        <v>14800</v>
      </c>
      <c r="N43" s="2945" t="s">
        <v>3019</v>
      </c>
      <c r="O43" s="2945" t="s">
        <v>3020</v>
      </c>
      <c r="P43" s="2945" t="s">
        <v>3021</v>
      </c>
      <c r="Q43" s="2945" t="s">
        <v>3022</v>
      </c>
    </row>
    <row r="44" spans="1:17" ht="14.25" customHeight="1" thickBot="1">
      <c r="A44" s="2945" t="s">
        <v>296</v>
      </c>
      <c r="B44" s="2946" t="s">
        <v>231</v>
      </c>
      <c r="C44" s="2945">
        <v>22370</v>
      </c>
      <c r="D44" s="2945">
        <v>23140</v>
      </c>
      <c r="E44" s="2945">
        <v>25090</v>
      </c>
      <c r="F44" s="2945"/>
      <c r="G44" s="2958">
        <v>16190</v>
      </c>
      <c r="N44" s="2945" t="s">
        <v>3023</v>
      </c>
      <c r="O44" s="2945" t="s">
        <v>3024</v>
      </c>
      <c r="P44" s="2952" t="s">
        <v>3025</v>
      </c>
      <c r="Q44" s="2945" t="s">
        <v>3026</v>
      </c>
    </row>
    <row r="45" spans="1:17" ht="14.25" customHeight="1" thickBot="1">
      <c r="A45" s="2945" t="s">
        <v>296</v>
      </c>
      <c r="B45" s="2946" t="s">
        <v>236</v>
      </c>
      <c r="C45" s="2945">
        <v>21240</v>
      </c>
      <c r="D45" s="2945">
        <v>27050</v>
      </c>
      <c r="E45" s="2945">
        <v>28000</v>
      </c>
      <c r="F45" s="2945"/>
      <c r="G45" s="2958">
        <v>18940</v>
      </c>
      <c r="N45" s="2945" t="s">
        <v>3027</v>
      </c>
      <c r="O45" s="2952" t="s">
        <v>3028</v>
      </c>
      <c r="Q45" s="2945" t="s">
        <v>3029</v>
      </c>
    </row>
    <row r="46" spans="1:17" ht="14.25" customHeight="1">
      <c r="A46" s="2945" t="s">
        <v>296</v>
      </c>
      <c r="B46" s="2946" t="s">
        <v>245</v>
      </c>
      <c r="C46" s="2945">
        <v>23240</v>
      </c>
      <c r="D46" s="2945">
        <v>23000</v>
      </c>
      <c r="E46" s="2945">
        <v>24980</v>
      </c>
      <c r="F46" s="2945"/>
      <c r="G46" s="2958">
        <v>16100</v>
      </c>
      <c r="N46" s="2945" t="s">
        <v>3030</v>
      </c>
      <c r="Q46" s="2945" t="s">
        <v>3031</v>
      </c>
    </row>
    <row r="47" spans="1:17" ht="14.25" customHeight="1">
      <c r="A47" s="2945" t="s">
        <v>296</v>
      </c>
      <c r="B47" s="2946" t="s">
        <v>252</v>
      </c>
      <c r="C47" s="2945">
        <v>27150</v>
      </c>
      <c r="D47" s="2945">
        <v>23310</v>
      </c>
      <c r="E47" s="2945">
        <v>25150</v>
      </c>
      <c r="F47" s="2945"/>
      <c r="G47" s="2958">
        <v>16310</v>
      </c>
      <c r="N47" s="2945" t="s">
        <v>3032</v>
      </c>
      <c r="Q47" s="2945" t="s">
        <v>3033</v>
      </c>
    </row>
    <row r="48" spans="1:17" ht="14.25" customHeight="1">
      <c r="A48" s="2945" t="s">
        <v>296</v>
      </c>
      <c r="B48" s="2946" t="s">
        <v>260</v>
      </c>
      <c r="C48" s="2945">
        <v>23100</v>
      </c>
      <c r="D48" s="2945">
        <v>21110</v>
      </c>
      <c r="E48" s="2945">
        <v>23080</v>
      </c>
      <c r="F48" s="2945"/>
      <c r="G48" s="2958">
        <v>14780</v>
      </c>
      <c r="N48" s="2945" t="s">
        <v>3034</v>
      </c>
      <c r="Q48" s="2945" t="s">
        <v>3035</v>
      </c>
    </row>
    <row r="49" spans="1:17" ht="14.25" customHeight="1">
      <c r="A49" s="2945" t="s">
        <v>296</v>
      </c>
      <c r="B49" s="2946" t="s">
        <v>267</v>
      </c>
      <c r="C49" s="2945">
        <v>23400</v>
      </c>
      <c r="D49" s="2945">
        <v>22920</v>
      </c>
      <c r="E49" s="2945">
        <v>24900</v>
      </c>
      <c r="F49" s="2945"/>
      <c r="G49" s="2958">
        <v>16040</v>
      </c>
      <c r="N49" s="2945" t="s">
        <v>3036</v>
      </c>
      <c r="Q49" s="2945" t="s">
        <v>3037</v>
      </c>
    </row>
    <row r="50" spans="1:17" ht="14.25" customHeight="1">
      <c r="A50" s="2945" t="s">
        <v>296</v>
      </c>
      <c r="B50" s="2946" t="s">
        <v>2914</v>
      </c>
      <c r="C50" s="2945">
        <v>21200</v>
      </c>
      <c r="D50" s="2945">
        <v>26540</v>
      </c>
      <c r="E50" s="2945">
        <v>23200</v>
      </c>
      <c r="F50" s="2945"/>
      <c r="G50" s="2958">
        <v>18580</v>
      </c>
      <c r="N50" s="2945" t="s">
        <v>3038</v>
      </c>
      <c r="Q50" s="2946" t="s">
        <v>3039</v>
      </c>
    </row>
    <row r="51" spans="1:17" ht="14.25" customHeight="1" thickBot="1">
      <c r="A51" s="2945" t="s">
        <v>296</v>
      </c>
      <c r="B51" s="2946" t="s">
        <v>2916</v>
      </c>
      <c r="C51" s="2945">
        <v>23000</v>
      </c>
      <c r="D51" s="2945">
        <v>23460</v>
      </c>
      <c r="E51" s="2945">
        <v>25290</v>
      </c>
      <c r="F51" s="2945"/>
      <c r="G51" s="2958">
        <v>16420</v>
      </c>
      <c r="N51" s="2945" t="s">
        <v>3040</v>
      </c>
      <c r="Q51" s="2952" t="s">
        <v>3041</v>
      </c>
    </row>
    <row r="52" spans="1:17" ht="14.25" customHeight="1">
      <c r="A52" s="2945" t="s">
        <v>296</v>
      </c>
      <c r="B52" s="2946" t="s">
        <v>2920</v>
      </c>
      <c r="C52" s="2945">
        <v>26660</v>
      </c>
      <c r="D52" s="2945">
        <v>22350</v>
      </c>
      <c r="E52" s="2945">
        <v>22920</v>
      </c>
      <c r="F52" s="2945"/>
      <c r="G52" s="2958">
        <v>15640</v>
      </c>
      <c r="N52" s="2945" t="s">
        <v>3042</v>
      </c>
    </row>
    <row r="53" spans="1:17" ht="14.25" customHeight="1">
      <c r="A53" s="2945" t="s">
        <v>296</v>
      </c>
      <c r="B53" s="2946" t="s">
        <v>2925</v>
      </c>
      <c r="C53" s="2945">
        <v>23580</v>
      </c>
      <c r="D53" s="2945"/>
      <c r="E53" s="2945">
        <v>24280</v>
      </c>
      <c r="F53" s="2945"/>
      <c r="G53" s="2958"/>
      <c r="N53" s="2945" t="s">
        <v>3043</v>
      </c>
    </row>
    <row r="54" spans="1:17" ht="14.25" customHeight="1" thickBot="1">
      <c r="A54" s="2959" t="s">
        <v>296</v>
      </c>
      <c r="B54" s="2951" t="s">
        <v>2928</v>
      </c>
      <c r="C54" s="2952">
        <v>22460</v>
      </c>
      <c r="D54" s="2952"/>
      <c r="E54" s="2952"/>
      <c r="F54" s="2952"/>
      <c r="G54" s="2960"/>
      <c r="N54" s="2945" t="s">
        <v>3044</v>
      </c>
    </row>
    <row r="55" spans="1:17" ht="14.25" customHeight="1">
      <c r="A55" s="2950" t="s">
        <v>110</v>
      </c>
      <c r="B55" s="2941" t="s">
        <v>3045</v>
      </c>
      <c r="C55" s="2945">
        <v>21970</v>
      </c>
      <c r="D55" s="2945">
        <v>20370</v>
      </c>
      <c r="E55" s="2945">
        <v>20180</v>
      </c>
      <c r="F55" s="2945">
        <v>5730</v>
      </c>
      <c r="G55" s="2945">
        <v>13820</v>
      </c>
      <c r="N55" s="2945" t="s">
        <v>3046</v>
      </c>
    </row>
    <row r="56" spans="1:17" ht="14.25" customHeight="1">
      <c r="A56" s="2945" t="s">
        <v>110</v>
      </c>
      <c r="B56" s="2945" t="s">
        <v>130</v>
      </c>
      <c r="C56" s="2945">
        <v>20470</v>
      </c>
      <c r="D56" s="2945">
        <v>20700</v>
      </c>
      <c r="E56" s="2945">
        <v>20380</v>
      </c>
      <c r="F56" s="2945">
        <v>4760</v>
      </c>
      <c r="G56" s="2945">
        <v>14050</v>
      </c>
      <c r="N56" s="2945" t="s">
        <v>3047</v>
      </c>
    </row>
    <row r="57" spans="1:17" ht="14.25" customHeight="1">
      <c r="A57" s="2945" t="s">
        <v>110</v>
      </c>
      <c r="B57" s="2945" t="s">
        <v>139</v>
      </c>
      <c r="C57" s="2945">
        <v>20790</v>
      </c>
      <c r="D57" s="2945">
        <v>21370</v>
      </c>
      <c r="E57" s="2945">
        <v>20890</v>
      </c>
      <c r="F57" s="2945">
        <v>4910</v>
      </c>
      <c r="G57" s="2945">
        <v>14510</v>
      </c>
      <c r="N57" s="2945" t="s">
        <v>3048</v>
      </c>
    </row>
    <row r="58" spans="1:17" ht="14.25" customHeight="1">
      <c r="A58" s="2945" t="s">
        <v>110</v>
      </c>
      <c r="B58" s="2945" t="s">
        <v>148</v>
      </c>
      <c r="C58" s="2945">
        <v>21460</v>
      </c>
      <c r="D58" s="2945">
        <v>20920</v>
      </c>
      <c r="E58" s="2945">
        <v>23410</v>
      </c>
      <c r="F58" s="2945">
        <v>5100</v>
      </c>
      <c r="G58" s="2945">
        <v>14200</v>
      </c>
      <c r="N58" s="2945" t="s">
        <v>3049</v>
      </c>
    </row>
    <row r="59" spans="1:17" ht="14.25" customHeight="1">
      <c r="A59" s="2945" t="s">
        <v>110</v>
      </c>
      <c r="B59" s="2945" t="s">
        <v>157</v>
      </c>
      <c r="C59" s="2945">
        <v>21000</v>
      </c>
      <c r="D59" s="2945">
        <v>21550</v>
      </c>
      <c r="E59" s="2945">
        <v>21150</v>
      </c>
      <c r="F59" s="2945">
        <v>5250</v>
      </c>
      <c r="G59" s="2945">
        <v>14630</v>
      </c>
      <c r="N59" s="2945" t="s">
        <v>3050</v>
      </c>
    </row>
    <row r="60" spans="1:17" ht="14.25" customHeight="1">
      <c r="A60" s="2945" t="s">
        <v>110</v>
      </c>
      <c r="B60" s="2945" t="s">
        <v>164</v>
      </c>
      <c r="C60" s="2945">
        <v>21640</v>
      </c>
      <c r="D60" s="2945">
        <v>21260</v>
      </c>
      <c r="E60" s="2945">
        <v>24040</v>
      </c>
      <c r="F60" s="2945">
        <v>4470</v>
      </c>
      <c r="G60" s="2945">
        <v>14430</v>
      </c>
      <c r="N60" s="2945" t="s">
        <v>3051</v>
      </c>
    </row>
    <row r="61" spans="1:17" ht="14.25" customHeight="1">
      <c r="A61" s="2945" t="s">
        <v>110</v>
      </c>
      <c r="B61" s="2945" t="s">
        <v>170</v>
      </c>
      <c r="C61" s="2945">
        <v>21330</v>
      </c>
      <c r="D61" s="2945">
        <v>18640</v>
      </c>
      <c r="E61" s="2945">
        <v>21190</v>
      </c>
      <c r="F61" s="2945">
        <v>4180</v>
      </c>
      <c r="G61" s="2945">
        <v>12650</v>
      </c>
      <c r="N61" s="2945" t="s">
        <v>3052</v>
      </c>
    </row>
    <row r="62" spans="1:17" ht="14.25" customHeight="1">
      <c r="A62" s="2945" t="s">
        <v>110</v>
      </c>
      <c r="B62" s="2945" t="s">
        <v>177</v>
      </c>
      <c r="C62" s="2945">
        <v>18710</v>
      </c>
      <c r="D62" s="2945">
        <v>19400</v>
      </c>
      <c r="E62" s="2945">
        <v>23750</v>
      </c>
      <c r="F62" s="2945">
        <v>4860</v>
      </c>
      <c r="G62" s="2945">
        <v>13170</v>
      </c>
      <c r="N62" s="2945" t="s">
        <v>3053</v>
      </c>
    </row>
    <row r="63" spans="1:17" ht="14.25" customHeight="1">
      <c r="A63" s="2945" t="s">
        <v>110</v>
      </c>
      <c r="B63" s="2945" t="s">
        <v>187</v>
      </c>
      <c r="C63" s="2945">
        <v>19480</v>
      </c>
      <c r="D63" s="2945">
        <v>16830</v>
      </c>
      <c r="E63" s="2945">
        <v>21590</v>
      </c>
      <c r="F63" s="2945">
        <v>4560</v>
      </c>
      <c r="G63" s="2945">
        <v>11420</v>
      </c>
      <c r="N63" s="2945" t="s">
        <v>3054</v>
      </c>
    </row>
    <row r="64" spans="1:17" ht="14.25" customHeight="1" thickBot="1">
      <c r="A64" s="2945" t="s">
        <v>110</v>
      </c>
      <c r="B64" s="2945" t="s">
        <v>196</v>
      </c>
      <c r="C64" s="2945">
        <v>16920</v>
      </c>
      <c r="D64" s="2945">
        <v>19190</v>
      </c>
      <c r="E64" s="2945">
        <v>22200</v>
      </c>
      <c r="F64" s="2945">
        <v>4390</v>
      </c>
      <c r="G64" s="2945">
        <v>13030</v>
      </c>
      <c r="N64" s="2952" t="s">
        <v>3055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2926</v>
      </c>
      <c r="C78" s="2945">
        <v>19820</v>
      </c>
      <c r="D78" s="2945">
        <v>19780</v>
      </c>
      <c r="E78" s="2945">
        <v>18560</v>
      </c>
      <c r="F78" s="2945"/>
      <c r="G78" s="2945">
        <v>13430</v>
      </c>
    </row>
    <row r="79" spans="1:7" s="2779" customFormat="1" ht="14.25" customHeight="1">
      <c r="A79" s="2945" t="s">
        <v>110</v>
      </c>
      <c r="B79" s="2945" t="s">
        <v>2929</v>
      </c>
      <c r="C79" s="2945">
        <v>21660</v>
      </c>
      <c r="D79" s="2945">
        <v>18000</v>
      </c>
      <c r="E79" s="2945">
        <v>22570</v>
      </c>
      <c r="F79" s="2945"/>
      <c r="G79" s="2945">
        <v>12220</v>
      </c>
    </row>
    <row r="80" spans="1:7" s="2779" customFormat="1" ht="14.25" customHeight="1">
      <c r="A80" s="2945" t="s">
        <v>110</v>
      </c>
      <c r="B80" s="2945" t="s">
        <v>2933</v>
      </c>
      <c r="C80" s="2945">
        <v>19850</v>
      </c>
      <c r="D80" s="2945"/>
      <c r="E80" s="2945">
        <v>21700</v>
      </c>
      <c r="F80" s="2945"/>
      <c r="G80" s="2945"/>
    </row>
    <row r="81" spans="1:7" s="2779" customFormat="1" ht="14.25" customHeight="1">
      <c r="A81" s="2945" t="s">
        <v>110</v>
      </c>
      <c r="B81" s="2945" t="s">
        <v>2938</v>
      </c>
      <c r="C81" s="2945">
        <v>18080</v>
      </c>
      <c r="D81" s="2945"/>
      <c r="E81" s="2945">
        <v>20900</v>
      </c>
      <c r="F81" s="2945"/>
      <c r="G81" s="2945"/>
    </row>
    <row r="82" spans="1:7" s="2779" customFormat="1" ht="14.25" customHeight="1">
      <c r="A82" s="2945" t="s">
        <v>110</v>
      </c>
      <c r="B82" s="2945" t="s">
        <v>2945</v>
      </c>
      <c r="C82" s="2945"/>
      <c r="D82" s="2945"/>
      <c r="E82" s="2945">
        <v>20840</v>
      </c>
      <c r="F82" s="2945"/>
      <c r="G82" s="2945"/>
    </row>
    <row r="83" spans="1:7" s="2779" customFormat="1" ht="14.25" customHeight="1">
      <c r="A83" s="2945" t="s">
        <v>110</v>
      </c>
      <c r="B83" s="2945" t="s">
        <v>3056</v>
      </c>
      <c r="C83" s="2945"/>
      <c r="D83" s="2945"/>
      <c r="E83" s="2945"/>
      <c r="F83" s="2945">
        <v>4770</v>
      </c>
      <c r="G83" s="2945"/>
    </row>
    <row r="84" spans="1:7" s="2779" customFormat="1" ht="14.25" customHeight="1">
      <c r="A84" s="2945" t="s">
        <v>110</v>
      </c>
      <c r="B84" s="2945" t="s">
        <v>3057</v>
      </c>
      <c r="C84" s="2945"/>
      <c r="D84" s="2945"/>
      <c r="E84" s="2945"/>
      <c r="F84" s="2945">
        <v>4600</v>
      </c>
      <c r="G84" s="2945"/>
    </row>
    <row r="85" spans="1:7" s="2779" customFormat="1" ht="14.25" customHeight="1">
      <c r="A85" s="2945" t="s">
        <v>110</v>
      </c>
      <c r="B85" s="2945" t="s">
        <v>3058</v>
      </c>
      <c r="C85" s="2945"/>
      <c r="D85" s="2945"/>
      <c r="E85" s="2945"/>
      <c r="F85" s="2945">
        <v>4680</v>
      </c>
      <c r="G85" s="2945"/>
    </row>
    <row r="86" spans="1:7" s="2779" customFormat="1" ht="14.25" customHeight="1" thickBot="1">
      <c r="A86" s="2953" t="s">
        <v>110</v>
      </c>
      <c r="B86" s="2955" t="s">
        <v>3059</v>
      </c>
      <c r="C86" s="2956">
        <v>16610</v>
      </c>
      <c r="D86" s="2956">
        <v>16540</v>
      </c>
      <c r="E86" s="2956">
        <v>18850</v>
      </c>
      <c r="F86" s="2956"/>
      <c r="G86" s="2956">
        <v>11220</v>
      </c>
    </row>
    <row r="87" spans="1:7" s="2779" customFormat="1" ht="14.25" customHeight="1">
      <c r="A87" s="2950" t="s">
        <v>303</v>
      </c>
      <c r="B87" s="2941" t="s">
        <v>3060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2939</v>
      </c>
      <c r="C113" s="2945">
        <v>15520</v>
      </c>
      <c r="D113" s="2945">
        <v>15450</v>
      </c>
      <c r="E113" s="2945"/>
      <c r="F113" s="2945"/>
      <c r="G113" s="2958">
        <v>10210</v>
      </c>
    </row>
    <row r="114" spans="1:7" s="2779" customFormat="1" ht="14.25" customHeight="1">
      <c r="A114" s="2945" t="s">
        <v>303</v>
      </c>
      <c r="B114" s="2945" t="s">
        <v>2946</v>
      </c>
      <c r="C114" s="2945">
        <v>13110</v>
      </c>
      <c r="D114" s="2945">
        <v>13050</v>
      </c>
      <c r="E114" s="2945"/>
      <c r="F114" s="2945"/>
      <c r="G114" s="2958">
        <v>8620</v>
      </c>
    </row>
    <row r="115" spans="1:7" s="2779" customFormat="1" ht="14.25" customHeight="1">
      <c r="A115" s="2945" t="s">
        <v>303</v>
      </c>
      <c r="B115" s="2945" t="s">
        <v>2952</v>
      </c>
      <c r="C115" s="2945">
        <v>12460</v>
      </c>
      <c r="D115" s="2945">
        <v>12390</v>
      </c>
      <c r="E115" s="2945"/>
      <c r="F115" s="2945"/>
      <c r="G115" s="2958">
        <v>8190</v>
      </c>
    </row>
    <row r="116" spans="1:7" s="2779" customFormat="1" ht="14.25" customHeight="1">
      <c r="A116" s="2945" t="s">
        <v>303</v>
      </c>
      <c r="B116" s="2945" t="s">
        <v>2959</v>
      </c>
      <c r="C116" s="2945">
        <v>13580</v>
      </c>
      <c r="D116" s="2945">
        <v>13520</v>
      </c>
      <c r="E116" s="2945"/>
      <c r="F116" s="2945"/>
      <c r="G116" s="2958">
        <v>8930</v>
      </c>
    </row>
    <row r="117" spans="1:7" s="2779" customFormat="1" ht="14.25" customHeight="1">
      <c r="A117" s="2945" t="s">
        <v>303</v>
      </c>
      <c r="B117" s="2945" t="s">
        <v>2966</v>
      </c>
      <c r="C117" s="2945">
        <v>17120</v>
      </c>
      <c r="D117" s="2945">
        <v>17040</v>
      </c>
      <c r="E117" s="2945"/>
      <c r="F117" s="2945"/>
      <c r="G117" s="2958">
        <v>11260</v>
      </c>
    </row>
    <row r="118" spans="1:7" s="2779" customFormat="1" ht="14.25" customHeight="1">
      <c r="A118" s="2945" t="s">
        <v>303</v>
      </c>
      <c r="B118" s="2945" t="s">
        <v>2971</v>
      </c>
      <c r="C118" s="2945">
        <v>14860</v>
      </c>
      <c r="D118" s="2945">
        <v>14790</v>
      </c>
      <c r="E118" s="2945"/>
      <c r="F118" s="2945"/>
      <c r="G118" s="2958">
        <v>9780</v>
      </c>
    </row>
    <row r="119" spans="1:7" s="2779" customFormat="1" ht="14.25" customHeight="1">
      <c r="A119" s="2945" t="s">
        <v>303</v>
      </c>
      <c r="B119" s="2945" t="s">
        <v>2975</v>
      </c>
      <c r="C119" s="2945">
        <v>16470</v>
      </c>
      <c r="D119" s="2945">
        <v>16400</v>
      </c>
      <c r="E119" s="2945"/>
      <c r="F119" s="2945"/>
      <c r="G119" s="2958">
        <v>10840</v>
      </c>
    </row>
    <row r="120" spans="1:7" s="2779" customFormat="1" ht="14.25" customHeight="1">
      <c r="A120" s="2945" t="s">
        <v>303</v>
      </c>
      <c r="B120" s="2945" t="s">
        <v>3061</v>
      </c>
      <c r="C120" s="2945"/>
      <c r="D120" s="2945"/>
      <c r="E120" s="2945"/>
      <c r="F120" s="2945">
        <v>4160</v>
      </c>
      <c r="G120" s="2958"/>
    </row>
    <row r="121" spans="1:7" s="2779" customFormat="1" ht="14.25" customHeight="1">
      <c r="A121" s="2945" t="s">
        <v>303</v>
      </c>
      <c r="B121" s="2945" t="s">
        <v>3062</v>
      </c>
      <c r="C121" s="2945"/>
      <c r="D121" s="2945"/>
      <c r="E121" s="2945"/>
      <c r="F121" s="2945">
        <v>3880</v>
      </c>
      <c r="G121" s="2958"/>
    </row>
    <row r="122" spans="1:7" s="2779" customFormat="1" ht="14.25" customHeight="1">
      <c r="A122" s="2945" t="s">
        <v>303</v>
      </c>
      <c r="B122" s="2945" t="s">
        <v>3063</v>
      </c>
      <c r="C122" s="2945">
        <v>13750</v>
      </c>
      <c r="D122" s="2945">
        <v>13680</v>
      </c>
      <c r="E122" s="2945">
        <v>16460</v>
      </c>
      <c r="F122" s="2945">
        <v>2880</v>
      </c>
      <c r="G122" s="2958">
        <v>9040</v>
      </c>
    </row>
    <row r="123" spans="1:7" s="2779" customFormat="1" ht="14.25" customHeight="1">
      <c r="A123" s="2945" t="s">
        <v>303</v>
      </c>
      <c r="B123" s="2945" t="s">
        <v>2994</v>
      </c>
      <c r="C123" s="2945">
        <v>13590</v>
      </c>
      <c r="D123" s="2945">
        <v>13520</v>
      </c>
      <c r="E123" s="2945">
        <v>16290</v>
      </c>
      <c r="F123" s="2945">
        <v>2790</v>
      </c>
      <c r="G123" s="2958">
        <v>8930</v>
      </c>
    </row>
    <row r="124" spans="1:7" s="2779" customFormat="1" ht="14.25" customHeight="1">
      <c r="A124" s="2945" t="s">
        <v>303</v>
      </c>
      <c r="B124" s="2945" t="s">
        <v>2999</v>
      </c>
      <c r="C124" s="2945">
        <v>13400</v>
      </c>
      <c r="D124" s="2945">
        <v>13320</v>
      </c>
      <c r="E124" s="2945">
        <v>16100</v>
      </c>
      <c r="F124" s="2945">
        <v>2320</v>
      </c>
      <c r="G124" s="2958">
        <v>8800</v>
      </c>
    </row>
    <row r="125" spans="1:7" s="2779" customFormat="1" ht="14.25" customHeight="1">
      <c r="A125" s="2945" t="s">
        <v>303</v>
      </c>
      <c r="B125" s="2945" t="s">
        <v>3004</v>
      </c>
      <c r="C125" s="2945">
        <v>12860</v>
      </c>
      <c r="D125" s="2945">
        <v>12790</v>
      </c>
      <c r="E125" s="2945">
        <v>15370</v>
      </c>
      <c r="F125" s="2945">
        <v>2280</v>
      </c>
      <c r="G125" s="2958">
        <v>8450</v>
      </c>
    </row>
    <row r="126" spans="1:7" s="2779" customFormat="1" ht="14.25" customHeight="1" thickBot="1">
      <c r="A126" s="2959" t="s">
        <v>303</v>
      </c>
      <c r="B126" s="2952" t="s">
        <v>3009</v>
      </c>
      <c r="C126" s="2952">
        <v>12960</v>
      </c>
      <c r="D126" s="2952">
        <v>12890</v>
      </c>
      <c r="E126" s="2952">
        <v>15530</v>
      </c>
      <c r="F126" s="2952">
        <v>2910</v>
      </c>
      <c r="G126" s="2960">
        <v>8520</v>
      </c>
    </row>
    <row r="127" spans="1:7" s="2779" customFormat="1" ht="14.25" customHeight="1">
      <c r="A127" s="2950" t="s">
        <v>29</v>
      </c>
      <c r="B127" s="2941" t="s">
        <v>3064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3065</v>
      </c>
      <c r="C148" s="2945">
        <v>10370</v>
      </c>
      <c r="D148" s="2945">
        <v>10310</v>
      </c>
      <c r="E148" s="2945">
        <v>12970</v>
      </c>
      <c r="F148" s="2945"/>
      <c r="G148" s="2945">
        <v>6630</v>
      </c>
    </row>
    <row r="149" spans="1:7" s="2779" customFormat="1" ht="14.25" customHeight="1">
      <c r="A149" s="2945" t="s">
        <v>29</v>
      </c>
      <c r="B149" s="2945" t="s">
        <v>3066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2940</v>
      </c>
      <c r="C153" s="2945">
        <v>10880</v>
      </c>
      <c r="D153" s="2945">
        <v>10820</v>
      </c>
      <c r="E153" s="2945">
        <v>13660</v>
      </c>
      <c r="F153" s="2945">
        <v>2260</v>
      </c>
      <c r="G153" s="2945">
        <v>6970</v>
      </c>
    </row>
    <row r="154" spans="1:7" s="2779" customFormat="1" ht="14.25" customHeight="1">
      <c r="A154" s="2945" t="s">
        <v>29</v>
      </c>
      <c r="B154" s="2945" t="s">
        <v>3067</v>
      </c>
      <c r="C154" s="2945">
        <v>11220</v>
      </c>
      <c r="D154" s="2945">
        <v>11160</v>
      </c>
      <c r="E154" s="2945">
        <v>14130</v>
      </c>
      <c r="F154" s="2945">
        <v>2230</v>
      </c>
      <c r="G154" s="2945">
        <v>7180</v>
      </c>
    </row>
    <row r="155" spans="1:7" s="2779" customFormat="1" ht="14.25" customHeight="1">
      <c r="A155" s="2945" t="s">
        <v>29</v>
      </c>
      <c r="B155" s="2945" t="s">
        <v>2953</v>
      </c>
      <c r="C155" s="2945">
        <v>10430</v>
      </c>
      <c r="D155" s="2945">
        <v>10380</v>
      </c>
      <c r="E155" s="2945">
        <v>13140</v>
      </c>
      <c r="F155" s="2945">
        <v>2080</v>
      </c>
      <c r="G155" s="2945">
        <v>6650</v>
      </c>
    </row>
    <row r="156" spans="1:7" s="2779" customFormat="1" ht="14.25" customHeight="1">
      <c r="A156" s="2945" t="s">
        <v>29</v>
      </c>
      <c r="B156" s="2945" t="s">
        <v>3068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3069</v>
      </c>
      <c r="C160" s="2945">
        <v>11180</v>
      </c>
      <c r="D160" s="2945">
        <v>11140</v>
      </c>
      <c r="E160" s="2945">
        <v>14050</v>
      </c>
      <c r="F160" s="2945">
        <v>2270</v>
      </c>
      <c r="G160" s="2945">
        <v>7170</v>
      </c>
    </row>
    <row r="161" spans="1:7" s="2779" customFormat="1" ht="14.25" customHeight="1">
      <c r="A161" s="2945" t="s">
        <v>29</v>
      </c>
      <c r="B161" s="2945" t="s">
        <v>2985</v>
      </c>
      <c r="C161" s="2945">
        <v>11160</v>
      </c>
      <c r="D161" s="2945">
        <v>11120</v>
      </c>
      <c r="E161" s="2945">
        <v>14020</v>
      </c>
      <c r="F161" s="2945">
        <v>2150</v>
      </c>
      <c r="G161" s="2945">
        <v>7160</v>
      </c>
    </row>
    <row r="162" spans="1:7" s="2779" customFormat="1" ht="14.25" customHeight="1">
      <c r="A162" s="2945" t="s">
        <v>29</v>
      </c>
      <c r="B162" s="2945" t="s">
        <v>2990</v>
      </c>
      <c r="C162" s="2945">
        <v>9620</v>
      </c>
      <c r="D162" s="2945">
        <v>9570</v>
      </c>
      <c r="E162" s="2945">
        <v>12320</v>
      </c>
      <c r="F162" s="2945">
        <v>2010</v>
      </c>
      <c r="G162" s="2945">
        <v>6160</v>
      </c>
    </row>
    <row r="163" spans="1:7" s="2779" customFormat="1" ht="14.25" customHeight="1">
      <c r="A163" s="2945" t="s">
        <v>29</v>
      </c>
      <c r="B163" s="2945" t="s">
        <v>2995</v>
      </c>
      <c r="C163" s="2945">
        <v>9320</v>
      </c>
      <c r="D163" s="2945">
        <v>9270</v>
      </c>
      <c r="E163" s="2945">
        <v>11790</v>
      </c>
      <c r="F163" s="2945">
        <v>1920</v>
      </c>
      <c r="G163" s="2945">
        <v>5960</v>
      </c>
    </row>
    <row r="164" spans="1:7" s="2779" customFormat="1" ht="14.25" customHeight="1">
      <c r="A164" s="2945" t="s">
        <v>29</v>
      </c>
      <c r="B164" s="2945" t="s">
        <v>3000</v>
      </c>
      <c r="C164" s="2945"/>
      <c r="D164" s="2945"/>
      <c r="E164" s="2945"/>
      <c r="F164" s="2945">
        <v>1980</v>
      </c>
      <c r="G164" s="2945"/>
    </row>
    <row r="165" spans="1:7" s="2779" customFormat="1" ht="14.25" customHeight="1">
      <c r="A165" s="2945" t="s">
        <v>29</v>
      </c>
      <c r="B165" s="2945" t="s">
        <v>3070</v>
      </c>
      <c r="C165" s="2945">
        <v>11060</v>
      </c>
      <c r="D165" s="2945">
        <v>11030</v>
      </c>
      <c r="E165" s="2945">
        <v>13850</v>
      </c>
      <c r="F165" s="2945">
        <v>2170</v>
      </c>
      <c r="G165" s="2945">
        <v>7090</v>
      </c>
    </row>
    <row r="166" spans="1:7" s="2779" customFormat="1" ht="14.25" customHeight="1">
      <c r="A166" s="2945" t="s">
        <v>29</v>
      </c>
      <c r="B166" s="2945" t="s">
        <v>3010</v>
      </c>
      <c r="C166" s="2945">
        <v>11050</v>
      </c>
      <c r="D166" s="2945">
        <v>11010</v>
      </c>
      <c r="E166" s="2945">
        <v>13920</v>
      </c>
      <c r="F166" s="2945">
        <v>2140</v>
      </c>
      <c r="G166" s="2945">
        <v>7080</v>
      </c>
    </row>
    <row r="167" spans="1:7" s="2779" customFormat="1" ht="14.25" customHeight="1">
      <c r="A167" s="2945" t="s">
        <v>29</v>
      </c>
      <c r="B167" s="2945" t="s">
        <v>3014</v>
      </c>
      <c r="C167" s="2945">
        <v>10930</v>
      </c>
      <c r="D167" s="2945">
        <v>10890</v>
      </c>
      <c r="E167" s="2945">
        <v>13790</v>
      </c>
      <c r="F167" s="2945">
        <v>2010</v>
      </c>
      <c r="G167" s="2945">
        <v>7000</v>
      </c>
    </row>
    <row r="168" spans="1:7" s="2779" customFormat="1" ht="14.25" customHeight="1">
      <c r="A168" s="2945" t="s">
        <v>29</v>
      </c>
      <c r="B168" s="2945" t="s">
        <v>3019</v>
      </c>
      <c r="C168" s="2945">
        <v>9420</v>
      </c>
      <c r="D168" s="2945">
        <v>9380</v>
      </c>
      <c r="E168" s="2945">
        <v>11970</v>
      </c>
      <c r="F168" s="2945"/>
      <c r="G168" s="2945">
        <v>6040</v>
      </c>
    </row>
    <row r="169" spans="1:7" s="2779" customFormat="1" ht="14.25" customHeight="1">
      <c r="A169" s="2945" t="s">
        <v>29</v>
      </c>
      <c r="B169" s="2945" t="s">
        <v>3071</v>
      </c>
      <c r="C169" s="2945"/>
      <c r="D169" s="2945"/>
      <c r="E169" s="2945"/>
      <c r="F169" s="2945">
        <v>2880</v>
      </c>
      <c r="G169" s="2945"/>
    </row>
    <row r="170" spans="1:7" s="2779" customFormat="1" ht="14.25" customHeight="1">
      <c r="A170" s="2945" t="s">
        <v>29</v>
      </c>
      <c r="B170" s="2945" t="s">
        <v>3027</v>
      </c>
      <c r="C170" s="2945"/>
      <c r="D170" s="2945"/>
      <c r="E170" s="2945"/>
      <c r="F170" s="2945">
        <v>2880</v>
      </c>
      <c r="G170" s="2945"/>
    </row>
    <row r="171" spans="1:7" s="2779" customFormat="1" ht="14.25" customHeight="1">
      <c r="A171" s="2945" t="s">
        <v>29</v>
      </c>
      <c r="B171" s="2945" t="s">
        <v>3030</v>
      </c>
      <c r="C171" s="2945"/>
      <c r="D171" s="2945"/>
      <c r="E171" s="2945"/>
      <c r="F171" s="2945">
        <v>2880</v>
      </c>
      <c r="G171" s="2945"/>
    </row>
    <row r="172" spans="1:7" s="2779" customFormat="1" ht="14.25" customHeight="1">
      <c r="A172" s="2945" t="s">
        <v>29</v>
      </c>
      <c r="B172" s="2945" t="s">
        <v>3032</v>
      </c>
      <c r="C172" s="2945"/>
      <c r="D172" s="2945"/>
      <c r="E172" s="2945"/>
      <c r="F172" s="2945">
        <v>2880</v>
      </c>
      <c r="G172" s="2945"/>
    </row>
    <row r="173" spans="1:7" s="2779" customFormat="1" ht="14.25" customHeight="1">
      <c r="A173" s="2945" t="s">
        <v>29</v>
      </c>
      <c r="B173" s="2945" t="s">
        <v>3034</v>
      </c>
      <c r="C173" s="2945"/>
      <c r="D173" s="2945"/>
      <c r="E173" s="2945"/>
      <c r="F173" s="2945">
        <v>2150</v>
      </c>
      <c r="G173" s="2945"/>
    </row>
    <row r="174" spans="1:7" s="2779" customFormat="1" ht="14.25" customHeight="1">
      <c r="A174" s="2945" t="s">
        <v>29</v>
      </c>
      <c r="B174" s="2945" t="s">
        <v>3036</v>
      </c>
      <c r="C174" s="2945"/>
      <c r="D174" s="2945"/>
      <c r="E174" s="2945"/>
      <c r="F174" s="2945">
        <v>2030</v>
      </c>
      <c r="G174" s="2945"/>
    </row>
    <row r="175" spans="1:7" s="2779" customFormat="1" ht="14.25" customHeight="1">
      <c r="A175" s="2945" t="s">
        <v>29</v>
      </c>
      <c r="B175" s="2945" t="s">
        <v>3038</v>
      </c>
      <c r="C175" s="2945"/>
      <c r="D175" s="2945"/>
      <c r="E175" s="2945"/>
      <c r="F175" s="2945">
        <v>2780</v>
      </c>
      <c r="G175" s="2945"/>
    </row>
    <row r="176" spans="1:7" s="2779" customFormat="1" ht="14.25" customHeight="1">
      <c r="A176" s="2945" t="s">
        <v>29</v>
      </c>
      <c r="B176" s="2945" t="s">
        <v>3040</v>
      </c>
      <c r="C176" s="2945"/>
      <c r="D176" s="2945"/>
      <c r="E176" s="2945"/>
      <c r="F176" s="2945">
        <v>2780</v>
      </c>
      <c r="G176" s="2945"/>
    </row>
    <row r="177" spans="1:7" s="2779" customFormat="1" ht="14.25" customHeight="1">
      <c r="A177" s="2945" t="s">
        <v>29</v>
      </c>
      <c r="B177" s="2945" t="s">
        <v>3072</v>
      </c>
      <c r="C177" s="2945"/>
      <c r="D177" s="2945"/>
      <c r="E177" s="2945"/>
      <c r="F177" s="2945">
        <v>2780</v>
      </c>
      <c r="G177" s="2945"/>
    </row>
    <row r="178" spans="1:7" s="2779" customFormat="1" ht="14.25" customHeight="1">
      <c r="A178" s="2945" t="s">
        <v>29</v>
      </c>
      <c r="B178" s="2945" t="s">
        <v>3073</v>
      </c>
      <c r="C178" s="2945"/>
      <c r="D178" s="2945"/>
      <c r="E178" s="2945"/>
      <c r="F178" s="2945">
        <v>2060</v>
      </c>
      <c r="G178" s="2945"/>
    </row>
    <row r="179" spans="1:7" s="2779" customFormat="1" ht="14.25" customHeight="1">
      <c r="A179" s="2945" t="s">
        <v>29</v>
      </c>
      <c r="B179" s="2945" t="s">
        <v>3074</v>
      </c>
      <c r="C179" s="2945"/>
      <c r="D179" s="2945"/>
      <c r="E179" s="2945"/>
      <c r="F179" s="2945">
        <v>2120</v>
      </c>
      <c r="G179" s="2945"/>
    </row>
    <row r="180" spans="1:7" s="2779" customFormat="1" ht="14.25" customHeight="1">
      <c r="A180" s="2945" t="s">
        <v>29</v>
      </c>
      <c r="B180" s="2945" t="s">
        <v>3046</v>
      </c>
      <c r="C180" s="2945"/>
      <c r="D180" s="2945"/>
      <c r="E180" s="2945"/>
      <c r="F180" s="2945">
        <v>2340</v>
      </c>
      <c r="G180" s="2945"/>
    </row>
    <row r="181" spans="1:7" s="2779" customFormat="1" ht="14.25" customHeight="1">
      <c r="A181" s="2945" t="s">
        <v>29</v>
      </c>
      <c r="B181" s="2945" t="s">
        <v>3047</v>
      </c>
      <c r="C181" s="2945"/>
      <c r="D181" s="2945"/>
      <c r="E181" s="2945"/>
      <c r="F181" s="2945">
        <v>2340</v>
      </c>
      <c r="G181" s="2945"/>
    </row>
    <row r="182" spans="1:7" s="2779" customFormat="1" ht="14.25" customHeight="1">
      <c r="A182" s="2945" t="s">
        <v>29</v>
      </c>
      <c r="B182" s="2945" t="s">
        <v>3048</v>
      </c>
      <c r="C182" s="2945"/>
      <c r="D182" s="2945"/>
      <c r="E182" s="2945"/>
      <c r="F182" s="2945">
        <v>2340</v>
      </c>
      <c r="G182" s="2945"/>
    </row>
    <row r="183" spans="1:7" s="2779" customFormat="1" ht="14.25" customHeight="1">
      <c r="A183" s="2945" t="s">
        <v>29</v>
      </c>
      <c r="B183" s="2945" t="s">
        <v>3049</v>
      </c>
      <c r="C183" s="2945"/>
      <c r="D183" s="2945"/>
      <c r="E183" s="2945"/>
      <c r="F183" s="2945">
        <v>2340</v>
      </c>
      <c r="G183" s="2945"/>
    </row>
    <row r="184" spans="1:7" s="2779" customFormat="1" ht="14.25" customHeight="1">
      <c r="A184" s="2945" t="s">
        <v>29</v>
      </c>
      <c r="B184" s="2945" t="s">
        <v>3050</v>
      </c>
      <c r="C184" s="2945"/>
      <c r="D184" s="2945"/>
      <c r="E184" s="2945"/>
      <c r="F184" s="2945">
        <v>2340</v>
      </c>
      <c r="G184" s="2945"/>
    </row>
    <row r="185" spans="1:7" s="2779" customFormat="1" ht="14.25" customHeight="1">
      <c r="A185" s="2945" t="s">
        <v>29</v>
      </c>
      <c r="B185" s="2945" t="s">
        <v>3051</v>
      </c>
      <c r="C185" s="2945"/>
      <c r="D185" s="2945"/>
      <c r="E185" s="2945"/>
      <c r="F185" s="2945">
        <v>2530</v>
      </c>
      <c r="G185" s="2945"/>
    </row>
    <row r="186" spans="1:7" s="2779" customFormat="1" ht="14.25" customHeight="1">
      <c r="A186" s="2945" t="s">
        <v>29</v>
      </c>
      <c r="B186" s="2945" t="s">
        <v>3052</v>
      </c>
      <c r="C186" s="2945"/>
      <c r="D186" s="2945"/>
      <c r="E186" s="2945"/>
      <c r="F186" s="2945">
        <v>2550</v>
      </c>
      <c r="G186" s="2945"/>
    </row>
    <row r="187" spans="1:7" s="2779" customFormat="1" ht="14.25" customHeight="1">
      <c r="A187" s="2945" t="s">
        <v>29</v>
      </c>
      <c r="B187" s="2945" t="s">
        <v>3053</v>
      </c>
      <c r="C187" s="2945"/>
      <c r="D187" s="2945"/>
      <c r="E187" s="2945"/>
      <c r="F187" s="2945">
        <v>2070</v>
      </c>
      <c r="G187" s="2945"/>
    </row>
    <row r="188" spans="1:7" s="2779" customFormat="1" ht="14.25" customHeight="1">
      <c r="A188" s="2945" t="s">
        <v>29</v>
      </c>
      <c r="B188" s="2945" t="s">
        <v>3054</v>
      </c>
      <c r="C188" s="2945"/>
      <c r="D188" s="2945"/>
      <c r="E188" s="2945"/>
      <c r="F188" s="2945">
        <v>2340</v>
      </c>
      <c r="G188" s="2945"/>
    </row>
    <row r="189" spans="1:7" s="2779" customFormat="1" ht="14.25" customHeight="1" thickBot="1">
      <c r="A189" s="2953" t="s">
        <v>29</v>
      </c>
      <c r="B189" s="2956" t="s">
        <v>3055</v>
      </c>
      <c r="C189" s="2956"/>
      <c r="D189" s="2956"/>
      <c r="E189" s="2956"/>
      <c r="F189" s="2956">
        <v>2050</v>
      </c>
      <c r="G189" s="2956"/>
    </row>
    <row r="190" spans="1:7" s="2779" customFormat="1" ht="14.25" customHeight="1">
      <c r="A190" s="2950" t="s">
        <v>304</v>
      </c>
      <c r="B190" s="2941" t="s">
        <v>3075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3076</v>
      </c>
      <c r="C199" s="2945">
        <v>8690</v>
      </c>
      <c r="D199" s="2945">
        <v>8630</v>
      </c>
      <c r="E199" s="2945">
        <v>11350</v>
      </c>
      <c r="F199" s="2945">
        <v>1600</v>
      </c>
      <c r="G199" s="2958">
        <v>5450</v>
      </c>
    </row>
    <row r="200" spans="1:7" s="2779" customFormat="1" ht="14.25" customHeight="1">
      <c r="A200" s="2945" t="s">
        <v>304</v>
      </c>
      <c r="B200" s="2945" t="s">
        <v>2887</v>
      </c>
      <c r="C200" s="2945"/>
      <c r="D200" s="2945"/>
      <c r="E200" s="2945"/>
      <c r="F200" s="2945">
        <v>1510</v>
      </c>
      <c r="G200" s="2958"/>
    </row>
    <row r="201" spans="1:7" s="2779" customFormat="1" ht="14.25" customHeight="1">
      <c r="A201" s="2945" t="s">
        <v>304</v>
      </c>
      <c r="B201" s="2945" t="s">
        <v>3077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3078</v>
      </c>
      <c r="C203" s="2945">
        <v>8130</v>
      </c>
      <c r="D203" s="2945">
        <v>8070</v>
      </c>
      <c r="E203" s="2945">
        <v>10820</v>
      </c>
      <c r="F203" s="2945">
        <v>1690</v>
      </c>
      <c r="G203" s="2958">
        <v>5100</v>
      </c>
    </row>
    <row r="204" spans="1:7" s="2779" customFormat="1" ht="14.25" customHeight="1">
      <c r="A204" s="2945" t="s">
        <v>304</v>
      </c>
      <c r="B204" s="2945" t="s">
        <v>2898</v>
      </c>
      <c r="C204" s="2945">
        <v>8350</v>
      </c>
      <c r="D204" s="2945">
        <v>8290</v>
      </c>
      <c r="E204" s="2945">
        <v>11080</v>
      </c>
      <c r="F204" s="2945">
        <v>1450</v>
      </c>
      <c r="G204" s="2958">
        <v>5240</v>
      </c>
    </row>
    <row r="205" spans="1:7" s="2779" customFormat="1" ht="14.25" customHeight="1">
      <c r="A205" s="2945" t="s">
        <v>304</v>
      </c>
      <c r="B205" s="2945" t="s">
        <v>2900</v>
      </c>
      <c r="C205" s="2945">
        <v>7190</v>
      </c>
      <c r="D205" s="2945">
        <v>7130</v>
      </c>
      <c r="E205" s="2945">
        <v>9490</v>
      </c>
      <c r="F205" s="2945">
        <v>1470</v>
      </c>
      <c r="G205" s="2958">
        <v>4510</v>
      </c>
    </row>
    <row r="206" spans="1:7" s="2779" customFormat="1" ht="14.25" customHeight="1">
      <c r="A206" s="2945" t="s">
        <v>304</v>
      </c>
      <c r="B206" s="2945" t="s">
        <v>2903</v>
      </c>
      <c r="C206" s="2945">
        <v>7000</v>
      </c>
      <c r="D206" s="2945">
        <v>6950</v>
      </c>
      <c r="E206" s="2945">
        <v>9170</v>
      </c>
      <c r="F206" s="2945">
        <v>1400</v>
      </c>
      <c r="G206" s="2958">
        <v>4380</v>
      </c>
    </row>
    <row r="207" spans="1:7" s="2779" customFormat="1" ht="14.25" customHeight="1">
      <c r="A207" s="2945" t="s">
        <v>304</v>
      </c>
      <c r="B207" s="2945" t="s">
        <v>2905</v>
      </c>
      <c r="C207" s="2945">
        <v>6950</v>
      </c>
      <c r="D207" s="2945">
        <v>6900</v>
      </c>
      <c r="E207" s="2945">
        <v>9110</v>
      </c>
      <c r="F207" s="2945">
        <v>1790</v>
      </c>
      <c r="G207" s="2958">
        <v>4360</v>
      </c>
    </row>
    <row r="208" spans="1:7" s="2779" customFormat="1" ht="14.25" customHeight="1">
      <c r="A208" s="2945" t="s">
        <v>304</v>
      </c>
      <c r="B208" s="2945" t="s">
        <v>3079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2915</v>
      </c>
      <c r="C210" s="2945">
        <v>8710</v>
      </c>
      <c r="D210" s="2945">
        <v>8660</v>
      </c>
      <c r="E210" s="2945">
        <v>11440</v>
      </c>
      <c r="F210" s="2945">
        <v>1740</v>
      </c>
      <c r="G210" s="2958">
        <v>5470</v>
      </c>
    </row>
    <row r="211" spans="1:7" s="2779" customFormat="1" ht="14.25" customHeight="1">
      <c r="A211" s="2945" t="s">
        <v>304</v>
      </c>
      <c r="B211" s="2945" t="s">
        <v>3080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3081</v>
      </c>
      <c r="C214" s="2945">
        <v>8090</v>
      </c>
      <c r="D214" s="2945">
        <v>8030</v>
      </c>
      <c r="E214" s="2945">
        <v>10780</v>
      </c>
      <c r="F214" s="2945">
        <v>1570</v>
      </c>
      <c r="G214" s="2958">
        <v>5070</v>
      </c>
    </row>
    <row r="215" spans="1:7" s="2779" customFormat="1" ht="14.25" customHeight="1">
      <c r="A215" s="2945" t="s">
        <v>304</v>
      </c>
      <c r="B215" s="2945" t="s">
        <v>3082</v>
      </c>
      <c r="C215" s="2945">
        <v>7950</v>
      </c>
      <c r="D215" s="2945">
        <v>7900</v>
      </c>
      <c r="E215" s="2945">
        <v>10560</v>
      </c>
      <c r="F215" s="2945">
        <v>1630</v>
      </c>
      <c r="G215" s="2958">
        <v>4990</v>
      </c>
    </row>
    <row r="216" spans="1:7" s="2779" customFormat="1" ht="14.25" customHeight="1">
      <c r="A216" s="2945" t="s">
        <v>304</v>
      </c>
      <c r="B216" s="2945" t="s">
        <v>3083</v>
      </c>
      <c r="C216" s="2945">
        <v>8490</v>
      </c>
      <c r="D216" s="2945">
        <v>8440</v>
      </c>
      <c r="E216" s="2945">
        <v>11260</v>
      </c>
      <c r="F216" s="2945">
        <v>1690</v>
      </c>
      <c r="G216" s="2958">
        <v>5330</v>
      </c>
    </row>
    <row r="217" spans="1:7" s="2779" customFormat="1" ht="14.25" customHeight="1">
      <c r="A217" s="2945" t="s">
        <v>304</v>
      </c>
      <c r="B217" s="2945" t="s">
        <v>2948</v>
      </c>
      <c r="C217" s="2945">
        <v>8200</v>
      </c>
      <c r="D217" s="2945">
        <v>8150</v>
      </c>
      <c r="E217" s="2945">
        <v>10910</v>
      </c>
      <c r="F217" s="2945">
        <v>1670</v>
      </c>
      <c r="G217" s="2958">
        <v>5150</v>
      </c>
    </row>
    <row r="218" spans="1:7" s="2779" customFormat="1" ht="14.25" customHeight="1">
      <c r="A218" s="2945" t="s">
        <v>304</v>
      </c>
      <c r="B218" s="2945" t="s">
        <v>3084</v>
      </c>
      <c r="C218" s="2945"/>
      <c r="D218" s="2945"/>
      <c r="E218" s="2945"/>
      <c r="F218" s="2945">
        <v>2040</v>
      </c>
      <c r="G218" s="2958"/>
    </row>
    <row r="219" spans="1:7" s="2779" customFormat="1" ht="14.25" customHeight="1">
      <c r="A219" s="2945" t="s">
        <v>304</v>
      </c>
      <c r="B219" s="2945" t="s">
        <v>3085</v>
      </c>
      <c r="C219" s="2945"/>
      <c r="D219" s="2945"/>
      <c r="E219" s="2945"/>
      <c r="F219" s="2945">
        <v>2040</v>
      </c>
      <c r="G219" s="2958"/>
    </row>
    <row r="220" spans="1:7" s="2779" customFormat="1" ht="14.25" customHeight="1">
      <c r="A220" s="2945" t="s">
        <v>304</v>
      </c>
      <c r="B220" s="2945" t="s">
        <v>3086</v>
      </c>
      <c r="C220" s="2945"/>
      <c r="D220" s="2945"/>
      <c r="E220" s="2945"/>
      <c r="F220" s="2945">
        <v>2040</v>
      </c>
      <c r="G220" s="2958"/>
    </row>
    <row r="221" spans="1:7" s="2779" customFormat="1" ht="14.25" customHeight="1">
      <c r="A221" s="2945" t="s">
        <v>304</v>
      </c>
      <c r="B221" s="2945" t="s">
        <v>3087</v>
      </c>
      <c r="C221" s="2945"/>
      <c r="D221" s="2945"/>
      <c r="E221" s="2945"/>
      <c r="F221" s="2945">
        <v>2040</v>
      </c>
      <c r="G221" s="2958"/>
    </row>
    <row r="222" spans="1:7" s="2779" customFormat="1" ht="14.25" customHeight="1">
      <c r="A222" s="2945" t="s">
        <v>304</v>
      </c>
      <c r="B222" s="2945" t="s">
        <v>3088</v>
      </c>
      <c r="C222" s="2945"/>
      <c r="D222" s="2945"/>
      <c r="E222" s="2945"/>
      <c r="F222" s="2945">
        <v>2040</v>
      </c>
      <c r="G222" s="2958"/>
    </row>
    <row r="223" spans="1:7" s="2779" customFormat="1" ht="14.25" customHeight="1">
      <c r="A223" s="2945" t="s">
        <v>304</v>
      </c>
      <c r="B223" s="2945" t="s">
        <v>3089</v>
      </c>
      <c r="C223" s="2945"/>
      <c r="D223" s="2945"/>
      <c r="E223" s="2945"/>
      <c r="F223" s="2945">
        <v>1930</v>
      </c>
      <c r="G223" s="2958"/>
    </row>
    <row r="224" spans="1:7" s="2779" customFormat="1" ht="14.25" customHeight="1">
      <c r="A224" s="2945" t="s">
        <v>304</v>
      </c>
      <c r="B224" s="2945" t="s">
        <v>3090</v>
      </c>
      <c r="C224" s="2945"/>
      <c r="D224" s="2945"/>
      <c r="E224" s="2945"/>
      <c r="F224" s="2945">
        <v>1930</v>
      </c>
      <c r="G224" s="2958"/>
    </row>
    <row r="225" spans="1:7" s="2779" customFormat="1" ht="14.25" customHeight="1">
      <c r="A225" s="2945" t="s">
        <v>304</v>
      </c>
      <c r="B225" s="2945" t="s">
        <v>3091</v>
      </c>
      <c r="C225" s="2945"/>
      <c r="D225" s="2945"/>
      <c r="E225" s="2945"/>
      <c r="F225" s="2945">
        <v>1930</v>
      </c>
      <c r="G225" s="2958"/>
    </row>
    <row r="226" spans="1:7" s="2779" customFormat="1" ht="14.25" customHeight="1">
      <c r="A226" s="2945" t="s">
        <v>304</v>
      </c>
      <c r="B226" s="2945" t="s">
        <v>3092</v>
      </c>
      <c r="C226" s="2945"/>
      <c r="D226" s="2945"/>
      <c r="E226" s="2945"/>
      <c r="F226" s="2945">
        <v>1700</v>
      </c>
      <c r="G226" s="2958"/>
    </row>
    <row r="227" spans="1:7" s="2779" customFormat="1" ht="14.25" customHeight="1">
      <c r="A227" s="2945" t="s">
        <v>304</v>
      </c>
      <c r="B227" s="2945" t="s">
        <v>3093</v>
      </c>
      <c r="C227" s="2945"/>
      <c r="D227" s="2945"/>
      <c r="E227" s="2945"/>
      <c r="F227" s="2945">
        <v>1520</v>
      </c>
      <c r="G227" s="2958"/>
    </row>
    <row r="228" spans="1:7" s="2779" customFormat="1" ht="14.25" customHeight="1">
      <c r="A228" s="2945" t="s">
        <v>304</v>
      </c>
      <c r="B228" s="2945" t="s">
        <v>3094</v>
      </c>
      <c r="C228" s="2945"/>
      <c r="D228" s="2945"/>
      <c r="E228" s="2945"/>
      <c r="F228" s="2945">
        <v>1520</v>
      </c>
      <c r="G228" s="2958"/>
    </row>
    <row r="229" spans="1:7" s="2779" customFormat="1" ht="14.25" customHeight="1">
      <c r="A229" s="2945" t="s">
        <v>304</v>
      </c>
      <c r="B229" s="2945" t="s">
        <v>3011</v>
      </c>
      <c r="C229" s="2945"/>
      <c r="D229" s="2945"/>
      <c r="E229" s="2945"/>
      <c r="F229" s="2945">
        <v>1520</v>
      </c>
      <c r="G229" s="2958"/>
    </row>
    <row r="230" spans="1:7" s="2779" customFormat="1" ht="14.25" customHeight="1">
      <c r="A230" s="2945" t="s">
        <v>304</v>
      </c>
      <c r="B230" s="2945" t="s">
        <v>3095</v>
      </c>
      <c r="C230" s="2945"/>
      <c r="D230" s="2945"/>
      <c r="E230" s="2945"/>
      <c r="F230" s="2945">
        <v>1820</v>
      </c>
      <c r="G230" s="2958"/>
    </row>
    <row r="231" spans="1:7" s="2779" customFormat="1" ht="14.25" customHeight="1">
      <c r="A231" s="2945" t="s">
        <v>304</v>
      </c>
      <c r="B231" s="2945" t="s">
        <v>3096</v>
      </c>
      <c r="C231" s="2945"/>
      <c r="D231" s="2945"/>
      <c r="E231" s="2945"/>
      <c r="F231" s="2945">
        <v>1760</v>
      </c>
      <c r="G231" s="2958"/>
    </row>
    <row r="232" spans="1:7" s="2779" customFormat="1" ht="14.25" customHeight="1">
      <c r="A232" s="2945" t="s">
        <v>304</v>
      </c>
      <c r="B232" s="2945" t="s">
        <v>3097</v>
      </c>
      <c r="C232" s="2945"/>
      <c r="D232" s="2945"/>
      <c r="E232" s="2945"/>
      <c r="F232" s="2945">
        <v>1840</v>
      </c>
      <c r="G232" s="2958"/>
    </row>
    <row r="233" spans="1:7" s="2779" customFormat="1" ht="14.25" customHeight="1" thickBot="1">
      <c r="A233" s="2959" t="s">
        <v>304</v>
      </c>
      <c r="B233" s="2952" t="s">
        <v>3028</v>
      </c>
      <c r="C233" s="2952"/>
      <c r="D233" s="2952"/>
      <c r="E233" s="2952"/>
      <c r="F233" s="2952">
        <v>1770</v>
      </c>
      <c r="G233" s="2960"/>
    </row>
    <row r="234" spans="1:7" s="2779" customFormat="1" ht="14.25" customHeight="1">
      <c r="A234" s="2950" t="s">
        <v>305</v>
      </c>
      <c r="B234" s="2941" t="s">
        <v>3098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2869</v>
      </c>
      <c r="C238" s="2945">
        <v>6920</v>
      </c>
      <c r="D238" s="2945">
        <v>6890</v>
      </c>
      <c r="E238" s="2945">
        <v>8640</v>
      </c>
      <c r="F238" s="2945">
        <v>1310</v>
      </c>
      <c r="G238" s="2945">
        <v>4230</v>
      </c>
    </row>
    <row r="239" spans="1:7" s="2779" customFormat="1" ht="14.25" customHeight="1">
      <c r="A239" s="2945" t="s">
        <v>305</v>
      </c>
      <c r="B239" s="2945" t="s">
        <v>3099</v>
      </c>
      <c r="C239" s="2945">
        <v>6780</v>
      </c>
      <c r="D239" s="2945">
        <v>6750</v>
      </c>
      <c r="E239" s="2945">
        <v>8440</v>
      </c>
      <c r="F239" s="2945">
        <v>1160</v>
      </c>
      <c r="G239" s="2945">
        <v>4140</v>
      </c>
    </row>
    <row r="240" spans="1:7" s="2779" customFormat="1" ht="14.25" customHeight="1">
      <c r="A240" s="2945" t="s">
        <v>305</v>
      </c>
      <c r="B240" s="2945" t="s">
        <v>3100</v>
      </c>
      <c r="C240" s="2945">
        <v>5420</v>
      </c>
      <c r="D240" s="2945">
        <v>5380</v>
      </c>
      <c r="E240" s="2945">
        <v>6640</v>
      </c>
      <c r="F240" s="2945">
        <v>1020</v>
      </c>
      <c r="G240" s="2945">
        <v>3300</v>
      </c>
    </row>
    <row r="241" spans="1:7" s="2779" customFormat="1" ht="14.25" customHeight="1">
      <c r="A241" s="2945" t="s">
        <v>305</v>
      </c>
      <c r="B241" s="2945" t="s">
        <v>3101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2931</v>
      </c>
      <c r="C258" s="2945">
        <v>6190</v>
      </c>
      <c r="D258" s="2945">
        <v>6160</v>
      </c>
      <c r="E258" s="2945">
        <v>7680</v>
      </c>
      <c r="F258" s="2945">
        <v>1170</v>
      </c>
      <c r="G258" s="2945">
        <v>3780</v>
      </c>
    </row>
    <row r="259" spans="1:7" s="2779" customFormat="1" ht="14.25" customHeight="1">
      <c r="A259" s="2945" t="s">
        <v>305</v>
      </c>
      <c r="B259" s="2945" t="s">
        <v>3107</v>
      </c>
      <c r="C259" s="2945">
        <v>7610</v>
      </c>
      <c r="D259" s="2945">
        <v>7570</v>
      </c>
      <c r="E259" s="2945">
        <v>9350</v>
      </c>
      <c r="F259" s="2945">
        <v>1350</v>
      </c>
      <c r="G259" s="2945">
        <v>4650</v>
      </c>
    </row>
    <row r="260" spans="1:7" s="2779" customFormat="1" ht="14.25" customHeight="1">
      <c r="A260" s="2945" t="s">
        <v>305</v>
      </c>
      <c r="B260" s="2945" t="s">
        <v>3108</v>
      </c>
      <c r="C260" s="2945">
        <v>6920</v>
      </c>
      <c r="D260" s="2945">
        <v>6880</v>
      </c>
      <c r="E260" s="2945">
        <v>8380</v>
      </c>
      <c r="F260" s="2945">
        <v>1160</v>
      </c>
      <c r="G260" s="2945">
        <v>4220</v>
      </c>
    </row>
    <row r="261" spans="1:7" s="2779" customFormat="1" ht="14.25" customHeight="1">
      <c r="A261" s="2945" t="s">
        <v>305</v>
      </c>
      <c r="B261" s="2945" t="s">
        <v>3109</v>
      </c>
      <c r="C261" s="2945">
        <v>6850</v>
      </c>
      <c r="D261" s="2945">
        <v>6810</v>
      </c>
      <c r="E261" s="2945">
        <v>8290</v>
      </c>
      <c r="F261" s="2945">
        <v>1130</v>
      </c>
      <c r="G261" s="2945">
        <v>4180</v>
      </c>
    </row>
    <row r="262" spans="1:7" s="2779" customFormat="1" ht="14.25" customHeight="1">
      <c r="A262" s="2945" t="s">
        <v>305</v>
      </c>
      <c r="B262" s="2945" t="s">
        <v>3110</v>
      </c>
      <c r="C262" s="2945">
        <v>5860</v>
      </c>
      <c r="D262" s="2945">
        <v>5820</v>
      </c>
      <c r="E262" s="2945">
        <v>7640</v>
      </c>
      <c r="F262" s="2945">
        <v>1070</v>
      </c>
      <c r="G262" s="2945">
        <v>3570</v>
      </c>
    </row>
    <row r="263" spans="1:7" s="2779" customFormat="1" ht="14.25" customHeight="1">
      <c r="A263" s="2945" t="s">
        <v>305</v>
      </c>
      <c r="B263" s="2945" t="s">
        <v>3111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3112</v>
      </c>
      <c r="C265" s="2945"/>
      <c r="D265" s="2945"/>
      <c r="E265" s="2945"/>
      <c r="F265" s="2945">
        <v>1500</v>
      </c>
      <c r="G265" s="2945"/>
    </row>
    <row r="266" spans="1:7" s="2779" customFormat="1" ht="14.25" customHeight="1">
      <c r="A266" s="2945" t="s">
        <v>305</v>
      </c>
      <c r="B266" s="2945" t="s">
        <v>3113</v>
      </c>
      <c r="C266" s="2945"/>
      <c r="D266" s="2945"/>
      <c r="E266" s="2945"/>
      <c r="F266" s="2945">
        <v>1500</v>
      </c>
      <c r="G266" s="2945"/>
    </row>
    <row r="267" spans="1:7" s="2779" customFormat="1" ht="14.25" customHeight="1">
      <c r="A267" s="2945" t="s">
        <v>305</v>
      </c>
      <c r="B267" s="2945" t="s">
        <v>3114</v>
      </c>
      <c r="C267" s="2945"/>
      <c r="D267" s="2945"/>
      <c r="E267" s="2945"/>
      <c r="F267" s="2945">
        <v>1500</v>
      </c>
      <c r="G267" s="2945"/>
    </row>
    <row r="268" spans="1:7" s="2779" customFormat="1" ht="14.25" customHeight="1">
      <c r="A268" s="2945" t="s">
        <v>305</v>
      </c>
      <c r="B268" s="2945" t="s">
        <v>3115</v>
      </c>
      <c r="C268" s="2945"/>
      <c r="D268" s="2945"/>
      <c r="E268" s="2945"/>
      <c r="F268" s="2945">
        <v>1290</v>
      </c>
      <c r="G268" s="2945"/>
    </row>
    <row r="269" spans="1:7" s="2779" customFormat="1" ht="14.25" customHeight="1">
      <c r="A269" s="2945" t="s">
        <v>305</v>
      </c>
      <c r="B269" s="2945" t="s">
        <v>3116</v>
      </c>
      <c r="C269" s="2945"/>
      <c r="D269" s="2945"/>
      <c r="E269" s="2945"/>
      <c r="F269" s="2945">
        <v>1150</v>
      </c>
      <c r="G269" s="2945"/>
    </row>
    <row r="270" spans="1:7" s="2779" customFormat="1" ht="14.25" customHeight="1">
      <c r="A270" s="2945" t="s">
        <v>305</v>
      </c>
      <c r="B270" s="2945" t="s">
        <v>3117</v>
      </c>
      <c r="C270" s="2945"/>
      <c r="D270" s="2945"/>
      <c r="E270" s="2945"/>
      <c r="F270" s="2945">
        <v>1380</v>
      </c>
      <c r="G270" s="2945"/>
    </row>
    <row r="271" spans="1:7" s="2779" customFormat="1" ht="14.25" customHeight="1">
      <c r="A271" s="2945" t="s">
        <v>305</v>
      </c>
      <c r="B271" s="2945" t="s">
        <v>3118</v>
      </c>
      <c r="C271" s="2945"/>
      <c r="D271" s="2945"/>
      <c r="E271" s="2945"/>
      <c r="F271" s="2945">
        <v>1460</v>
      </c>
      <c r="G271" s="2945"/>
    </row>
    <row r="272" spans="1:7" s="2779" customFormat="1" ht="14.25" customHeight="1">
      <c r="A272" s="2945" t="s">
        <v>305</v>
      </c>
      <c r="B272" s="2945" t="s">
        <v>3119</v>
      </c>
      <c r="C272" s="2945"/>
      <c r="D272" s="2945"/>
      <c r="E272" s="2945"/>
      <c r="F272" s="2945">
        <v>1460</v>
      </c>
      <c r="G272" s="2945"/>
    </row>
    <row r="273" spans="1:7" s="2779" customFormat="1" ht="14.25" customHeight="1">
      <c r="A273" s="2945" t="s">
        <v>305</v>
      </c>
      <c r="B273" s="2945" t="s">
        <v>3012</v>
      </c>
      <c r="C273" s="2945"/>
      <c r="D273" s="2945"/>
      <c r="E273" s="2945"/>
      <c r="F273" s="2945">
        <v>1490</v>
      </c>
      <c r="G273" s="2945"/>
    </row>
    <row r="274" spans="1:7" s="2779" customFormat="1" ht="14.25" customHeight="1">
      <c r="A274" s="2945" t="s">
        <v>305</v>
      </c>
      <c r="B274" s="2945" t="s">
        <v>3120</v>
      </c>
      <c r="C274" s="2945"/>
      <c r="D274" s="2945"/>
      <c r="E274" s="2945"/>
      <c r="F274" s="2945">
        <v>1490</v>
      </c>
      <c r="G274" s="2945"/>
    </row>
    <row r="275" spans="1:7" s="2779" customFormat="1" ht="14.25" customHeight="1">
      <c r="A275" s="2945" t="s">
        <v>305</v>
      </c>
      <c r="B275" s="2945" t="s">
        <v>3121</v>
      </c>
      <c r="C275" s="2945"/>
      <c r="D275" s="2945"/>
      <c r="E275" s="2945"/>
      <c r="F275" s="2945">
        <v>1220</v>
      </c>
      <c r="G275" s="2945"/>
    </row>
    <row r="276" spans="1:7" s="2779" customFormat="1" ht="14.25" customHeight="1" thickBot="1">
      <c r="A276" s="2953" t="s">
        <v>305</v>
      </c>
      <c r="B276" s="2955" t="s">
        <v>3122</v>
      </c>
      <c r="C276" s="2956"/>
      <c r="D276" s="2956"/>
      <c r="E276" s="2956"/>
      <c r="F276" s="2956">
        <v>1380</v>
      </c>
      <c r="G276" s="2956"/>
    </row>
    <row r="277" spans="1:7" s="2779" customFormat="1" ht="14.25" customHeight="1">
      <c r="A277" s="2950" t="s">
        <v>306</v>
      </c>
      <c r="B277" s="2941" t="s">
        <v>3123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3124</v>
      </c>
      <c r="C279" s="2945">
        <v>4760</v>
      </c>
      <c r="D279" s="2945">
        <v>4720</v>
      </c>
      <c r="E279" s="2945">
        <v>5540</v>
      </c>
      <c r="F279" s="2945">
        <v>810</v>
      </c>
      <c r="G279" s="2958">
        <v>2850</v>
      </c>
    </row>
    <row r="280" spans="1:7" s="2779" customFormat="1" ht="14.25" customHeight="1">
      <c r="A280" s="2945" t="s">
        <v>306</v>
      </c>
      <c r="B280" s="2945" t="s">
        <v>3125</v>
      </c>
      <c r="C280" s="2945">
        <v>4010</v>
      </c>
      <c r="D280" s="2945">
        <v>3950</v>
      </c>
      <c r="E280" s="2945">
        <v>4710</v>
      </c>
      <c r="F280" s="2945">
        <v>800</v>
      </c>
      <c r="G280" s="2958">
        <v>2390</v>
      </c>
    </row>
    <row r="281" spans="1:7" s="2779" customFormat="1" ht="14.25" customHeight="1">
      <c r="A281" s="2945" t="s">
        <v>306</v>
      </c>
      <c r="B281" s="2945" t="s">
        <v>3126</v>
      </c>
      <c r="C281" s="2945">
        <v>4480</v>
      </c>
      <c r="D281" s="2945">
        <v>4420</v>
      </c>
      <c r="E281" s="2945">
        <v>5230</v>
      </c>
      <c r="F281" s="2945">
        <v>870</v>
      </c>
      <c r="G281" s="2958">
        <v>2660</v>
      </c>
    </row>
    <row r="282" spans="1:7" s="2779" customFormat="1" ht="14.25" customHeight="1">
      <c r="A282" s="2945" t="s">
        <v>306</v>
      </c>
      <c r="B282" s="2945" t="s">
        <v>3127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3128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3129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2904</v>
      </c>
      <c r="C293" s="2945">
        <v>5320</v>
      </c>
      <c r="D293" s="2945">
        <v>5270</v>
      </c>
      <c r="E293" s="2945">
        <v>6160</v>
      </c>
      <c r="F293" s="2945">
        <v>990</v>
      </c>
      <c r="G293" s="2958">
        <v>3170</v>
      </c>
    </row>
    <row r="294" spans="1:7" s="2779" customFormat="1" ht="14.25" customHeight="1">
      <c r="A294" s="2945" t="s">
        <v>306</v>
      </c>
      <c r="B294" s="2945" t="s">
        <v>3130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3131</v>
      </c>
      <c r="C302" s="2945">
        <v>5520</v>
      </c>
      <c r="D302" s="2945">
        <v>5470</v>
      </c>
      <c r="E302" s="2945">
        <v>6410</v>
      </c>
      <c r="F302" s="2945">
        <v>950</v>
      </c>
      <c r="G302" s="2958">
        <v>3300</v>
      </c>
    </row>
    <row r="303" spans="1:7" s="2779" customFormat="1" ht="14.25" customHeight="1">
      <c r="A303" s="2945" t="s">
        <v>306</v>
      </c>
      <c r="B303" s="2945" t="s">
        <v>2943</v>
      </c>
      <c r="C303" s="2945">
        <v>5630</v>
      </c>
      <c r="D303" s="2945">
        <v>5590</v>
      </c>
      <c r="E303" s="2945">
        <v>6550</v>
      </c>
      <c r="F303" s="2945">
        <v>1010</v>
      </c>
      <c r="G303" s="2958">
        <v>3370</v>
      </c>
    </row>
    <row r="304" spans="1:7" s="2779" customFormat="1" ht="14.25" customHeight="1">
      <c r="A304" s="2945" t="s">
        <v>306</v>
      </c>
      <c r="B304" s="2945" t="s">
        <v>2950</v>
      </c>
      <c r="C304" s="2945">
        <v>5680</v>
      </c>
      <c r="D304" s="2945">
        <v>5620</v>
      </c>
      <c r="E304" s="2945">
        <v>6620</v>
      </c>
      <c r="F304" s="2945">
        <v>1050</v>
      </c>
      <c r="G304" s="2958">
        <v>3390</v>
      </c>
    </row>
    <row r="305" spans="1:7" s="2779" customFormat="1" ht="14.25" customHeight="1">
      <c r="A305" s="2945" t="s">
        <v>306</v>
      </c>
      <c r="B305" s="2945" t="s">
        <v>2956</v>
      </c>
      <c r="C305" s="2945">
        <v>5590</v>
      </c>
      <c r="D305" s="2945">
        <v>5530</v>
      </c>
      <c r="E305" s="2945">
        <v>6460</v>
      </c>
      <c r="F305" s="2945">
        <v>900</v>
      </c>
      <c r="G305" s="2958">
        <v>3340</v>
      </c>
    </row>
    <row r="306" spans="1:7" s="2779" customFormat="1" ht="14.25" customHeight="1">
      <c r="A306" s="2945" t="s">
        <v>306</v>
      </c>
      <c r="B306" s="2945" t="s">
        <v>3132</v>
      </c>
      <c r="C306" s="2945">
        <v>5560</v>
      </c>
      <c r="D306" s="2945">
        <v>5510</v>
      </c>
      <c r="E306" s="2945">
        <v>6440</v>
      </c>
      <c r="F306" s="2945">
        <v>900</v>
      </c>
      <c r="G306" s="2958">
        <v>3320</v>
      </c>
    </row>
    <row r="307" spans="1:7" s="2779" customFormat="1" ht="14.25" customHeight="1">
      <c r="A307" s="2945" t="s">
        <v>306</v>
      </c>
      <c r="B307" s="2945" t="s">
        <v>2968</v>
      </c>
      <c r="C307" s="2945">
        <v>5650</v>
      </c>
      <c r="D307" s="2945">
        <v>5600</v>
      </c>
      <c r="E307" s="2945">
        <v>6590</v>
      </c>
      <c r="F307" s="2945">
        <v>930</v>
      </c>
      <c r="G307" s="2958">
        <v>3380</v>
      </c>
    </row>
    <row r="308" spans="1:7" s="2779" customFormat="1" ht="14.25" customHeight="1">
      <c r="A308" s="2945" t="s">
        <v>306</v>
      </c>
      <c r="B308" s="2945" t="s">
        <v>3133</v>
      </c>
      <c r="C308" s="2945">
        <v>5620</v>
      </c>
      <c r="D308" s="2945">
        <v>5580</v>
      </c>
      <c r="E308" s="2945">
        <v>6540</v>
      </c>
      <c r="F308" s="2945">
        <v>910</v>
      </c>
      <c r="G308" s="2958">
        <v>3370</v>
      </c>
    </row>
    <row r="309" spans="1:7" s="2779" customFormat="1" ht="14.25" customHeight="1">
      <c r="A309" s="2945" t="s">
        <v>306</v>
      </c>
      <c r="B309" s="2945" t="s">
        <v>3134</v>
      </c>
      <c r="C309" s="2945">
        <v>5060</v>
      </c>
      <c r="D309" s="2945">
        <v>5020</v>
      </c>
      <c r="E309" s="2945">
        <v>6370</v>
      </c>
      <c r="F309" s="2945">
        <v>800</v>
      </c>
      <c r="G309" s="2958">
        <v>3020</v>
      </c>
    </row>
    <row r="310" spans="1:7" s="2779" customFormat="1" ht="14.25" customHeight="1">
      <c r="A310" s="2945" t="s">
        <v>306</v>
      </c>
      <c r="B310" s="2945" t="s">
        <v>2983</v>
      </c>
      <c r="C310" s="2945">
        <v>5150</v>
      </c>
      <c r="D310" s="2945">
        <v>5110</v>
      </c>
      <c r="E310" s="2945">
        <v>6500</v>
      </c>
      <c r="F310" s="2945">
        <v>880</v>
      </c>
      <c r="G310" s="2958">
        <v>3080</v>
      </c>
    </row>
    <row r="311" spans="1:7" s="2779" customFormat="1" ht="14.25" customHeight="1">
      <c r="A311" s="2945" t="s">
        <v>306</v>
      </c>
      <c r="B311" s="2945" t="s">
        <v>3135</v>
      </c>
      <c r="C311" s="2945">
        <v>4750</v>
      </c>
      <c r="D311" s="2945">
        <v>4710</v>
      </c>
      <c r="E311" s="2945">
        <v>5510</v>
      </c>
      <c r="F311" s="2945">
        <v>880</v>
      </c>
      <c r="G311" s="2958">
        <v>2840</v>
      </c>
    </row>
    <row r="312" spans="1:7" s="2779" customFormat="1" ht="14.25" customHeight="1">
      <c r="A312" s="2945" t="s">
        <v>306</v>
      </c>
      <c r="B312" s="2945" t="s">
        <v>2993</v>
      </c>
      <c r="C312" s="2945">
        <v>4690</v>
      </c>
      <c r="D312" s="2945">
        <v>4640</v>
      </c>
      <c r="E312" s="2945">
        <v>5420</v>
      </c>
      <c r="F312" s="2945">
        <v>800</v>
      </c>
      <c r="G312" s="2958">
        <v>2800</v>
      </c>
    </row>
    <row r="313" spans="1:7" s="2779" customFormat="1" ht="14.25" customHeight="1">
      <c r="A313" s="2945" t="s">
        <v>306</v>
      </c>
      <c r="B313" s="2945" t="s">
        <v>2998</v>
      </c>
      <c r="C313" s="2945">
        <v>4810</v>
      </c>
      <c r="D313" s="2945">
        <v>4760</v>
      </c>
      <c r="E313" s="2945">
        <v>5550</v>
      </c>
      <c r="F313" s="2945">
        <v>920</v>
      </c>
      <c r="G313" s="2958">
        <v>2870</v>
      </c>
    </row>
    <row r="314" spans="1:7" s="2779" customFormat="1" ht="14.25" customHeight="1">
      <c r="A314" s="2945" t="s">
        <v>306</v>
      </c>
      <c r="B314" s="2945" t="s">
        <v>3136</v>
      </c>
      <c r="C314" s="2945"/>
      <c r="D314" s="2945"/>
      <c r="E314" s="2945"/>
      <c r="F314" s="2945">
        <v>1020</v>
      </c>
      <c r="G314" s="2958"/>
    </row>
    <row r="315" spans="1:7" s="2779" customFormat="1" ht="14.25" customHeight="1">
      <c r="A315" s="2945" t="s">
        <v>306</v>
      </c>
      <c r="B315" s="2945" t="s">
        <v>3137</v>
      </c>
      <c r="C315" s="2945"/>
      <c r="D315" s="2945"/>
      <c r="E315" s="2945"/>
      <c r="F315" s="2945">
        <v>1050</v>
      </c>
      <c r="G315" s="2958"/>
    </row>
    <row r="316" spans="1:7" s="2779" customFormat="1" ht="14.25" customHeight="1">
      <c r="A316" s="2945" t="s">
        <v>306</v>
      </c>
      <c r="B316" s="2945" t="s">
        <v>3013</v>
      </c>
      <c r="C316" s="2945"/>
      <c r="D316" s="2945"/>
      <c r="E316" s="2945"/>
      <c r="F316" s="2945">
        <v>900</v>
      </c>
      <c r="G316" s="2958"/>
    </row>
    <row r="317" spans="1:7" s="2779" customFormat="1" ht="14.25" customHeight="1">
      <c r="A317" s="2945" t="s">
        <v>306</v>
      </c>
      <c r="B317" s="2945" t="s">
        <v>3138</v>
      </c>
      <c r="C317" s="2945"/>
      <c r="D317" s="2945"/>
      <c r="E317" s="2945"/>
      <c r="F317" s="2945">
        <v>920</v>
      </c>
      <c r="G317" s="2958"/>
    </row>
    <row r="318" spans="1:7" s="2779" customFormat="1" ht="14.25" customHeight="1">
      <c r="A318" s="2945" t="s">
        <v>306</v>
      </c>
      <c r="B318" s="2945" t="s">
        <v>3139</v>
      </c>
      <c r="C318" s="2945"/>
      <c r="D318" s="2945"/>
      <c r="E318" s="2945"/>
      <c r="F318" s="2945">
        <v>1080</v>
      </c>
      <c r="G318" s="2958"/>
    </row>
    <row r="319" spans="1:7" s="2779" customFormat="1" ht="14.25" customHeight="1">
      <c r="A319" s="2945" t="s">
        <v>306</v>
      </c>
      <c r="B319" s="2945" t="s">
        <v>3026</v>
      </c>
      <c r="C319" s="2945"/>
      <c r="D319" s="2945"/>
      <c r="E319" s="2945"/>
      <c r="F319" s="2945">
        <v>1020</v>
      </c>
      <c r="G319" s="2958"/>
    </row>
    <row r="320" spans="1:7" s="2779" customFormat="1" ht="14.25" customHeight="1">
      <c r="A320" s="2945" t="s">
        <v>306</v>
      </c>
      <c r="B320" s="2945" t="s">
        <v>3029</v>
      </c>
      <c r="C320" s="2945"/>
      <c r="D320" s="2945"/>
      <c r="E320" s="2945"/>
      <c r="F320" s="2945">
        <v>1050</v>
      </c>
      <c r="G320" s="2958"/>
    </row>
    <row r="321" spans="1:7" s="2779" customFormat="1" ht="14.25" customHeight="1">
      <c r="A321" s="2945" t="s">
        <v>306</v>
      </c>
      <c r="B321" s="2945" t="s">
        <v>3031</v>
      </c>
      <c r="C321" s="2945"/>
      <c r="D321" s="2945"/>
      <c r="E321" s="2945"/>
      <c r="F321" s="2945">
        <v>960</v>
      </c>
      <c r="G321" s="2958"/>
    </row>
    <row r="322" spans="1:7" s="2779" customFormat="1" ht="14.25" customHeight="1">
      <c r="A322" s="2945" t="s">
        <v>306</v>
      </c>
      <c r="B322" s="2945" t="s">
        <v>3033</v>
      </c>
      <c r="C322" s="2945"/>
      <c r="D322" s="2945"/>
      <c r="E322" s="2945"/>
      <c r="F322" s="2945">
        <v>960</v>
      </c>
      <c r="G322" s="2958"/>
    </row>
    <row r="323" spans="1:7" s="2779" customFormat="1" ht="14.25" customHeight="1">
      <c r="A323" s="2945" t="s">
        <v>306</v>
      </c>
      <c r="B323" s="2945" t="s">
        <v>3035</v>
      </c>
      <c r="C323" s="2945"/>
      <c r="D323" s="2945"/>
      <c r="E323" s="2945"/>
      <c r="F323" s="2945">
        <v>880</v>
      </c>
      <c r="G323" s="2958"/>
    </row>
    <row r="324" spans="1:7" s="2779" customFormat="1" ht="14.25" customHeight="1">
      <c r="A324" s="2945" t="s">
        <v>306</v>
      </c>
      <c r="B324" s="2945" t="s">
        <v>3037</v>
      </c>
      <c r="C324" s="2945"/>
      <c r="D324" s="2945"/>
      <c r="E324" s="2945"/>
      <c r="F324" s="2945">
        <v>930</v>
      </c>
      <c r="G324" s="2958"/>
    </row>
    <row r="325" spans="1:7" s="2779" customFormat="1" ht="14.25" customHeight="1">
      <c r="A325" s="2945" t="s">
        <v>306</v>
      </c>
      <c r="B325" s="2946" t="s">
        <v>3039</v>
      </c>
      <c r="C325" s="2945"/>
      <c r="D325" s="2945"/>
      <c r="E325" s="2945"/>
      <c r="F325" s="2945">
        <v>900</v>
      </c>
      <c r="G325" s="2958"/>
    </row>
    <row r="326" spans="1:7" s="2779" customFormat="1" ht="14.25" customHeight="1" thickBot="1">
      <c r="A326" s="2959" t="s">
        <v>306</v>
      </c>
      <c r="B326" s="2952" t="s">
        <v>3041</v>
      </c>
      <c r="C326" s="2952"/>
      <c r="D326" s="2952"/>
      <c r="E326" s="2952"/>
      <c r="F326" s="2952">
        <v>790</v>
      </c>
      <c r="G326" s="2960"/>
    </row>
    <row r="327" spans="1:7" s="2779" customFormat="1" ht="14.25" customHeight="1">
      <c r="A327" s="2950" t="s">
        <v>307</v>
      </c>
      <c r="B327" s="2941" t="s">
        <v>3140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3141</v>
      </c>
      <c r="C329" s="2945">
        <v>2730</v>
      </c>
      <c r="D329" s="2945">
        <v>2690</v>
      </c>
      <c r="E329" s="2945">
        <v>3100</v>
      </c>
      <c r="F329" s="2945">
        <v>660</v>
      </c>
      <c r="G329" s="2945">
        <v>1610</v>
      </c>
    </row>
    <row r="330" spans="1:7" s="2779" customFormat="1" ht="14.25" customHeight="1">
      <c r="A330" s="2945" t="s">
        <v>307</v>
      </c>
      <c r="B330" s="2945" t="s">
        <v>3142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2875</v>
      </c>
      <c r="C332" s="2945">
        <v>3520</v>
      </c>
      <c r="D332" s="2945">
        <v>3480</v>
      </c>
      <c r="E332" s="2945">
        <v>3830</v>
      </c>
      <c r="F332" s="2945">
        <v>720</v>
      </c>
      <c r="G332" s="2945">
        <v>2090</v>
      </c>
    </row>
    <row r="333" spans="1:7" s="2779" customFormat="1" ht="14.25" customHeight="1">
      <c r="A333" s="2945" t="s">
        <v>307</v>
      </c>
      <c r="B333" s="2945" t="s">
        <v>3143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2885</v>
      </c>
      <c r="C336" s="2945">
        <v>3570</v>
      </c>
      <c r="D336" s="2945">
        <v>3530</v>
      </c>
      <c r="E336" s="2945">
        <v>3880</v>
      </c>
      <c r="F336" s="2945">
        <v>770</v>
      </c>
      <c r="G336" s="2945">
        <v>2110</v>
      </c>
    </row>
    <row r="337" spans="1:10" s="2779" customFormat="1" ht="14.25" customHeight="1">
      <c r="A337" s="2945" t="s">
        <v>307</v>
      </c>
      <c r="B337" s="2945" t="s">
        <v>3144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2910</v>
      </c>
      <c r="C345" s="2945">
        <v>3190</v>
      </c>
      <c r="D345" s="2945">
        <v>3140</v>
      </c>
      <c r="E345" s="2945">
        <v>3450</v>
      </c>
      <c r="F345" s="2945">
        <v>720</v>
      </c>
      <c r="G345" s="2945">
        <v>1880</v>
      </c>
      <c r="J345" s="2779"/>
    </row>
    <row r="346" spans="1:10">
      <c r="A346" s="2945" t="s">
        <v>307</v>
      </c>
      <c r="B346" s="2945" t="s">
        <v>3147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2919</v>
      </c>
      <c r="C348" s="2945">
        <v>4000</v>
      </c>
      <c r="D348" s="2945">
        <v>3950</v>
      </c>
      <c r="E348" s="2945">
        <v>4430</v>
      </c>
      <c r="F348" s="2945">
        <v>760</v>
      </c>
      <c r="G348" s="2945">
        <v>2360</v>
      </c>
      <c r="J348" s="2779"/>
    </row>
    <row r="349" spans="1:10">
      <c r="A349" s="2945" t="s">
        <v>307</v>
      </c>
      <c r="B349" s="2945" t="s">
        <v>2924</v>
      </c>
      <c r="C349" s="2945">
        <v>3820</v>
      </c>
      <c r="D349" s="2945">
        <v>3780</v>
      </c>
      <c r="E349" s="2945">
        <v>4170</v>
      </c>
      <c r="F349" s="2945">
        <v>710</v>
      </c>
      <c r="G349" s="2945">
        <v>2260</v>
      </c>
      <c r="J349" s="2779"/>
    </row>
    <row r="350" spans="1:10">
      <c r="A350" s="2945" t="s">
        <v>307</v>
      </c>
      <c r="B350" s="2945" t="s">
        <v>3148</v>
      </c>
      <c r="C350" s="2945">
        <v>3760</v>
      </c>
      <c r="D350" s="2945">
        <v>3730</v>
      </c>
      <c r="E350" s="2945">
        <v>4100</v>
      </c>
      <c r="F350" s="2945">
        <v>800</v>
      </c>
      <c r="G350" s="2945">
        <v>2230</v>
      </c>
      <c r="J350" s="2779"/>
    </row>
    <row r="351" spans="1:10">
      <c r="A351" s="2945" t="s">
        <v>307</v>
      </c>
      <c r="B351" s="2945" t="s">
        <v>2932</v>
      </c>
      <c r="C351" s="2945">
        <v>3610</v>
      </c>
      <c r="D351" s="2945">
        <v>3580</v>
      </c>
      <c r="E351" s="2945">
        <v>3930</v>
      </c>
      <c r="F351" s="2945">
        <v>700</v>
      </c>
      <c r="G351" s="2945">
        <v>2140</v>
      </c>
      <c r="J351" s="2779"/>
    </row>
    <row r="352" spans="1:10">
      <c r="A352" s="2945" t="s">
        <v>307</v>
      </c>
      <c r="B352" s="2945" t="s">
        <v>2937</v>
      </c>
      <c r="C352" s="2945">
        <v>3670</v>
      </c>
      <c r="D352" s="2945">
        <v>3630</v>
      </c>
      <c r="E352" s="2945">
        <v>4000</v>
      </c>
      <c r="F352" s="2945">
        <v>750</v>
      </c>
      <c r="G352" s="2945">
        <v>2180</v>
      </c>
    </row>
    <row r="353" spans="1:7" s="2780" customFormat="1">
      <c r="A353" s="2945" t="s">
        <v>307</v>
      </c>
      <c r="B353" s="2945" t="s">
        <v>3149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2957</v>
      </c>
      <c r="C355" s="2945">
        <v>3650</v>
      </c>
      <c r="D355" s="2945">
        <v>3610</v>
      </c>
      <c r="E355" s="2945">
        <v>4200</v>
      </c>
      <c r="F355" s="2945">
        <v>640</v>
      </c>
      <c r="G355" s="2945">
        <v>2160</v>
      </c>
    </row>
    <row r="356" spans="1:7" s="2780" customFormat="1">
      <c r="A356" s="2945" t="s">
        <v>307</v>
      </c>
      <c r="B356" s="2945" t="s">
        <v>2964</v>
      </c>
      <c r="C356" s="2945">
        <v>3260</v>
      </c>
      <c r="D356" s="2945">
        <v>3230</v>
      </c>
      <c r="E356" s="2945">
        <v>3740</v>
      </c>
      <c r="F356" s="2945">
        <v>600</v>
      </c>
      <c r="G356" s="2945">
        <v>1930</v>
      </c>
    </row>
    <row r="357" spans="1:7" s="2780" customFormat="1" ht="12" thickBot="1">
      <c r="A357" s="2953" t="s">
        <v>307</v>
      </c>
      <c r="B357" s="2956" t="s">
        <v>3150</v>
      </c>
      <c r="C357" s="2956">
        <v>3690</v>
      </c>
      <c r="D357" s="2956">
        <v>3650</v>
      </c>
      <c r="E357" s="2956">
        <v>4020</v>
      </c>
      <c r="F357" s="2956">
        <v>700</v>
      </c>
      <c r="G357" s="2956">
        <v>2190</v>
      </c>
    </row>
    <row r="358" spans="1:7" s="2780" customFormat="1">
      <c r="A358" s="2950" t="s">
        <v>3151</v>
      </c>
      <c r="B358" s="2941" t="s">
        <v>3152</v>
      </c>
      <c r="C358" s="2941">
        <v>2080</v>
      </c>
      <c r="D358" s="2941">
        <v>2040</v>
      </c>
      <c r="E358" s="2941">
        <v>2010</v>
      </c>
      <c r="F358" s="2941">
        <v>530</v>
      </c>
      <c r="G358" s="2957">
        <v>1230</v>
      </c>
    </row>
    <row r="359" spans="1:7" s="2780" customFormat="1">
      <c r="A359" s="2945" t="s">
        <v>3151</v>
      </c>
      <c r="B359" s="2945" t="s">
        <v>3153</v>
      </c>
      <c r="C359" s="2945">
        <v>1850</v>
      </c>
      <c r="D359" s="2945">
        <v>1820</v>
      </c>
      <c r="E359" s="2945">
        <v>1780</v>
      </c>
      <c r="F359" s="2945">
        <v>520</v>
      </c>
      <c r="G359" s="2958">
        <v>1100</v>
      </c>
    </row>
    <row r="360" spans="1:7" s="2780" customFormat="1">
      <c r="A360" s="2945" t="s">
        <v>3151</v>
      </c>
      <c r="B360" s="2945" t="s">
        <v>3154</v>
      </c>
      <c r="C360" s="2945">
        <v>2020</v>
      </c>
      <c r="D360" s="2945">
        <v>1990</v>
      </c>
      <c r="E360" s="2945">
        <v>1950</v>
      </c>
      <c r="F360" s="2945">
        <v>500</v>
      </c>
      <c r="G360" s="2958">
        <v>1200</v>
      </c>
    </row>
    <row r="361" spans="1:7" s="2780" customFormat="1">
      <c r="A361" s="2945" t="s">
        <v>3151</v>
      </c>
      <c r="B361" s="2945" t="s">
        <v>153</v>
      </c>
      <c r="C361" s="2945">
        <v>2260</v>
      </c>
      <c r="D361" s="2945">
        <v>2220</v>
      </c>
      <c r="E361" s="2945">
        <v>2180</v>
      </c>
      <c r="F361" s="2945">
        <v>580</v>
      </c>
      <c r="G361" s="2958">
        <v>1340</v>
      </c>
    </row>
    <row r="362" spans="1:7" s="2780" customFormat="1">
      <c r="A362" s="2945" t="s">
        <v>3151</v>
      </c>
      <c r="B362" s="2945" t="s">
        <v>3155</v>
      </c>
      <c r="C362" s="2945">
        <v>2650</v>
      </c>
      <c r="D362" s="2945">
        <v>2610</v>
      </c>
      <c r="E362" s="2945">
        <v>2570</v>
      </c>
      <c r="F362" s="2945">
        <v>630</v>
      </c>
      <c r="G362" s="2958">
        <v>1570</v>
      </c>
    </row>
    <row r="363" spans="1:7" s="2780" customFormat="1">
      <c r="A363" s="2945" t="s">
        <v>3151</v>
      </c>
      <c r="B363" s="2945" t="s">
        <v>2876</v>
      </c>
      <c r="C363" s="2945">
        <v>2390</v>
      </c>
      <c r="D363" s="2945">
        <v>2360</v>
      </c>
      <c r="E363" s="2945">
        <v>2320</v>
      </c>
      <c r="F363" s="2945">
        <v>600</v>
      </c>
      <c r="G363" s="2958">
        <v>1420</v>
      </c>
    </row>
    <row r="364" spans="1:7" s="2780" customFormat="1">
      <c r="A364" s="2945" t="s">
        <v>3151</v>
      </c>
      <c r="B364" s="2945" t="s">
        <v>3156</v>
      </c>
      <c r="C364" s="2945">
        <v>2050</v>
      </c>
      <c r="D364" s="2945">
        <v>2030</v>
      </c>
      <c r="E364" s="2945">
        <v>1990</v>
      </c>
      <c r="F364" s="2945">
        <v>550</v>
      </c>
      <c r="G364" s="2958">
        <v>1220</v>
      </c>
    </row>
    <row r="365" spans="1:7" s="2780" customFormat="1">
      <c r="A365" s="2945" t="s">
        <v>3151</v>
      </c>
      <c r="B365" s="2945" t="s">
        <v>200</v>
      </c>
      <c r="C365" s="2945">
        <v>2140</v>
      </c>
      <c r="D365" s="2945">
        <v>2100</v>
      </c>
      <c r="E365" s="2945">
        <v>2060</v>
      </c>
      <c r="F365" s="2945">
        <v>540</v>
      </c>
      <c r="G365" s="2958">
        <v>1270</v>
      </c>
    </row>
    <row r="366" spans="1:7" s="2780" customFormat="1">
      <c r="A366" s="2945" t="s">
        <v>3151</v>
      </c>
      <c r="B366" s="2945" t="s">
        <v>2883</v>
      </c>
      <c r="C366" s="2945">
        <v>2410</v>
      </c>
      <c r="D366" s="2945">
        <v>2370</v>
      </c>
      <c r="E366" s="2945">
        <v>2330</v>
      </c>
      <c r="F366" s="2945">
        <v>570</v>
      </c>
      <c r="G366" s="2958">
        <v>1440</v>
      </c>
    </row>
    <row r="367" spans="1:7" s="2780" customFormat="1">
      <c r="A367" s="2945" t="s">
        <v>3151</v>
      </c>
      <c r="B367" s="2945" t="s">
        <v>3157</v>
      </c>
      <c r="C367" s="2945">
        <v>2300</v>
      </c>
      <c r="D367" s="2945">
        <v>2260</v>
      </c>
      <c r="E367" s="2945">
        <v>2220</v>
      </c>
      <c r="F367" s="2945">
        <v>560</v>
      </c>
      <c r="G367" s="2958">
        <v>1370</v>
      </c>
    </row>
    <row r="368" spans="1:7" s="2780" customFormat="1">
      <c r="A368" s="2945" t="s">
        <v>3151</v>
      </c>
      <c r="B368" s="2945" t="s">
        <v>3158</v>
      </c>
      <c r="C368" s="2945">
        <v>2430</v>
      </c>
      <c r="D368" s="2945">
        <v>2390</v>
      </c>
      <c r="E368" s="2945">
        <v>2350</v>
      </c>
      <c r="F368" s="2945">
        <v>570</v>
      </c>
      <c r="G368" s="2958">
        <v>1450</v>
      </c>
    </row>
    <row r="369" spans="1:7" s="2780" customFormat="1">
      <c r="A369" s="2945" t="s">
        <v>3151</v>
      </c>
      <c r="B369" s="2945" t="s">
        <v>214</v>
      </c>
      <c r="C369" s="2945">
        <v>2320</v>
      </c>
      <c r="D369" s="2945">
        <v>2290</v>
      </c>
      <c r="E369" s="2945">
        <v>2250</v>
      </c>
      <c r="F369" s="2945">
        <v>550</v>
      </c>
      <c r="G369" s="2958">
        <v>1380</v>
      </c>
    </row>
    <row r="370" spans="1:7" s="2780" customFormat="1">
      <c r="A370" s="2945" t="s">
        <v>3151</v>
      </c>
      <c r="B370" s="2945" t="s">
        <v>221</v>
      </c>
      <c r="C370" s="2945">
        <v>2190</v>
      </c>
      <c r="D370" s="2945">
        <v>2170</v>
      </c>
      <c r="E370" s="2945">
        <v>2130</v>
      </c>
      <c r="F370" s="2945">
        <v>530</v>
      </c>
      <c r="G370" s="2958">
        <v>1310</v>
      </c>
    </row>
    <row r="371" spans="1:7" s="2780" customFormat="1">
      <c r="A371" s="2945" t="s">
        <v>3151</v>
      </c>
      <c r="B371" s="2945" t="s">
        <v>229</v>
      </c>
      <c r="C371" s="2945">
        <v>2460</v>
      </c>
      <c r="D371" s="2945">
        <v>2420</v>
      </c>
      <c r="E371" s="2945">
        <v>2370</v>
      </c>
      <c r="F371" s="2945">
        <v>560</v>
      </c>
      <c r="G371" s="2958">
        <v>1470</v>
      </c>
    </row>
    <row r="372" spans="1:7" s="2780" customFormat="1">
      <c r="A372" s="2945" t="s">
        <v>3151</v>
      </c>
      <c r="B372" s="2945" t="s">
        <v>3159</v>
      </c>
      <c r="C372" s="2945">
        <v>2250</v>
      </c>
      <c r="D372" s="2945">
        <v>2210</v>
      </c>
      <c r="E372" s="2945">
        <v>2180</v>
      </c>
      <c r="F372" s="2945">
        <v>550</v>
      </c>
      <c r="G372" s="2958">
        <v>1340</v>
      </c>
    </row>
    <row r="373" spans="1:7" s="2780" customFormat="1">
      <c r="A373" s="2945" t="s">
        <v>3151</v>
      </c>
      <c r="B373" s="2945" t="s">
        <v>258</v>
      </c>
      <c r="C373" s="2945">
        <v>2210</v>
      </c>
      <c r="D373" s="2945">
        <v>2190</v>
      </c>
      <c r="E373" s="2945">
        <v>2150</v>
      </c>
      <c r="F373" s="2945">
        <v>530</v>
      </c>
      <c r="G373" s="2958">
        <v>1320</v>
      </c>
    </row>
    <row r="374" spans="1:7" s="2780" customFormat="1">
      <c r="A374" s="2945" t="s">
        <v>3151</v>
      </c>
      <c r="B374" s="2945" t="s">
        <v>266</v>
      </c>
      <c r="C374" s="2945">
        <v>2320</v>
      </c>
      <c r="D374" s="2945">
        <v>2280</v>
      </c>
      <c r="E374" s="2945">
        <v>2230</v>
      </c>
      <c r="F374" s="2945">
        <v>580</v>
      </c>
      <c r="G374" s="2958">
        <v>1380</v>
      </c>
    </row>
    <row r="375" spans="1:7" s="2780" customFormat="1">
      <c r="A375" s="2945" t="s">
        <v>3151</v>
      </c>
      <c r="B375" s="2945" t="s">
        <v>3160</v>
      </c>
      <c r="C375" s="2945">
        <v>2090</v>
      </c>
      <c r="D375" s="2945">
        <v>2050</v>
      </c>
      <c r="E375" s="2945">
        <v>2020</v>
      </c>
      <c r="F375" s="2945">
        <v>520</v>
      </c>
      <c r="G375" s="2958">
        <v>1240</v>
      </c>
    </row>
    <row r="376" spans="1:7" s="2780" customFormat="1">
      <c r="A376" s="2945" t="s">
        <v>3151</v>
      </c>
      <c r="B376" s="2945" t="s">
        <v>277</v>
      </c>
      <c r="C376" s="2945">
        <v>2010</v>
      </c>
      <c r="D376" s="2945">
        <v>1980</v>
      </c>
      <c r="E376" s="2945">
        <v>1940</v>
      </c>
      <c r="F376" s="2945">
        <v>540</v>
      </c>
      <c r="G376" s="2958">
        <v>1190</v>
      </c>
    </row>
    <row r="377" spans="1:7" s="2780" customFormat="1" ht="12" thickBot="1">
      <c r="A377" s="2953" t="s">
        <v>3151</v>
      </c>
      <c r="B377" s="2956" t="s">
        <v>2913</v>
      </c>
      <c r="C377" s="2956">
        <v>1930</v>
      </c>
      <c r="D377" s="2956">
        <v>1890</v>
      </c>
      <c r="E377" s="2956">
        <v>1860</v>
      </c>
      <c r="F377" s="2956">
        <v>530</v>
      </c>
      <c r="G377" s="2961">
        <v>1150</v>
      </c>
    </row>
    <row r="378" spans="1:7" s="2780" customFormat="1">
      <c r="A378" s="2962" t="s">
        <v>3161</v>
      </c>
      <c r="B378" s="2941" t="s">
        <v>3162</v>
      </c>
      <c r="C378" s="2941">
        <v>1520</v>
      </c>
      <c r="D378" s="2941">
        <v>1490</v>
      </c>
      <c r="E378" s="2941">
        <v>1460</v>
      </c>
      <c r="F378" s="2941">
        <v>460</v>
      </c>
      <c r="G378" s="2957">
        <v>940</v>
      </c>
    </row>
    <row r="379" spans="1:7" s="2780" customFormat="1">
      <c r="A379" s="2963" t="s">
        <v>3161</v>
      </c>
      <c r="B379" s="2945" t="s">
        <v>3163</v>
      </c>
      <c r="C379" s="2945">
        <v>1500</v>
      </c>
      <c r="D379" s="2945">
        <v>1470</v>
      </c>
      <c r="E379" s="2945">
        <v>1430</v>
      </c>
      <c r="F379" s="2945">
        <v>460</v>
      </c>
      <c r="G379" s="2958">
        <v>920</v>
      </c>
    </row>
    <row r="380" spans="1:7" s="2780" customFormat="1">
      <c r="A380" s="2963" t="s">
        <v>3161</v>
      </c>
      <c r="B380" s="2945" t="s">
        <v>3164</v>
      </c>
      <c r="C380" s="2945">
        <v>1620</v>
      </c>
      <c r="D380" s="2945">
        <v>1590</v>
      </c>
      <c r="E380" s="2945">
        <v>1560</v>
      </c>
      <c r="F380" s="2945">
        <v>480</v>
      </c>
      <c r="G380" s="2958">
        <v>1000</v>
      </c>
    </row>
    <row r="381" spans="1:7" s="2780" customFormat="1">
      <c r="A381" s="2963" t="s">
        <v>3161</v>
      </c>
      <c r="B381" s="2945" t="s">
        <v>3165</v>
      </c>
      <c r="C381" s="2945">
        <v>1460</v>
      </c>
      <c r="D381" s="2945">
        <v>1430</v>
      </c>
      <c r="E381" s="2945">
        <v>1390</v>
      </c>
      <c r="F381" s="2945">
        <v>450</v>
      </c>
      <c r="G381" s="2958">
        <v>900</v>
      </c>
    </row>
    <row r="382" spans="1:7" s="2780" customFormat="1">
      <c r="A382" s="2963" t="s">
        <v>3161</v>
      </c>
      <c r="B382" s="2945" t="s">
        <v>3166</v>
      </c>
      <c r="C382" s="2945">
        <v>1310</v>
      </c>
      <c r="D382" s="2945">
        <v>1280</v>
      </c>
      <c r="E382" s="2945">
        <v>1250</v>
      </c>
      <c r="F382" s="2945">
        <v>440</v>
      </c>
      <c r="G382" s="2958">
        <v>800</v>
      </c>
    </row>
    <row r="383" spans="1:7" s="2780" customFormat="1">
      <c r="A383" s="2963" t="s">
        <v>3161</v>
      </c>
      <c r="B383" s="2945" t="s">
        <v>3167</v>
      </c>
      <c r="C383" s="2945">
        <v>1260</v>
      </c>
      <c r="D383" s="2945">
        <v>1230</v>
      </c>
      <c r="E383" s="2945">
        <v>1200</v>
      </c>
      <c r="F383" s="2945">
        <v>420</v>
      </c>
      <c r="G383" s="2958">
        <v>770</v>
      </c>
    </row>
    <row r="384" spans="1:7" s="2780" customFormat="1" ht="12" thickBot="1">
      <c r="A384" s="2964" t="s">
        <v>3161</v>
      </c>
      <c r="B384" s="2952" t="s">
        <v>3168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928</v>
      </c>
      <c r="B2" s="3244" t="s">
        <v>929</v>
      </c>
      <c r="C2" s="3244" t="s">
        <v>930</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45"/>
      <c r="B3" s="3245"/>
      <c r="C3" s="3245"/>
      <c r="D3" s="799" t="s">
        <v>925</v>
      </c>
      <c r="E3" s="799" t="s">
        <v>931</v>
      </c>
      <c r="F3" s="799" t="s">
        <v>925</v>
      </c>
      <c r="G3" s="799" t="s">
        <v>926</v>
      </c>
      <c r="H3" s="799" t="s">
        <v>925</v>
      </c>
      <c r="I3" s="799" t="s">
        <v>926</v>
      </c>
    </row>
    <row r="4" spans="1:9" ht="15">
      <c r="A4" s="1400" t="str">
        <f>项目基本情况!S2</f>
        <v>房地产</v>
      </c>
      <c r="B4" s="799">
        <f>项目基本情况!C17</f>
        <v>1232.79</v>
      </c>
      <c r="C4" s="799">
        <f>项目基本情况!C18</f>
        <v>891.05</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45" t="s">
        <v>927</v>
      </c>
      <c r="B5" s="3245"/>
      <c r="C5" s="3245"/>
      <c r="D5" s="3245" t="e">
        <f ca="1">结果表!D119</f>
        <v>#REF!</v>
      </c>
      <c r="E5" s="3245"/>
      <c r="F5" s="3245" t="e">
        <f ca="1">结果表!F119</f>
        <v>#REF!</v>
      </c>
      <c r="G5" s="3245"/>
      <c r="H5" s="3245" t="e">
        <f ca="1">结果表!H119</f>
        <v>#REF!</v>
      </c>
      <c r="I5" s="3245"/>
    </row>
    <row r="6" spans="1:9" ht="15.75">
      <c r="A6" s="3246" t="str">
        <f>结果表!A120</f>
        <v>估价师知悉的法定优先受偿款</v>
      </c>
      <c r="B6" s="3246"/>
      <c r="C6" s="3246"/>
      <c r="D6" s="3246">
        <f>结果表!D120</f>
        <v>0</v>
      </c>
      <c r="E6" s="3246"/>
      <c r="F6" s="3246"/>
      <c r="G6" s="3246"/>
      <c r="H6" s="3246"/>
      <c r="I6" s="3246"/>
    </row>
    <row r="7" spans="1:9" ht="15">
      <c r="A7" s="3245" t="s">
        <v>927</v>
      </c>
      <c r="B7" s="3245"/>
      <c r="C7" s="3245"/>
      <c r="D7" s="3247" t="str">
        <f>结果表!D121</f>
        <v>零元整</v>
      </c>
      <c r="E7" s="3248"/>
      <c r="F7" s="3248"/>
      <c r="G7" s="3248"/>
      <c r="H7" s="3248"/>
      <c r="I7" s="3249"/>
    </row>
    <row r="8" spans="1:9" ht="15.75">
      <c r="A8" s="3246" t="str">
        <f>结果表!A122</f>
        <v>房地产抵押价值</v>
      </c>
      <c r="B8" s="3246"/>
      <c r="C8" s="3246"/>
      <c r="D8" s="3246" t="e">
        <f ca="1">结果表!D122</f>
        <v>#REF!</v>
      </c>
      <c r="E8" s="3246"/>
      <c r="F8" s="3246"/>
      <c r="G8" s="3246"/>
      <c r="H8" s="3246"/>
      <c r="I8" s="3246"/>
    </row>
    <row r="9" spans="1:9" ht="15">
      <c r="A9" s="3245" t="s">
        <v>927</v>
      </c>
      <c r="B9" s="3245"/>
      <c r="C9" s="3245"/>
      <c r="D9" s="3245" t="e">
        <f ca="1">结果表!D123</f>
        <v>#REF!</v>
      </c>
      <c r="E9" s="3245"/>
      <c r="F9" s="3245"/>
      <c r="G9" s="3245"/>
      <c r="H9" s="3245"/>
      <c r="I9" s="3245"/>
    </row>
    <row r="10" spans="1:9" ht="15.75">
      <c r="A10" s="3246" t="str">
        <f>结果表!A124</f>
        <v/>
      </c>
      <c r="B10" s="3246"/>
      <c r="C10" s="3246"/>
      <c r="D10" s="3246" t="str">
        <f>结果表!D124</f>
        <v>——</v>
      </c>
      <c r="E10" s="3246"/>
      <c r="F10" s="3246"/>
      <c r="G10" s="3246"/>
      <c r="H10" s="3246"/>
      <c r="I10" s="3246"/>
    </row>
    <row r="11" spans="1:9" ht="15">
      <c r="A11" s="3245" t="s">
        <v>927</v>
      </c>
      <c r="B11" s="3245"/>
      <c r="C11" s="3245"/>
      <c r="D11" s="3245" t="e">
        <f>结果表!D125</f>
        <v>#VALUE!</v>
      </c>
      <c r="E11" s="3245"/>
      <c r="F11" s="3245"/>
      <c r="G11" s="3245"/>
      <c r="H11" s="3245"/>
      <c r="I11" s="3245"/>
    </row>
    <row r="12" spans="1:9" ht="15.75">
      <c r="A12" s="3246" t="str">
        <f>结果表!A126</f>
        <v/>
      </c>
      <c r="B12" s="3246"/>
      <c r="C12" s="3246"/>
      <c r="D12" s="3246" t="str">
        <f>结果表!D126</f>
        <v>——</v>
      </c>
      <c r="E12" s="3246"/>
      <c r="F12" s="3246"/>
      <c r="G12" s="3246"/>
      <c r="H12" s="3246"/>
      <c r="I12" s="3246"/>
    </row>
    <row r="13" spans="1:9" ht="15.75" thickBot="1">
      <c r="A13" s="3250" t="s">
        <v>927</v>
      </c>
      <c r="B13" s="3250"/>
      <c r="C13" s="3250"/>
      <c r="D13" s="3250" t="e">
        <f>结果表!D127</f>
        <v>#VALUE!</v>
      </c>
      <c r="E13" s="3250"/>
      <c r="F13" s="3250"/>
      <c r="G13" s="3250"/>
      <c r="H13" s="3250"/>
      <c r="I13" s="3250"/>
    </row>
    <row r="14" spans="1:9" ht="15" thickTop="1">
      <c r="A14" s="3251" t="s">
        <v>932</v>
      </c>
      <c r="B14" s="3251"/>
      <c r="C14" s="3251"/>
      <c r="D14" s="3251"/>
      <c r="E14" s="3251"/>
      <c r="F14" s="3251"/>
      <c r="G14" s="3251"/>
      <c r="H14" s="3251"/>
      <c r="I14" s="3251"/>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45986</v>
      </c>
      <c r="D1" s="1214" t="s">
        <v>603</v>
      </c>
      <c r="E1" s="1209">
        <f>'数据-取费表'!B22</f>
        <v>3</v>
      </c>
      <c r="F1" s="1214" t="s">
        <v>604</v>
      </c>
      <c r="G1" s="1210">
        <f ca="1">IF(OR(C1&lt;C27,E1&lt;=1),INDIRECT("d"&amp;$K$1)/100,ROUND((D5+(E1-C5)*(D7-D5)/(C7-C5))/100,4))</f>
        <v>3.2500000000000001E-2</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2297</v>
      </c>
      <c r="C27" s="1204">
        <v>43697</v>
      </c>
      <c r="D27" s="2572">
        <v>4.25</v>
      </c>
      <c r="E27" s="2572">
        <v>4.25</v>
      </c>
      <c r="F27" s="2572">
        <v>4.25</v>
      </c>
      <c r="G27" s="2572">
        <v>4.25</v>
      </c>
      <c r="H27" s="2572">
        <v>4.8499999999999996</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5"/>
      <c r="C28" s="2576">
        <v>42301</v>
      </c>
      <c r="D28" s="2577">
        <v>4.3499999999999996</v>
      </c>
      <c r="E28" s="2577">
        <v>4.3499999999999996</v>
      </c>
      <c r="F28" s="2577">
        <v>4.75</v>
      </c>
      <c r="G28" s="2577">
        <v>4.75</v>
      </c>
      <c r="H28" s="2577">
        <v>4.9000000000000004</v>
      </c>
      <c r="I28" s="2577"/>
      <c r="J28" s="2577"/>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2" t="s">
        <v>949</v>
      </c>
      <c r="B1" s="3252"/>
      <c r="C1" s="3252"/>
      <c r="D1" s="3252"/>
    </row>
    <row r="2" spans="1:4" ht="18">
      <c r="A2" s="3253" t="s">
        <v>933</v>
      </c>
      <c r="B2" s="3253"/>
      <c r="C2" s="3253"/>
      <c r="D2" s="3253"/>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53" t="s">
        <v>939</v>
      </c>
      <c r="B6" s="3253"/>
      <c r="C6" s="3253"/>
      <c r="D6" s="325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54" t="s">
        <v>942</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6"/>
      <c r="C12" s="3256"/>
      <c r="D12" s="3256"/>
    </row>
    <row r="13" spans="1:4" ht="30" customHeight="1">
      <c r="A13" s="3255" t="str">
        <f>IF(项目基本情况!B8="抵押","3.抵押双方在办理抵押登记手续时，应使用本公司出具的正式《房地产评估报告》，特提醒报告使用者注意。","——")</f>
        <v>——</v>
      </c>
      <c r="B13" s="3256"/>
      <c r="C13" s="3256"/>
      <c r="D13" s="3256"/>
    </row>
    <row r="14" spans="1:4" ht="15.75" customHeight="1">
      <c r="A14" s="3255" t="str">
        <f>IF(项目基本情况!B8="抵押","4.本次评估估价师所知悉的法定优先受偿款情况说明如下：","——")</f>
        <v>——</v>
      </c>
      <c r="B14" s="3256"/>
      <c r="C14" s="3256"/>
      <c r="D14" s="3256"/>
    </row>
    <row r="15" spans="1:4" ht="42" customHeight="1">
      <c r="A15" s="3255" t="str">
        <f>IF(项目基本情况!B8="抵押","（1）"&amp;CONCATENATE(项目基本情况!L20,项目基本情况!L21,项目基本情况!L22),"——")</f>
        <v>——</v>
      </c>
      <c r="B15" s="3255"/>
      <c r="C15" s="3255"/>
      <c r="D15" s="3255"/>
    </row>
    <row r="16" spans="1:4" ht="30" customHeight="1">
      <c r="A16" s="3258" t="s">
        <v>943</v>
      </c>
      <c r="B16" s="3258"/>
      <c r="C16" s="3258"/>
      <c r="D16" s="3258"/>
    </row>
    <row r="17" spans="1:4" ht="144" customHeight="1">
      <c r="A17" s="3258" t="s">
        <v>944</v>
      </c>
      <c r="B17" s="3258"/>
      <c r="C17" s="3258"/>
      <c r="D17" s="3258"/>
    </row>
    <row r="18" spans="1:4" ht="15.75" customHeight="1">
      <c r="A18" s="3255" t="str">
        <f>IF(项目基本情况!B8="抵押",结果表!K120,"——")</f>
        <v>——</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9"/>
      <c r="C21" s="3259"/>
      <c r="D21" s="3259"/>
    </row>
    <row r="22" spans="1:4" ht="18.75" customHeight="1">
      <c r="A22" s="3260" t="s">
        <v>945</v>
      </c>
      <c r="B22" s="3260"/>
      <c r="C22" s="3260"/>
      <c r="D22" s="3260"/>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57">
        <v>42551</v>
      </c>
      <c r="D31" s="32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31D47-2EF7-4A49-8FF1-C3E4E3255838}">
  <dimension ref="A1:M51"/>
  <sheetViews>
    <sheetView workbookViewId="0">
      <selection activeCell="B14" sqref="B14:H15"/>
    </sheetView>
  </sheetViews>
  <sheetFormatPr defaultRowHeight="12"/>
  <cols>
    <col min="1" max="1" width="4.75" style="3167" bestFit="1" customWidth="1"/>
    <col min="2" max="2" width="21.375" style="3167" bestFit="1" customWidth="1"/>
    <col min="3" max="3" width="11.375" style="3167" bestFit="1" customWidth="1"/>
    <col min="4" max="5" width="13.125" style="3167" bestFit="1" customWidth="1"/>
    <col min="6" max="6" width="29.25" style="3167" bestFit="1" customWidth="1"/>
    <col min="7" max="7" width="8" style="3167" bestFit="1" customWidth="1"/>
    <col min="8" max="8" width="9.375" style="3167" bestFit="1" customWidth="1"/>
    <col min="9" max="9" width="11" style="3167" customWidth="1"/>
    <col min="10" max="10" width="9" style="3167" bestFit="1" customWidth="1"/>
    <col min="11" max="12" width="7.125" style="3167" bestFit="1" customWidth="1"/>
    <col min="13" max="256" width="11" style="3167" customWidth="1"/>
    <col min="257" max="257" width="3.375" style="3167" customWidth="1"/>
    <col min="258" max="258" width="28.125" style="3167" customWidth="1"/>
    <col min="259" max="259" width="13" style="3167" bestFit="1" customWidth="1"/>
    <col min="260" max="261" width="19" style="3167" customWidth="1"/>
    <col min="262" max="262" width="33.875" style="3167" customWidth="1"/>
    <col min="263" max="512" width="11" style="3167" customWidth="1"/>
    <col min="513" max="513" width="3.375" style="3167" customWidth="1"/>
    <col min="514" max="514" width="28.125" style="3167" customWidth="1"/>
    <col min="515" max="515" width="13" style="3167" bestFit="1" customWidth="1"/>
    <col min="516" max="517" width="19" style="3167" customWidth="1"/>
    <col min="518" max="518" width="33.875" style="3167" customWidth="1"/>
    <col min="519" max="768" width="11" style="3167" customWidth="1"/>
    <col min="769" max="769" width="3.375" style="3167" customWidth="1"/>
    <col min="770" max="770" width="28.125" style="3167" customWidth="1"/>
    <col min="771" max="771" width="13" style="3167" bestFit="1" customWidth="1"/>
    <col min="772" max="773" width="19" style="3167" customWidth="1"/>
    <col min="774" max="774" width="33.875" style="3167" customWidth="1"/>
    <col min="775" max="1024" width="11" style="3167" customWidth="1"/>
    <col min="1025" max="1025" width="3.375" style="3167" customWidth="1"/>
    <col min="1026" max="1026" width="28.125" style="3167" customWidth="1"/>
    <col min="1027" max="1027" width="13" style="3167" bestFit="1" customWidth="1"/>
    <col min="1028" max="1029" width="19" style="3167" customWidth="1"/>
    <col min="1030" max="1030" width="33.875" style="3167" customWidth="1"/>
    <col min="1031" max="1280" width="11" style="3167" customWidth="1"/>
    <col min="1281" max="1281" width="3.375" style="3167" customWidth="1"/>
    <col min="1282" max="1282" width="28.125" style="3167" customWidth="1"/>
    <col min="1283" max="1283" width="13" style="3167" bestFit="1" customWidth="1"/>
    <col min="1284" max="1285" width="19" style="3167" customWidth="1"/>
    <col min="1286" max="1286" width="33.875" style="3167" customWidth="1"/>
    <col min="1287" max="1536" width="11" style="3167" customWidth="1"/>
    <col min="1537" max="1537" width="3.375" style="3167" customWidth="1"/>
    <col min="1538" max="1538" width="28.125" style="3167" customWidth="1"/>
    <col min="1539" max="1539" width="13" style="3167" bestFit="1" customWidth="1"/>
    <col min="1540" max="1541" width="19" style="3167" customWidth="1"/>
    <col min="1542" max="1542" width="33.875" style="3167" customWidth="1"/>
    <col min="1543" max="1792" width="11" style="3167" customWidth="1"/>
    <col min="1793" max="1793" width="3.375" style="3167" customWidth="1"/>
    <col min="1794" max="1794" width="28.125" style="3167" customWidth="1"/>
    <col min="1795" max="1795" width="13" style="3167" bestFit="1" customWidth="1"/>
    <col min="1796" max="1797" width="19" style="3167" customWidth="1"/>
    <col min="1798" max="1798" width="33.875" style="3167" customWidth="1"/>
    <col min="1799" max="2048" width="11" style="3167" customWidth="1"/>
    <col min="2049" max="2049" width="3.375" style="3167" customWidth="1"/>
    <col min="2050" max="2050" width="28.125" style="3167" customWidth="1"/>
    <col min="2051" max="2051" width="13" style="3167" bestFit="1" customWidth="1"/>
    <col min="2052" max="2053" width="19" style="3167" customWidth="1"/>
    <col min="2054" max="2054" width="33.875" style="3167" customWidth="1"/>
    <col min="2055" max="2304" width="11" style="3167" customWidth="1"/>
    <col min="2305" max="2305" width="3.375" style="3167" customWidth="1"/>
    <col min="2306" max="2306" width="28.125" style="3167" customWidth="1"/>
    <col min="2307" max="2307" width="13" style="3167" bestFit="1" customWidth="1"/>
    <col min="2308" max="2309" width="19" style="3167" customWidth="1"/>
    <col min="2310" max="2310" width="33.875" style="3167" customWidth="1"/>
    <col min="2311" max="2560" width="11" style="3167" customWidth="1"/>
    <col min="2561" max="2561" width="3.375" style="3167" customWidth="1"/>
    <col min="2562" max="2562" width="28.125" style="3167" customWidth="1"/>
    <col min="2563" max="2563" width="13" style="3167" bestFit="1" customWidth="1"/>
    <col min="2564" max="2565" width="19" style="3167" customWidth="1"/>
    <col min="2566" max="2566" width="33.875" style="3167" customWidth="1"/>
    <col min="2567" max="2816" width="11" style="3167" customWidth="1"/>
    <col min="2817" max="2817" width="3.375" style="3167" customWidth="1"/>
    <col min="2818" max="2818" width="28.125" style="3167" customWidth="1"/>
    <col min="2819" max="2819" width="13" style="3167" bestFit="1" customWidth="1"/>
    <col min="2820" max="2821" width="19" style="3167" customWidth="1"/>
    <col min="2822" max="2822" width="33.875" style="3167" customWidth="1"/>
    <col min="2823" max="3072" width="11" style="3167" customWidth="1"/>
    <col min="3073" max="3073" width="3.375" style="3167" customWidth="1"/>
    <col min="3074" max="3074" width="28.125" style="3167" customWidth="1"/>
    <col min="3075" max="3075" width="13" style="3167" bestFit="1" customWidth="1"/>
    <col min="3076" max="3077" width="19" style="3167" customWidth="1"/>
    <col min="3078" max="3078" width="33.875" style="3167" customWidth="1"/>
    <col min="3079" max="3328" width="11" style="3167" customWidth="1"/>
    <col min="3329" max="3329" width="3.375" style="3167" customWidth="1"/>
    <col min="3330" max="3330" width="28.125" style="3167" customWidth="1"/>
    <col min="3331" max="3331" width="13" style="3167" bestFit="1" customWidth="1"/>
    <col min="3332" max="3333" width="19" style="3167" customWidth="1"/>
    <col min="3334" max="3334" width="33.875" style="3167" customWidth="1"/>
    <col min="3335" max="3584" width="11" style="3167" customWidth="1"/>
    <col min="3585" max="3585" width="3.375" style="3167" customWidth="1"/>
    <col min="3586" max="3586" width="28.125" style="3167" customWidth="1"/>
    <col min="3587" max="3587" width="13" style="3167" bestFit="1" customWidth="1"/>
    <col min="3588" max="3589" width="19" style="3167" customWidth="1"/>
    <col min="3590" max="3590" width="33.875" style="3167" customWidth="1"/>
    <col min="3591" max="3840" width="11" style="3167" customWidth="1"/>
    <col min="3841" max="3841" width="3.375" style="3167" customWidth="1"/>
    <col min="3842" max="3842" width="28.125" style="3167" customWidth="1"/>
    <col min="3843" max="3843" width="13" style="3167" bestFit="1" customWidth="1"/>
    <col min="3844" max="3845" width="19" style="3167" customWidth="1"/>
    <col min="3846" max="3846" width="33.875" style="3167" customWidth="1"/>
    <col min="3847" max="4096" width="11" style="3167" customWidth="1"/>
    <col min="4097" max="4097" width="3.375" style="3167" customWidth="1"/>
    <col min="4098" max="4098" width="28.125" style="3167" customWidth="1"/>
    <col min="4099" max="4099" width="13" style="3167" bestFit="1" customWidth="1"/>
    <col min="4100" max="4101" width="19" style="3167" customWidth="1"/>
    <col min="4102" max="4102" width="33.875" style="3167" customWidth="1"/>
    <col min="4103" max="4352" width="11" style="3167" customWidth="1"/>
    <col min="4353" max="4353" width="3.375" style="3167" customWidth="1"/>
    <col min="4354" max="4354" width="28.125" style="3167" customWidth="1"/>
    <col min="4355" max="4355" width="13" style="3167" bestFit="1" customWidth="1"/>
    <col min="4356" max="4357" width="19" style="3167" customWidth="1"/>
    <col min="4358" max="4358" width="33.875" style="3167" customWidth="1"/>
    <col min="4359" max="4608" width="11" style="3167" customWidth="1"/>
    <col min="4609" max="4609" width="3.375" style="3167" customWidth="1"/>
    <col min="4610" max="4610" width="28.125" style="3167" customWidth="1"/>
    <col min="4611" max="4611" width="13" style="3167" bestFit="1" customWidth="1"/>
    <col min="4612" max="4613" width="19" style="3167" customWidth="1"/>
    <col min="4614" max="4614" width="33.875" style="3167" customWidth="1"/>
    <col min="4615" max="4864" width="11" style="3167" customWidth="1"/>
    <col min="4865" max="4865" width="3.375" style="3167" customWidth="1"/>
    <col min="4866" max="4866" width="28.125" style="3167" customWidth="1"/>
    <col min="4867" max="4867" width="13" style="3167" bestFit="1" customWidth="1"/>
    <col min="4868" max="4869" width="19" style="3167" customWidth="1"/>
    <col min="4870" max="4870" width="33.875" style="3167" customWidth="1"/>
    <col min="4871" max="5120" width="11" style="3167" customWidth="1"/>
    <col min="5121" max="5121" width="3.375" style="3167" customWidth="1"/>
    <col min="5122" max="5122" width="28.125" style="3167" customWidth="1"/>
    <col min="5123" max="5123" width="13" style="3167" bestFit="1" customWidth="1"/>
    <col min="5124" max="5125" width="19" style="3167" customWidth="1"/>
    <col min="5126" max="5126" width="33.875" style="3167" customWidth="1"/>
    <col min="5127" max="5376" width="11" style="3167" customWidth="1"/>
    <col min="5377" max="5377" width="3.375" style="3167" customWidth="1"/>
    <col min="5378" max="5378" width="28.125" style="3167" customWidth="1"/>
    <col min="5379" max="5379" width="13" style="3167" bestFit="1" customWidth="1"/>
    <col min="5380" max="5381" width="19" style="3167" customWidth="1"/>
    <col min="5382" max="5382" width="33.875" style="3167" customWidth="1"/>
    <col min="5383" max="5632" width="11" style="3167" customWidth="1"/>
    <col min="5633" max="5633" width="3.375" style="3167" customWidth="1"/>
    <col min="5634" max="5634" width="28.125" style="3167" customWidth="1"/>
    <col min="5635" max="5635" width="13" style="3167" bestFit="1" customWidth="1"/>
    <col min="5636" max="5637" width="19" style="3167" customWidth="1"/>
    <col min="5638" max="5638" width="33.875" style="3167" customWidth="1"/>
    <col min="5639" max="5888" width="11" style="3167" customWidth="1"/>
    <col min="5889" max="5889" width="3.375" style="3167" customWidth="1"/>
    <col min="5890" max="5890" width="28.125" style="3167" customWidth="1"/>
    <col min="5891" max="5891" width="13" style="3167" bestFit="1" customWidth="1"/>
    <col min="5892" max="5893" width="19" style="3167" customWidth="1"/>
    <col min="5894" max="5894" width="33.875" style="3167" customWidth="1"/>
    <col min="5895" max="6144" width="11" style="3167" customWidth="1"/>
    <col min="6145" max="6145" width="3.375" style="3167" customWidth="1"/>
    <col min="6146" max="6146" width="28.125" style="3167" customWidth="1"/>
    <col min="6147" max="6147" width="13" style="3167" bestFit="1" customWidth="1"/>
    <col min="6148" max="6149" width="19" style="3167" customWidth="1"/>
    <col min="6150" max="6150" width="33.875" style="3167" customWidth="1"/>
    <col min="6151" max="6400" width="11" style="3167" customWidth="1"/>
    <col min="6401" max="6401" width="3.375" style="3167" customWidth="1"/>
    <col min="6402" max="6402" width="28.125" style="3167" customWidth="1"/>
    <col min="6403" max="6403" width="13" style="3167" bestFit="1" customWidth="1"/>
    <col min="6404" max="6405" width="19" style="3167" customWidth="1"/>
    <col min="6406" max="6406" width="33.875" style="3167" customWidth="1"/>
    <col min="6407" max="6656" width="11" style="3167" customWidth="1"/>
    <col min="6657" max="6657" width="3.375" style="3167" customWidth="1"/>
    <col min="6658" max="6658" width="28.125" style="3167" customWidth="1"/>
    <col min="6659" max="6659" width="13" style="3167" bestFit="1" customWidth="1"/>
    <col min="6660" max="6661" width="19" style="3167" customWidth="1"/>
    <col min="6662" max="6662" width="33.875" style="3167" customWidth="1"/>
    <col min="6663" max="6912" width="11" style="3167" customWidth="1"/>
    <col min="6913" max="6913" width="3.375" style="3167" customWidth="1"/>
    <col min="6914" max="6914" width="28.125" style="3167" customWidth="1"/>
    <col min="6915" max="6915" width="13" style="3167" bestFit="1" customWidth="1"/>
    <col min="6916" max="6917" width="19" style="3167" customWidth="1"/>
    <col min="6918" max="6918" width="33.875" style="3167" customWidth="1"/>
    <col min="6919" max="7168" width="11" style="3167" customWidth="1"/>
    <col min="7169" max="7169" width="3.375" style="3167" customWidth="1"/>
    <col min="7170" max="7170" width="28.125" style="3167" customWidth="1"/>
    <col min="7171" max="7171" width="13" style="3167" bestFit="1" customWidth="1"/>
    <col min="7172" max="7173" width="19" style="3167" customWidth="1"/>
    <col min="7174" max="7174" width="33.875" style="3167" customWidth="1"/>
    <col min="7175" max="7424" width="11" style="3167" customWidth="1"/>
    <col min="7425" max="7425" width="3.375" style="3167" customWidth="1"/>
    <col min="7426" max="7426" width="28.125" style="3167" customWidth="1"/>
    <col min="7427" max="7427" width="13" style="3167" bestFit="1" customWidth="1"/>
    <col min="7428" max="7429" width="19" style="3167" customWidth="1"/>
    <col min="7430" max="7430" width="33.875" style="3167" customWidth="1"/>
    <col min="7431" max="7680" width="11" style="3167" customWidth="1"/>
    <col min="7681" max="7681" width="3.375" style="3167" customWidth="1"/>
    <col min="7682" max="7682" width="28.125" style="3167" customWidth="1"/>
    <col min="7683" max="7683" width="13" style="3167" bestFit="1" customWidth="1"/>
    <col min="7684" max="7685" width="19" style="3167" customWidth="1"/>
    <col min="7686" max="7686" width="33.875" style="3167" customWidth="1"/>
    <col min="7687" max="7936" width="11" style="3167" customWidth="1"/>
    <col min="7937" max="7937" width="3.375" style="3167" customWidth="1"/>
    <col min="7938" max="7938" width="28.125" style="3167" customWidth="1"/>
    <col min="7939" max="7939" width="13" style="3167" bestFit="1" customWidth="1"/>
    <col min="7940" max="7941" width="19" style="3167" customWidth="1"/>
    <col min="7942" max="7942" width="33.875" style="3167" customWidth="1"/>
    <col min="7943" max="8192" width="11" style="3167" customWidth="1"/>
    <col min="8193" max="8193" width="3.375" style="3167" customWidth="1"/>
    <col min="8194" max="8194" width="28.125" style="3167" customWidth="1"/>
    <col min="8195" max="8195" width="13" style="3167" bestFit="1" customWidth="1"/>
    <col min="8196" max="8197" width="19" style="3167" customWidth="1"/>
    <col min="8198" max="8198" width="33.875" style="3167" customWidth="1"/>
    <col min="8199" max="8448" width="11" style="3167" customWidth="1"/>
    <col min="8449" max="8449" width="3.375" style="3167" customWidth="1"/>
    <col min="8450" max="8450" width="28.125" style="3167" customWidth="1"/>
    <col min="8451" max="8451" width="13" style="3167" bestFit="1" customWidth="1"/>
    <col min="8452" max="8453" width="19" style="3167" customWidth="1"/>
    <col min="8454" max="8454" width="33.875" style="3167" customWidth="1"/>
    <col min="8455" max="8704" width="11" style="3167" customWidth="1"/>
    <col min="8705" max="8705" width="3.375" style="3167" customWidth="1"/>
    <col min="8706" max="8706" width="28.125" style="3167" customWidth="1"/>
    <col min="8707" max="8707" width="13" style="3167" bestFit="1" customWidth="1"/>
    <col min="8708" max="8709" width="19" style="3167" customWidth="1"/>
    <col min="8710" max="8710" width="33.875" style="3167" customWidth="1"/>
    <col min="8711" max="8960" width="11" style="3167" customWidth="1"/>
    <col min="8961" max="8961" width="3.375" style="3167" customWidth="1"/>
    <col min="8962" max="8962" width="28.125" style="3167" customWidth="1"/>
    <col min="8963" max="8963" width="13" style="3167" bestFit="1" customWidth="1"/>
    <col min="8964" max="8965" width="19" style="3167" customWidth="1"/>
    <col min="8966" max="8966" width="33.875" style="3167" customWidth="1"/>
    <col min="8967" max="9216" width="11" style="3167" customWidth="1"/>
    <col min="9217" max="9217" width="3.375" style="3167" customWidth="1"/>
    <col min="9218" max="9218" width="28.125" style="3167" customWidth="1"/>
    <col min="9219" max="9219" width="13" style="3167" bestFit="1" customWidth="1"/>
    <col min="9220" max="9221" width="19" style="3167" customWidth="1"/>
    <col min="9222" max="9222" width="33.875" style="3167" customWidth="1"/>
    <col min="9223" max="9472" width="11" style="3167" customWidth="1"/>
    <col min="9473" max="9473" width="3.375" style="3167" customWidth="1"/>
    <col min="9474" max="9474" width="28.125" style="3167" customWidth="1"/>
    <col min="9475" max="9475" width="13" style="3167" bestFit="1" customWidth="1"/>
    <col min="9476" max="9477" width="19" style="3167" customWidth="1"/>
    <col min="9478" max="9478" width="33.875" style="3167" customWidth="1"/>
    <col min="9479" max="9728" width="11" style="3167" customWidth="1"/>
    <col min="9729" max="9729" width="3.375" style="3167" customWidth="1"/>
    <col min="9730" max="9730" width="28.125" style="3167" customWidth="1"/>
    <col min="9731" max="9731" width="13" style="3167" bestFit="1" customWidth="1"/>
    <col min="9732" max="9733" width="19" style="3167" customWidth="1"/>
    <col min="9734" max="9734" width="33.875" style="3167" customWidth="1"/>
    <col min="9735" max="9984" width="11" style="3167" customWidth="1"/>
    <col min="9985" max="9985" width="3.375" style="3167" customWidth="1"/>
    <col min="9986" max="9986" width="28.125" style="3167" customWidth="1"/>
    <col min="9987" max="9987" width="13" style="3167" bestFit="1" customWidth="1"/>
    <col min="9988" max="9989" width="19" style="3167" customWidth="1"/>
    <col min="9990" max="9990" width="33.875" style="3167" customWidth="1"/>
    <col min="9991" max="10240" width="11" style="3167" customWidth="1"/>
    <col min="10241" max="10241" width="3.375" style="3167" customWidth="1"/>
    <col min="10242" max="10242" width="28.125" style="3167" customWidth="1"/>
    <col min="10243" max="10243" width="13" style="3167" bestFit="1" customWidth="1"/>
    <col min="10244" max="10245" width="19" style="3167" customWidth="1"/>
    <col min="10246" max="10246" width="33.875" style="3167" customWidth="1"/>
    <col min="10247" max="10496" width="11" style="3167" customWidth="1"/>
    <col min="10497" max="10497" width="3.375" style="3167" customWidth="1"/>
    <col min="10498" max="10498" width="28.125" style="3167" customWidth="1"/>
    <col min="10499" max="10499" width="13" style="3167" bestFit="1" customWidth="1"/>
    <col min="10500" max="10501" width="19" style="3167" customWidth="1"/>
    <col min="10502" max="10502" width="33.875" style="3167" customWidth="1"/>
    <col min="10503" max="10752" width="11" style="3167" customWidth="1"/>
    <col min="10753" max="10753" width="3.375" style="3167" customWidth="1"/>
    <col min="10754" max="10754" width="28.125" style="3167" customWidth="1"/>
    <col min="10755" max="10755" width="13" style="3167" bestFit="1" customWidth="1"/>
    <col min="10756" max="10757" width="19" style="3167" customWidth="1"/>
    <col min="10758" max="10758" width="33.875" style="3167" customWidth="1"/>
    <col min="10759" max="11008" width="11" style="3167" customWidth="1"/>
    <col min="11009" max="11009" width="3.375" style="3167" customWidth="1"/>
    <col min="11010" max="11010" width="28.125" style="3167" customWidth="1"/>
    <col min="11011" max="11011" width="13" style="3167" bestFit="1" customWidth="1"/>
    <col min="11012" max="11013" width="19" style="3167" customWidth="1"/>
    <col min="11014" max="11014" width="33.875" style="3167" customWidth="1"/>
    <col min="11015" max="11264" width="11" style="3167" customWidth="1"/>
    <col min="11265" max="11265" width="3.375" style="3167" customWidth="1"/>
    <col min="11266" max="11266" width="28.125" style="3167" customWidth="1"/>
    <col min="11267" max="11267" width="13" style="3167" bestFit="1" customWidth="1"/>
    <col min="11268" max="11269" width="19" style="3167" customWidth="1"/>
    <col min="11270" max="11270" width="33.875" style="3167" customWidth="1"/>
    <col min="11271" max="11520" width="11" style="3167" customWidth="1"/>
    <col min="11521" max="11521" width="3.375" style="3167" customWidth="1"/>
    <col min="11522" max="11522" width="28.125" style="3167" customWidth="1"/>
    <col min="11523" max="11523" width="13" style="3167" bestFit="1" customWidth="1"/>
    <col min="11524" max="11525" width="19" style="3167" customWidth="1"/>
    <col min="11526" max="11526" width="33.875" style="3167" customWidth="1"/>
    <col min="11527" max="11776" width="11" style="3167" customWidth="1"/>
    <col min="11777" max="11777" width="3.375" style="3167" customWidth="1"/>
    <col min="11778" max="11778" width="28.125" style="3167" customWidth="1"/>
    <col min="11779" max="11779" width="13" style="3167" bestFit="1" customWidth="1"/>
    <col min="11780" max="11781" width="19" style="3167" customWidth="1"/>
    <col min="11782" max="11782" width="33.875" style="3167" customWidth="1"/>
    <col min="11783" max="12032" width="11" style="3167" customWidth="1"/>
    <col min="12033" max="12033" width="3.375" style="3167" customWidth="1"/>
    <col min="12034" max="12034" width="28.125" style="3167" customWidth="1"/>
    <col min="12035" max="12035" width="13" style="3167" bestFit="1" customWidth="1"/>
    <col min="12036" max="12037" width="19" style="3167" customWidth="1"/>
    <col min="12038" max="12038" width="33.875" style="3167" customWidth="1"/>
    <col min="12039" max="12288" width="11" style="3167" customWidth="1"/>
    <col min="12289" max="12289" width="3.375" style="3167" customWidth="1"/>
    <col min="12290" max="12290" width="28.125" style="3167" customWidth="1"/>
    <col min="12291" max="12291" width="13" style="3167" bestFit="1" customWidth="1"/>
    <col min="12292" max="12293" width="19" style="3167" customWidth="1"/>
    <col min="12294" max="12294" width="33.875" style="3167" customWidth="1"/>
    <col min="12295" max="12544" width="11" style="3167" customWidth="1"/>
    <col min="12545" max="12545" width="3.375" style="3167" customWidth="1"/>
    <col min="12546" max="12546" width="28.125" style="3167" customWidth="1"/>
    <col min="12547" max="12547" width="13" style="3167" bestFit="1" customWidth="1"/>
    <col min="12548" max="12549" width="19" style="3167" customWidth="1"/>
    <col min="12550" max="12550" width="33.875" style="3167" customWidth="1"/>
    <col min="12551" max="12800" width="11" style="3167" customWidth="1"/>
    <col min="12801" max="12801" width="3.375" style="3167" customWidth="1"/>
    <col min="12802" max="12802" width="28.125" style="3167" customWidth="1"/>
    <col min="12803" max="12803" width="13" style="3167" bestFit="1" customWidth="1"/>
    <col min="12804" max="12805" width="19" style="3167" customWidth="1"/>
    <col min="12806" max="12806" width="33.875" style="3167" customWidth="1"/>
    <col min="12807" max="13056" width="11" style="3167" customWidth="1"/>
    <col min="13057" max="13057" width="3.375" style="3167" customWidth="1"/>
    <col min="13058" max="13058" width="28.125" style="3167" customWidth="1"/>
    <col min="13059" max="13059" width="13" style="3167" bestFit="1" customWidth="1"/>
    <col min="13060" max="13061" width="19" style="3167" customWidth="1"/>
    <col min="13062" max="13062" width="33.875" style="3167" customWidth="1"/>
    <col min="13063" max="13312" width="11" style="3167" customWidth="1"/>
    <col min="13313" max="13313" width="3.375" style="3167" customWidth="1"/>
    <col min="13314" max="13314" width="28.125" style="3167" customWidth="1"/>
    <col min="13315" max="13315" width="13" style="3167" bestFit="1" customWidth="1"/>
    <col min="13316" max="13317" width="19" style="3167" customWidth="1"/>
    <col min="13318" max="13318" width="33.875" style="3167" customWidth="1"/>
    <col min="13319" max="13568" width="11" style="3167" customWidth="1"/>
    <col min="13569" max="13569" width="3.375" style="3167" customWidth="1"/>
    <col min="13570" max="13570" width="28.125" style="3167" customWidth="1"/>
    <col min="13571" max="13571" width="13" style="3167" bestFit="1" customWidth="1"/>
    <col min="13572" max="13573" width="19" style="3167" customWidth="1"/>
    <col min="13574" max="13574" width="33.875" style="3167" customWidth="1"/>
    <col min="13575" max="13824" width="11" style="3167" customWidth="1"/>
    <col min="13825" max="13825" width="3.375" style="3167" customWidth="1"/>
    <col min="13826" max="13826" width="28.125" style="3167" customWidth="1"/>
    <col min="13827" max="13827" width="13" style="3167" bestFit="1" customWidth="1"/>
    <col min="13828" max="13829" width="19" style="3167" customWidth="1"/>
    <col min="13830" max="13830" width="33.875" style="3167" customWidth="1"/>
    <col min="13831" max="14080" width="11" style="3167" customWidth="1"/>
    <col min="14081" max="14081" width="3.375" style="3167" customWidth="1"/>
    <col min="14082" max="14082" width="28.125" style="3167" customWidth="1"/>
    <col min="14083" max="14083" width="13" style="3167" bestFit="1" customWidth="1"/>
    <col min="14084" max="14085" width="19" style="3167" customWidth="1"/>
    <col min="14086" max="14086" width="33.875" style="3167" customWidth="1"/>
    <col min="14087" max="14336" width="11" style="3167" customWidth="1"/>
    <col min="14337" max="14337" width="3.375" style="3167" customWidth="1"/>
    <col min="14338" max="14338" width="28.125" style="3167" customWidth="1"/>
    <col min="14339" max="14339" width="13" style="3167" bestFit="1" customWidth="1"/>
    <col min="14340" max="14341" width="19" style="3167" customWidth="1"/>
    <col min="14342" max="14342" width="33.875" style="3167" customWidth="1"/>
    <col min="14343" max="14592" width="11" style="3167" customWidth="1"/>
    <col min="14593" max="14593" width="3.375" style="3167" customWidth="1"/>
    <col min="14594" max="14594" width="28.125" style="3167" customWidth="1"/>
    <col min="14595" max="14595" width="13" style="3167" bestFit="1" customWidth="1"/>
    <col min="14596" max="14597" width="19" style="3167" customWidth="1"/>
    <col min="14598" max="14598" width="33.875" style="3167" customWidth="1"/>
    <col min="14599" max="14848" width="11" style="3167" customWidth="1"/>
    <col min="14849" max="14849" width="3.375" style="3167" customWidth="1"/>
    <col min="14850" max="14850" width="28.125" style="3167" customWidth="1"/>
    <col min="14851" max="14851" width="13" style="3167" bestFit="1" customWidth="1"/>
    <col min="14852" max="14853" width="19" style="3167" customWidth="1"/>
    <col min="14854" max="14854" width="33.875" style="3167" customWidth="1"/>
    <col min="14855" max="15104" width="11" style="3167" customWidth="1"/>
    <col min="15105" max="15105" width="3.375" style="3167" customWidth="1"/>
    <col min="15106" max="15106" width="28.125" style="3167" customWidth="1"/>
    <col min="15107" max="15107" width="13" style="3167" bestFit="1" customWidth="1"/>
    <col min="15108" max="15109" width="19" style="3167" customWidth="1"/>
    <col min="15110" max="15110" width="33.875" style="3167" customWidth="1"/>
    <col min="15111" max="15360" width="11" style="3167" customWidth="1"/>
    <col min="15361" max="15361" width="3.375" style="3167" customWidth="1"/>
    <col min="15362" max="15362" width="28.125" style="3167" customWidth="1"/>
    <col min="15363" max="15363" width="13" style="3167" bestFit="1" customWidth="1"/>
    <col min="15364" max="15365" width="19" style="3167" customWidth="1"/>
    <col min="15366" max="15366" width="33.875" style="3167" customWidth="1"/>
    <col min="15367" max="15616" width="11" style="3167" customWidth="1"/>
    <col min="15617" max="15617" width="3.375" style="3167" customWidth="1"/>
    <col min="15618" max="15618" width="28.125" style="3167" customWidth="1"/>
    <col min="15619" max="15619" width="13" style="3167" bestFit="1" customWidth="1"/>
    <col min="15620" max="15621" width="19" style="3167" customWidth="1"/>
    <col min="15622" max="15622" width="33.875" style="3167" customWidth="1"/>
    <col min="15623" max="15872" width="11" style="3167" customWidth="1"/>
    <col min="15873" max="15873" width="3.375" style="3167" customWidth="1"/>
    <col min="15874" max="15874" width="28.125" style="3167" customWidth="1"/>
    <col min="15875" max="15875" width="13" style="3167" bestFit="1" customWidth="1"/>
    <col min="15876" max="15877" width="19" style="3167" customWidth="1"/>
    <col min="15878" max="15878" width="33.875" style="3167" customWidth="1"/>
    <col min="15879" max="16128" width="11" style="3167" customWidth="1"/>
    <col min="16129" max="16129" width="3.375" style="3167" customWidth="1"/>
    <col min="16130" max="16130" width="28.125" style="3167" customWidth="1"/>
    <col min="16131" max="16131" width="13" style="3167" bestFit="1" customWidth="1"/>
    <col min="16132" max="16133" width="19" style="3167" customWidth="1"/>
    <col min="16134" max="16134" width="33.875" style="3167" customWidth="1"/>
    <col min="16135" max="16384" width="11" style="3167" customWidth="1"/>
  </cols>
  <sheetData>
    <row r="1" spans="1:13">
      <c r="A1" s="3266" t="s">
        <v>3405</v>
      </c>
      <c r="B1" s="3266"/>
      <c r="C1" s="3266"/>
      <c r="D1" s="3266"/>
      <c r="E1" s="3266"/>
      <c r="F1" s="3267"/>
    </row>
    <row r="2" spans="1:13">
      <c r="A2" s="3268" t="s">
        <v>3406</v>
      </c>
      <c r="B2" s="3268"/>
      <c r="C2" s="3268"/>
      <c r="D2" s="3268"/>
      <c r="E2" s="3268"/>
      <c r="F2" s="3269"/>
      <c r="J2" s="3169" t="s">
        <v>3407</v>
      </c>
    </row>
    <row r="3" spans="1:13" ht="24">
      <c r="A3" s="3169" t="s">
        <v>3408</v>
      </c>
      <c r="B3" s="3169" t="s">
        <v>3409</v>
      </c>
      <c r="C3" s="3170" t="s">
        <v>3410</v>
      </c>
      <c r="D3" s="3170" t="s">
        <v>3411</v>
      </c>
      <c r="E3" s="3169" t="s">
        <v>3412</v>
      </c>
      <c r="F3" s="3169" t="s">
        <v>3413</v>
      </c>
      <c r="G3" s="3169" t="s">
        <v>3414</v>
      </c>
      <c r="H3" s="3169" t="s">
        <v>3415</v>
      </c>
      <c r="J3" s="3171" t="s">
        <v>3416</v>
      </c>
      <c r="K3" s="3171" t="s">
        <v>3417</v>
      </c>
      <c r="L3" s="3171" t="s">
        <v>3418</v>
      </c>
      <c r="M3" s="3171" t="s">
        <v>3376</v>
      </c>
    </row>
    <row r="4" spans="1:13">
      <c r="A4" s="3169">
        <v>1</v>
      </c>
      <c r="B4" s="3169" t="s">
        <v>3419</v>
      </c>
      <c r="C4" s="3169">
        <f>D4+E4</f>
        <v>1908.63</v>
      </c>
      <c r="D4" s="3169">
        <v>1118.68</v>
      </c>
      <c r="E4" s="3169">
        <v>789.95</v>
      </c>
      <c r="F4" s="3169" t="s">
        <v>3420</v>
      </c>
      <c r="G4" s="3169">
        <f>E39</f>
        <v>10000</v>
      </c>
      <c r="H4" s="3169">
        <f>ROUND(G4*C4/10000,0)</f>
        <v>1909</v>
      </c>
      <c r="J4" s="3169">
        <f t="shared" ref="J4:J17" si="0">ROUND($J$25*C4/($C$24-$C$18-$C$23),0)</f>
        <v>2924</v>
      </c>
      <c r="K4" s="3169">
        <f t="shared" ref="K4:K17" si="1">ROUND($K$25*H4/($H$24-$H$18-$H$23),0)</f>
        <v>2515</v>
      </c>
      <c r="L4" s="3169">
        <f>J4+K4</f>
        <v>5439</v>
      </c>
      <c r="M4" s="3169">
        <f>ROUND(L4/C4*10000,0)</f>
        <v>28497</v>
      </c>
    </row>
    <row r="5" spans="1:13" ht="12" customHeight="1">
      <c r="A5" s="3169">
        <v>2</v>
      </c>
      <c r="B5" s="3169" t="s">
        <v>3421</v>
      </c>
      <c r="C5" s="3169">
        <f t="shared" ref="C5:C23" si="2">D5+E5</f>
        <v>1232.79</v>
      </c>
      <c r="D5" s="3169">
        <v>742.75</v>
      </c>
      <c r="E5" s="3169">
        <v>490.04</v>
      </c>
      <c r="F5" s="3169" t="s">
        <v>3422</v>
      </c>
      <c r="G5" s="3169">
        <f>G4</f>
        <v>10000</v>
      </c>
      <c r="H5" s="3169">
        <f t="shared" ref="H5:H23" si="3">ROUND(G5*C5/10000,0)</f>
        <v>1233</v>
      </c>
      <c r="J5" s="3169">
        <f t="shared" si="0"/>
        <v>1889</v>
      </c>
      <c r="K5" s="3169">
        <f t="shared" si="1"/>
        <v>1624</v>
      </c>
      <c r="L5" s="3169">
        <f t="shared" ref="L5:L23" si="4">J5+K5</f>
        <v>3513</v>
      </c>
      <c r="M5" s="3169">
        <f t="shared" ref="M5:M23" si="5">ROUND(L5/C5*10000,0)</f>
        <v>28496</v>
      </c>
    </row>
    <row r="6" spans="1:13" ht="12" customHeight="1">
      <c r="A6" s="3169">
        <v>3</v>
      </c>
      <c r="B6" s="3169" t="s">
        <v>3423</v>
      </c>
      <c r="C6" s="3169">
        <f t="shared" si="2"/>
        <v>1231.76</v>
      </c>
      <c r="D6" s="3169">
        <v>742.75</v>
      </c>
      <c r="E6" s="3169">
        <v>489.01</v>
      </c>
      <c r="F6" s="3169" t="s">
        <v>3424</v>
      </c>
      <c r="G6" s="3169">
        <f t="shared" ref="G6:G20" si="6">G5</f>
        <v>10000</v>
      </c>
      <c r="H6" s="3169">
        <f t="shared" si="3"/>
        <v>1232</v>
      </c>
      <c r="J6" s="3169">
        <f t="shared" si="0"/>
        <v>1887</v>
      </c>
      <c r="K6" s="3169">
        <f t="shared" si="1"/>
        <v>1623</v>
      </c>
      <c r="L6" s="3169">
        <f t="shared" si="4"/>
        <v>3510</v>
      </c>
      <c r="M6" s="3169">
        <f t="shared" si="5"/>
        <v>28496</v>
      </c>
    </row>
    <row r="7" spans="1:13" ht="13.5" customHeight="1">
      <c r="A7" s="3169">
        <v>4</v>
      </c>
      <c r="B7" s="3169" t="s">
        <v>3425</v>
      </c>
      <c r="C7" s="3169">
        <f t="shared" si="2"/>
        <v>671.72</v>
      </c>
      <c r="D7" s="3169">
        <v>671.72</v>
      </c>
      <c r="E7" s="3169">
        <v>0</v>
      </c>
      <c r="F7" s="3169" t="s">
        <v>3426</v>
      </c>
      <c r="G7" s="3169">
        <v>20000</v>
      </c>
      <c r="H7" s="3169">
        <f t="shared" si="3"/>
        <v>1343</v>
      </c>
      <c r="I7" s="3167">
        <f>G6+(20000000/C21)</f>
        <v>26239.829806583628</v>
      </c>
      <c r="J7" s="3169">
        <f t="shared" si="0"/>
        <v>1029</v>
      </c>
      <c r="K7" s="3169">
        <f t="shared" si="1"/>
        <v>1769</v>
      </c>
      <c r="L7" s="3169">
        <f t="shared" si="4"/>
        <v>2798</v>
      </c>
      <c r="M7" s="3169">
        <f t="shared" si="5"/>
        <v>41654</v>
      </c>
    </row>
    <row r="8" spans="1:13" ht="12" customHeight="1">
      <c r="A8" s="3169">
        <v>5</v>
      </c>
      <c r="B8" s="3169" t="s">
        <v>3427</v>
      </c>
      <c r="C8" s="3169">
        <f t="shared" si="2"/>
        <v>981.81999999999994</v>
      </c>
      <c r="D8" s="3169">
        <v>598.38</v>
      </c>
      <c r="E8" s="3169">
        <v>383.44</v>
      </c>
      <c r="F8" s="3169" t="s">
        <v>3428</v>
      </c>
      <c r="G8" s="3169">
        <f>G4</f>
        <v>10000</v>
      </c>
      <c r="H8" s="3169">
        <f t="shared" si="3"/>
        <v>982</v>
      </c>
      <c r="J8" s="3169">
        <f t="shared" si="0"/>
        <v>1504</v>
      </c>
      <c r="K8" s="3169">
        <f t="shared" si="1"/>
        <v>1294</v>
      </c>
      <c r="L8" s="3169">
        <f t="shared" si="4"/>
        <v>2798</v>
      </c>
      <c r="M8" s="3169">
        <f t="shared" si="5"/>
        <v>28498</v>
      </c>
    </row>
    <row r="9" spans="1:13" ht="12" customHeight="1">
      <c r="A9" s="3169">
        <v>6</v>
      </c>
      <c r="B9" s="3169" t="s">
        <v>3429</v>
      </c>
      <c r="C9" s="3169">
        <f t="shared" si="2"/>
        <v>1232.79</v>
      </c>
      <c r="D9" s="3169">
        <v>742.75</v>
      </c>
      <c r="E9" s="3169">
        <v>490.04</v>
      </c>
      <c r="F9" s="3169" t="s">
        <v>3430</v>
      </c>
      <c r="G9" s="3169">
        <f t="shared" si="6"/>
        <v>10000</v>
      </c>
      <c r="H9" s="3169">
        <f t="shared" si="3"/>
        <v>1233</v>
      </c>
      <c r="J9" s="3169">
        <f t="shared" si="0"/>
        <v>1889</v>
      </c>
      <c r="K9" s="3169">
        <f t="shared" si="1"/>
        <v>1624</v>
      </c>
      <c r="L9" s="3169">
        <f t="shared" si="4"/>
        <v>3513</v>
      </c>
      <c r="M9" s="3169">
        <f t="shared" si="5"/>
        <v>28496</v>
      </c>
    </row>
    <row r="10" spans="1:13">
      <c r="A10" s="3169">
        <v>7</v>
      </c>
      <c r="B10" s="3169" t="s">
        <v>3431</v>
      </c>
      <c r="C10" s="3169">
        <f t="shared" si="2"/>
        <v>1232.79</v>
      </c>
      <c r="D10" s="3169">
        <v>742.75</v>
      </c>
      <c r="E10" s="3169">
        <v>490.04</v>
      </c>
      <c r="F10" s="3169" t="s">
        <v>3432</v>
      </c>
      <c r="G10" s="3169">
        <f t="shared" si="6"/>
        <v>10000</v>
      </c>
      <c r="H10" s="3169">
        <f t="shared" si="3"/>
        <v>1233</v>
      </c>
      <c r="J10" s="3169">
        <f t="shared" si="0"/>
        <v>1889</v>
      </c>
      <c r="K10" s="3169">
        <f t="shared" si="1"/>
        <v>1624</v>
      </c>
      <c r="L10" s="3169">
        <f t="shared" si="4"/>
        <v>3513</v>
      </c>
      <c r="M10" s="3169">
        <f t="shared" si="5"/>
        <v>28496</v>
      </c>
    </row>
    <row r="11" spans="1:13" ht="13.5" customHeight="1">
      <c r="A11" s="3169">
        <v>8</v>
      </c>
      <c r="B11" s="3169" t="s">
        <v>3433</v>
      </c>
      <c r="C11" s="3169">
        <f t="shared" si="2"/>
        <v>1908.63</v>
      </c>
      <c r="D11" s="3169">
        <v>1118.68</v>
      </c>
      <c r="E11" s="3169">
        <v>789.95</v>
      </c>
      <c r="F11" s="3169" t="s">
        <v>3434</v>
      </c>
      <c r="G11" s="3169">
        <f t="shared" si="6"/>
        <v>10000</v>
      </c>
      <c r="H11" s="3169">
        <f t="shared" si="3"/>
        <v>1909</v>
      </c>
      <c r="J11" s="3169">
        <f t="shared" si="0"/>
        <v>2924</v>
      </c>
      <c r="K11" s="3169">
        <f t="shared" si="1"/>
        <v>2515</v>
      </c>
      <c r="L11" s="3169">
        <f t="shared" si="4"/>
        <v>5439</v>
      </c>
      <c r="M11" s="3169">
        <f t="shared" si="5"/>
        <v>28497</v>
      </c>
    </row>
    <row r="12" spans="1:13" ht="12" customHeight="1">
      <c r="A12" s="3169">
        <v>9</v>
      </c>
      <c r="B12" s="3169" t="s">
        <v>3435</v>
      </c>
      <c r="C12" s="3169">
        <f t="shared" si="2"/>
        <v>1908.63</v>
      </c>
      <c r="D12" s="3169">
        <v>1118.68</v>
      </c>
      <c r="E12" s="3169">
        <v>789.95</v>
      </c>
      <c r="F12" s="3169" t="s">
        <v>3436</v>
      </c>
      <c r="G12" s="3169">
        <f t="shared" si="6"/>
        <v>10000</v>
      </c>
      <c r="H12" s="3169">
        <f t="shared" si="3"/>
        <v>1909</v>
      </c>
      <c r="J12" s="3169">
        <f t="shared" si="0"/>
        <v>2924</v>
      </c>
      <c r="K12" s="3169">
        <f t="shared" si="1"/>
        <v>2515</v>
      </c>
      <c r="L12" s="3169">
        <f t="shared" si="4"/>
        <v>5439</v>
      </c>
      <c r="M12" s="3169">
        <f t="shared" si="5"/>
        <v>28497</v>
      </c>
    </row>
    <row r="13" spans="1:13" ht="12" customHeight="1">
      <c r="A13" s="3169">
        <v>10</v>
      </c>
      <c r="B13" s="3169" t="s">
        <v>3437</v>
      </c>
      <c r="C13" s="3169">
        <f t="shared" si="2"/>
        <v>1232.79</v>
      </c>
      <c r="D13" s="3169">
        <v>742.75</v>
      </c>
      <c r="E13" s="3169">
        <v>490.04</v>
      </c>
      <c r="F13" s="3169" t="s">
        <v>3438</v>
      </c>
      <c r="G13" s="3169">
        <f t="shared" si="6"/>
        <v>10000</v>
      </c>
      <c r="H13" s="3169">
        <f t="shared" si="3"/>
        <v>1233</v>
      </c>
      <c r="J13" s="3169">
        <f t="shared" si="0"/>
        <v>1889</v>
      </c>
      <c r="K13" s="3169">
        <f t="shared" si="1"/>
        <v>1624</v>
      </c>
      <c r="L13" s="3169">
        <f t="shared" si="4"/>
        <v>3513</v>
      </c>
      <c r="M13" s="3169">
        <f t="shared" si="5"/>
        <v>28496</v>
      </c>
    </row>
    <row r="14" spans="1:13" s="3173" customFormat="1">
      <c r="A14" s="3172">
        <v>11</v>
      </c>
      <c r="B14" s="3172" t="s">
        <v>3439</v>
      </c>
      <c r="C14" s="3172">
        <f t="shared" si="2"/>
        <v>1232.79</v>
      </c>
      <c r="D14" s="3172">
        <v>742.75</v>
      </c>
      <c r="E14" s="3172">
        <v>490.04</v>
      </c>
      <c r="F14" s="3172" t="s">
        <v>3440</v>
      </c>
      <c r="G14" s="3172">
        <f t="shared" si="6"/>
        <v>10000</v>
      </c>
      <c r="H14" s="3172">
        <f t="shared" si="3"/>
        <v>1233</v>
      </c>
      <c r="J14" s="3172">
        <f t="shared" si="0"/>
        <v>1889</v>
      </c>
      <c r="K14" s="3172">
        <f t="shared" si="1"/>
        <v>1624</v>
      </c>
      <c r="L14" s="3172">
        <f t="shared" si="4"/>
        <v>3513</v>
      </c>
      <c r="M14" s="3172">
        <f t="shared" si="5"/>
        <v>28496</v>
      </c>
    </row>
    <row r="15" spans="1:13" s="3173" customFormat="1">
      <c r="A15" s="3172">
        <v>12</v>
      </c>
      <c r="B15" s="3172" t="s">
        <v>3441</v>
      </c>
      <c r="C15" s="3172">
        <f t="shared" si="2"/>
        <v>1232.79</v>
      </c>
      <c r="D15" s="3172">
        <v>742.75</v>
      </c>
      <c r="E15" s="3172">
        <v>490.04</v>
      </c>
      <c r="F15" s="3172" t="s">
        <v>3442</v>
      </c>
      <c r="G15" s="3172">
        <f t="shared" si="6"/>
        <v>10000</v>
      </c>
      <c r="H15" s="3172">
        <f t="shared" si="3"/>
        <v>1233</v>
      </c>
      <c r="J15" s="3172">
        <f t="shared" si="0"/>
        <v>1889</v>
      </c>
      <c r="K15" s="3172">
        <f t="shared" si="1"/>
        <v>1624</v>
      </c>
      <c r="L15" s="3172">
        <f t="shared" si="4"/>
        <v>3513</v>
      </c>
      <c r="M15" s="3172">
        <f t="shared" si="5"/>
        <v>28496</v>
      </c>
    </row>
    <row r="16" spans="1:13">
      <c r="A16" s="3169">
        <v>13</v>
      </c>
      <c r="B16" s="3169" t="s">
        <v>3443</v>
      </c>
      <c r="C16" s="3169">
        <f t="shared" si="2"/>
        <v>1232.79</v>
      </c>
      <c r="D16" s="3169">
        <v>742.75</v>
      </c>
      <c r="E16" s="3169">
        <v>490.04</v>
      </c>
      <c r="F16" s="3169" t="s">
        <v>3444</v>
      </c>
      <c r="G16" s="3169">
        <f t="shared" si="6"/>
        <v>10000</v>
      </c>
      <c r="H16" s="3169">
        <f t="shared" si="3"/>
        <v>1233</v>
      </c>
      <c r="J16" s="3169">
        <f t="shared" si="0"/>
        <v>1889</v>
      </c>
      <c r="K16" s="3169">
        <f t="shared" si="1"/>
        <v>1624</v>
      </c>
      <c r="L16" s="3169">
        <f t="shared" si="4"/>
        <v>3513</v>
      </c>
      <c r="M16" s="3169">
        <f t="shared" si="5"/>
        <v>28496</v>
      </c>
    </row>
    <row r="17" spans="1:13">
      <c r="A17" s="3169">
        <v>14</v>
      </c>
      <c r="B17" s="3169" t="s">
        <v>3445</v>
      </c>
      <c r="C17" s="3169">
        <f t="shared" si="2"/>
        <v>1232.79</v>
      </c>
      <c r="D17" s="3169">
        <v>742.75</v>
      </c>
      <c r="E17" s="3169">
        <v>490.04</v>
      </c>
      <c r="F17" s="3169" t="s">
        <v>3446</v>
      </c>
      <c r="G17" s="3169">
        <f t="shared" si="6"/>
        <v>10000</v>
      </c>
      <c r="H17" s="3169">
        <f t="shared" si="3"/>
        <v>1233</v>
      </c>
      <c r="J17" s="3169">
        <f t="shared" si="0"/>
        <v>1889</v>
      </c>
      <c r="K17" s="3169">
        <f t="shared" si="1"/>
        <v>1624</v>
      </c>
      <c r="L17" s="3169">
        <f t="shared" si="4"/>
        <v>3513</v>
      </c>
      <c r="M17" s="3169">
        <f t="shared" si="5"/>
        <v>28496</v>
      </c>
    </row>
    <row r="18" spans="1:13">
      <c r="A18" s="3169">
        <v>15</v>
      </c>
      <c r="B18" s="3169" t="s">
        <v>3447</v>
      </c>
      <c r="C18" s="3169">
        <f t="shared" si="2"/>
        <v>1232.79</v>
      </c>
      <c r="D18" s="3169">
        <v>742.75</v>
      </c>
      <c r="E18" s="3169">
        <v>490.04</v>
      </c>
      <c r="F18" s="3169" t="s">
        <v>3448</v>
      </c>
      <c r="G18" s="3169">
        <f t="shared" si="6"/>
        <v>10000</v>
      </c>
      <c r="H18" s="3169">
        <f t="shared" si="3"/>
        <v>1233</v>
      </c>
      <c r="J18" s="3169"/>
      <c r="K18" s="3169"/>
      <c r="L18" s="3169"/>
      <c r="M18" s="3169"/>
    </row>
    <row r="19" spans="1:13">
      <c r="A19" s="3169">
        <v>16</v>
      </c>
      <c r="B19" s="3169" t="s">
        <v>3449</v>
      </c>
      <c r="C19" s="3169">
        <f t="shared" si="2"/>
        <v>1866.1200000000001</v>
      </c>
      <c r="D19" s="3169">
        <v>1129.8800000000001</v>
      </c>
      <c r="E19" s="3169">
        <v>736.24</v>
      </c>
      <c r="F19" s="3169" t="s">
        <v>3450</v>
      </c>
      <c r="G19" s="3169">
        <f t="shared" si="6"/>
        <v>10000</v>
      </c>
      <c r="H19" s="3169">
        <f t="shared" si="3"/>
        <v>1866</v>
      </c>
      <c r="J19" s="3169">
        <f>ROUND($J$25*C19/($C$24-$C$18-$C$23),0)</f>
        <v>2859</v>
      </c>
      <c r="K19" s="3169">
        <f>ROUND($K$25*H19/($H$24-$H$18-$H$23),0)</f>
        <v>2458</v>
      </c>
      <c r="L19" s="3169">
        <f t="shared" si="4"/>
        <v>5317</v>
      </c>
      <c r="M19" s="3169">
        <f t="shared" si="5"/>
        <v>28492</v>
      </c>
    </row>
    <row r="20" spans="1:13">
      <c r="A20" s="3169">
        <v>17</v>
      </c>
      <c r="B20" s="3169" t="s">
        <v>3451</v>
      </c>
      <c r="C20" s="3169">
        <f t="shared" si="2"/>
        <v>1231.54</v>
      </c>
      <c r="D20" s="3169">
        <v>742.75</v>
      </c>
      <c r="E20" s="3169">
        <v>488.79</v>
      </c>
      <c r="F20" s="3169" t="s">
        <v>3452</v>
      </c>
      <c r="G20" s="3169">
        <f t="shared" si="6"/>
        <v>10000</v>
      </c>
      <c r="H20" s="3169">
        <f t="shared" si="3"/>
        <v>1232</v>
      </c>
      <c r="J20" s="3169">
        <f>ROUND($J$25*C20/($C$24-$C$18-$C$23),0)</f>
        <v>1887</v>
      </c>
      <c r="K20" s="3169">
        <f>ROUND($K$25*H20/($H$24-$H$18-$H$23),0)</f>
        <v>1623</v>
      </c>
      <c r="L20" s="3169">
        <f t="shared" si="4"/>
        <v>3510</v>
      </c>
      <c r="M20" s="3169">
        <f t="shared" si="5"/>
        <v>28501</v>
      </c>
    </row>
    <row r="21" spans="1:13">
      <c r="A21" s="3169">
        <v>18</v>
      </c>
      <c r="B21" s="3169" t="s">
        <v>3453</v>
      </c>
      <c r="C21" s="3169">
        <f t="shared" si="2"/>
        <v>1231.54</v>
      </c>
      <c r="D21" s="3169">
        <v>742.75</v>
      </c>
      <c r="E21" s="3169">
        <v>488.79</v>
      </c>
      <c r="F21" s="3169" t="s">
        <v>3454</v>
      </c>
      <c r="G21" s="3169">
        <v>20000</v>
      </c>
      <c r="H21" s="3169">
        <f t="shared" si="3"/>
        <v>2463</v>
      </c>
      <c r="J21" s="3169">
        <f>ROUND($J$25*C21/($C$24-$C$18-$C$23),0)</f>
        <v>1887</v>
      </c>
      <c r="K21" s="3169">
        <f>ROUND($K$25*H21/($H$24-$H$18-$H$23),0)</f>
        <v>3245</v>
      </c>
      <c r="L21" s="3169">
        <f t="shared" si="4"/>
        <v>5132</v>
      </c>
      <c r="M21" s="3169">
        <f t="shared" si="5"/>
        <v>41671</v>
      </c>
    </row>
    <row r="22" spans="1:13">
      <c r="A22" s="3169">
        <v>19</v>
      </c>
      <c r="B22" s="3169" t="s">
        <v>3455</v>
      </c>
      <c r="C22" s="3169">
        <f t="shared" si="2"/>
        <v>1239.47</v>
      </c>
      <c r="D22" s="3169">
        <v>749.43</v>
      </c>
      <c r="E22" s="3169">
        <v>490.04</v>
      </c>
      <c r="F22" s="3169" t="s">
        <v>3456</v>
      </c>
      <c r="G22" s="3169">
        <f>G21</f>
        <v>20000</v>
      </c>
      <c r="H22" s="3169">
        <f t="shared" si="3"/>
        <v>2479</v>
      </c>
      <c r="I22" s="3167">
        <f>15000*C22/10000</f>
        <v>1859.2049999999999</v>
      </c>
      <c r="J22" s="3169">
        <f>ROUND($J$25*C22/($C$24-$C$18-$C$23),0)</f>
        <v>1899</v>
      </c>
      <c r="K22" s="3169">
        <f>ROUND($K$25*H22/($H$24-$H$18-$H$23),0)</f>
        <v>3266</v>
      </c>
      <c r="L22" s="3169">
        <f t="shared" si="4"/>
        <v>5165</v>
      </c>
      <c r="M22" s="3169">
        <f t="shared" si="5"/>
        <v>41671</v>
      </c>
    </row>
    <row r="23" spans="1:13" ht="24">
      <c r="A23" s="3169">
        <v>20</v>
      </c>
      <c r="B23" s="3174" t="s">
        <v>3457</v>
      </c>
      <c r="C23" s="3169">
        <f t="shared" si="2"/>
        <v>4554.43</v>
      </c>
      <c r="D23" s="3169">
        <v>0</v>
      </c>
      <c r="E23" s="3169">
        <v>4554.43</v>
      </c>
      <c r="F23" s="3169"/>
      <c r="G23" s="3169">
        <f>G4</f>
        <v>10000</v>
      </c>
      <c r="H23" s="3169">
        <f t="shared" si="3"/>
        <v>4554</v>
      </c>
      <c r="I23" s="3167">
        <f>H23/(C24-C23)</f>
        <v>0.18017825540445739</v>
      </c>
      <c r="J23" s="3169"/>
      <c r="K23" s="3169"/>
      <c r="L23" s="3169">
        <f t="shared" si="4"/>
        <v>0</v>
      </c>
      <c r="M23" s="3169">
        <f t="shared" si="5"/>
        <v>0</v>
      </c>
    </row>
    <row r="24" spans="1:13">
      <c r="A24" s="3270" t="s">
        <v>3458</v>
      </c>
      <c r="B24" s="3270"/>
      <c r="C24" s="3169">
        <f>SUM(C4:C23)</f>
        <v>29829.400000000009</v>
      </c>
      <c r="D24" s="3169">
        <f>SUM(D4:D23)</f>
        <v>15418.45</v>
      </c>
      <c r="E24" s="3169">
        <f>SUM(E4:E23)</f>
        <v>14410.950000000003</v>
      </c>
      <c r="F24" s="3169"/>
      <c r="G24" s="3169">
        <f>ROUND(H24/(C24-C18-C23)*10000,0)</f>
        <v>13715</v>
      </c>
      <c r="H24" s="3169">
        <f>SUM(H4:H23)</f>
        <v>32975</v>
      </c>
      <c r="J24" s="3169">
        <f>SUM(J4:J23)</f>
        <v>36836</v>
      </c>
      <c r="K24" s="3169">
        <f t="shared" ref="K24:L24" si="7">SUM(K4:K23)</f>
        <v>35815</v>
      </c>
      <c r="L24" s="3169">
        <f t="shared" si="7"/>
        <v>72651</v>
      </c>
      <c r="M24" s="3169"/>
    </row>
    <row r="25" spans="1:13">
      <c r="A25" s="3268" t="s">
        <v>3459</v>
      </c>
      <c r="B25" s="3268"/>
      <c r="C25" s="3268"/>
      <c r="D25" s="3268"/>
      <c r="E25" s="3268"/>
      <c r="F25" s="3168"/>
      <c r="J25" s="3169">
        <v>36837</v>
      </c>
      <c r="K25" s="3169">
        <v>35820</v>
      </c>
      <c r="L25" s="3169">
        <f>J25+K25</f>
        <v>72657</v>
      </c>
      <c r="M25" s="3169">
        <v>30221</v>
      </c>
    </row>
    <row r="26" spans="1:13">
      <c r="A26" s="3168"/>
      <c r="B26" s="3170"/>
      <c r="C26" s="3170"/>
      <c r="D26" s="3170" t="s">
        <v>3460</v>
      </c>
      <c r="E26" s="3170" t="s">
        <v>3461</v>
      </c>
      <c r="F26" s="3170" t="s">
        <v>3462</v>
      </c>
    </row>
    <row r="27" spans="1:13">
      <c r="B27" s="3169" t="s">
        <v>655</v>
      </c>
      <c r="C27" s="3169">
        <f>C28+C29+C30</f>
        <v>86752</v>
      </c>
      <c r="D27" s="3169"/>
      <c r="E27" s="3169"/>
      <c r="F27" s="3169"/>
    </row>
    <row r="28" spans="1:13">
      <c r="B28" s="3169" t="s">
        <v>3460</v>
      </c>
      <c r="C28" s="3169">
        <f>D28+E28</f>
        <v>5100</v>
      </c>
      <c r="D28" s="3169">
        <v>1759.51</v>
      </c>
      <c r="E28" s="3169">
        <v>3340.49</v>
      </c>
      <c r="F28" s="3169"/>
    </row>
    <row r="29" spans="1:13">
      <c r="B29" s="3169" t="s">
        <v>3463</v>
      </c>
      <c r="C29" s="3169">
        <v>52275</v>
      </c>
      <c r="D29" s="3169"/>
      <c r="E29" s="3169"/>
      <c r="F29" s="3169">
        <f>C29/C24*10000</f>
        <v>17524.656882136413</v>
      </c>
    </row>
    <row r="30" spans="1:13">
      <c r="B30" s="3169" t="s">
        <v>3464</v>
      </c>
      <c r="C30" s="3169">
        <v>29377</v>
      </c>
      <c r="D30" s="3169"/>
      <c r="E30" s="3169"/>
      <c r="F30" s="3169"/>
    </row>
    <row r="31" spans="1:13">
      <c r="B31" s="3169" t="s">
        <v>3465</v>
      </c>
      <c r="C31" s="3169">
        <f>ROUND(2000/C21*(C7+C21+C22),0)</f>
        <v>5104</v>
      </c>
      <c r="D31" s="3169"/>
      <c r="E31" s="3169"/>
      <c r="F31" s="3169"/>
    </row>
    <row r="32" spans="1:13" ht="14.25">
      <c r="B32" s="3271"/>
      <c r="C32" s="3271"/>
      <c r="D32" s="3271"/>
      <c r="E32" s="3175"/>
    </row>
    <row r="33" spans="2:7" ht="14.25">
      <c r="B33" s="3261" t="s">
        <v>3466</v>
      </c>
      <c r="C33" s="3261"/>
      <c r="D33" s="3177"/>
      <c r="E33" s="3178"/>
      <c r="G33" s="3167" t="s">
        <v>3467</v>
      </c>
    </row>
    <row r="34" spans="2:7" ht="14.25">
      <c r="B34" s="3261"/>
      <c r="C34" s="3261"/>
      <c r="D34" s="3179" t="s">
        <v>3468</v>
      </c>
      <c r="E34" s="3176">
        <v>2</v>
      </c>
    </row>
    <row r="35" spans="2:7" ht="14.25">
      <c r="B35" s="3261"/>
      <c r="C35" s="3261"/>
      <c r="D35" s="3179" t="s">
        <v>3469</v>
      </c>
      <c r="E35" s="3176">
        <v>1</v>
      </c>
    </row>
    <row r="36" spans="2:7" ht="14.25">
      <c r="B36" s="3261" t="s">
        <v>3470</v>
      </c>
      <c r="C36" s="3261"/>
      <c r="D36" s="3176" t="s">
        <v>3471</v>
      </c>
      <c r="E36" s="3176">
        <f>E37+E38</f>
        <v>25274.97</v>
      </c>
    </row>
    <row r="37" spans="2:7">
      <c r="B37" s="3261"/>
      <c r="C37" s="3261"/>
      <c r="D37" s="3179" t="s">
        <v>3468</v>
      </c>
      <c r="E37" s="3179">
        <f>D24</f>
        <v>15418.45</v>
      </c>
    </row>
    <row r="38" spans="2:7">
      <c r="B38" s="3261"/>
      <c r="C38" s="3261"/>
      <c r="D38" s="3179" t="s">
        <v>3469</v>
      </c>
      <c r="E38" s="3179">
        <f>E24-E23</f>
        <v>9856.5200000000023</v>
      </c>
    </row>
    <row r="39" spans="2:7" ht="14.25">
      <c r="B39" s="3262" t="s">
        <v>3472</v>
      </c>
      <c r="C39" s="3263" t="s">
        <v>3473</v>
      </c>
      <c r="D39" s="3264"/>
      <c r="E39" s="3180">
        <f>E40+E43+E44+E45</f>
        <v>10000</v>
      </c>
    </row>
    <row r="40" spans="2:7" ht="14.25">
      <c r="B40" s="3262"/>
      <c r="C40" s="3261" t="s">
        <v>3474</v>
      </c>
      <c r="D40" s="3181" t="s">
        <v>3471</v>
      </c>
      <c r="E40" s="3182">
        <f>E41+E42</f>
        <v>7500</v>
      </c>
    </row>
    <row r="41" spans="2:7" ht="12" customHeight="1">
      <c r="B41" s="3262"/>
      <c r="C41" s="3261"/>
      <c r="D41" s="3183" t="s">
        <v>3475</v>
      </c>
      <c r="E41" s="3179">
        <v>2500</v>
      </c>
    </row>
    <row r="42" spans="2:7" ht="12" customHeight="1">
      <c r="B42" s="3262"/>
      <c r="C42" s="3261"/>
      <c r="D42" s="3183" t="s">
        <v>3476</v>
      </c>
      <c r="E42" s="3179">
        <v>5000</v>
      </c>
    </row>
    <row r="43" spans="2:7" ht="14.25">
      <c r="B43" s="3262"/>
      <c r="C43" s="3265" t="s">
        <v>3477</v>
      </c>
      <c r="D43" s="3265"/>
      <c r="E43" s="3184">
        <v>0</v>
      </c>
    </row>
    <row r="44" spans="2:7" ht="14.25">
      <c r="B44" s="3262"/>
      <c r="C44" s="3265" t="s">
        <v>3478</v>
      </c>
      <c r="D44" s="3265"/>
      <c r="E44" s="3184">
        <v>1000</v>
      </c>
    </row>
    <row r="45" spans="2:7" ht="14.25">
      <c r="B45" s="3262"/>
      <c r="C45" s="3185" t="s">
        <v>3479</v>
      </c>
      <c r="D45" s="3184"/>
      <c r="E45" s="3184">
        <v>1500</v>
      </c>
    </row>
    <row r="46" spans="2:7" ht="14.25">
      <c r="B46" s="3262"/>
      <c r="C46" s="3178"/>
      <c r="D46" s="3176"/>
      <c r="E46" s="3176"/>
    </row>
    <row r="47" spans="2:7" ht="14.25">
      <c r="B47" s="3262"/>
      <c r="C47" s="3178" t="s">
        <v>3480</v>
      </c>
      <c r="D47" s="3176"/>
      <c r="E47" s="3176"/>
    </row>
    <row r="48" spans="2:7" ht="14.25">
      <c r="B48" s="3262"/>
      <c r="C48" s="3178" t="s">
        <v>3481</v>
      </c>
      <c r="D48" s="3176"/>
      <c r="E48" s="3186">
        <f>E40/E39</f>
        <v>0.75</v>
      </c>
    </row>
    <row r="49" spans="2:5" ht="14.25">
      <c r="B49" s="3262"/>
      <c r="C49" s="3178" t="s">
        <v>3482</v>
      </c>
      <c r="D49" s="3176"/>
      <c r="E49" s="3186">
        <f>E43/$E$39</f>
        <v>0</v>
      </c>
    </row>
    <row r="50" spans="2:5" ht="14.25">
      <c r="B50" s="3262"/>
      <c r="C50" s="3178" t="s">
        <v>3483</v>
      </c>
      <c r="D50" s="3176"/>
      <c r="E50" s="3186">
        <f>E44/$E$39</f>
        <v>0.1</v>
      </c>
    </row>
    <row r="51" spans="2:5" ht="14.25">
      <c r="B51" s="3262"/>
      <c r="C51" s="3178" t="s">
        <v>3484</v>
      </c>
      <c r="D51" s="3169"/>
      <c r="E51" s="3186">
        <f>E45/$E$39</f>
        <v>0.15</v>
      </c>
    </row>
  </sheetData>
  <mergeCells count="12">
    <mergeCell ref="B33:C35"/>
    <mergeCell ref="A1:F1"/>
    <mergeCell ref="A2:F2"/>
    <mergeCell ref="A24:B24"/>
    <mergeCell ref="A25:E25"/>
    <mergeCell ref="B32:D32"/>
    <mergeCell ref="B36:C38"/>
    <mergeCell ref="B39:B51"/>
    <mergeCell ref="C39:D39"/>
    <mergeCell ref="C40:C42"/>
    <mergeCell ref="C43:D43"/>
    <mergeCell ref="C44:D44"/>
  </mergeCells>
  <phoneticPr fontId="134" type="noConversion"/>
  <pageMargins left="0.75" right="0.75" top="1" bottom="1" header="0.5" footer="0.5"/>
  <pageSetup paperSize="9"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77" t="s">
        <v>956</v>
      </c>
      <c r="B15" s="3272" t="s">
        <v>109</v>
      </c>
      <c r="C15" s="3273"/>
    </row>
    <row r="16" spans="1:7" ht="13.5">
      <c r="A16" s="3278"/>
      <c r="B16" s="3272" t="s">
        <v>42</v>
      </c>
      <c r="C16" s="3273"/>
    </row>
    <row r="17" spans="1:3" ht="13.5">
      <c r="A17" s="3278"/>
      <c r="B17" s="3275" t="s">
        <v>957</v>
      </c>
      <c r="C17" s="1426" t="s">
        <v>956</v>
      </c>
    </row>
    <row r="18" spans="1:3" ht="13.5">
      <c r="A18" s="3278"/>
      <c r="B18" s="3275"/>
      <c r="C18" s="1426" t="s">
        <v>958</v>
      </c>
    </row>
    <row r="19" spans="1:3" ht="13.5">
      <c r="A19" s="3278"/>
      <c r="B19" s="3275"/>
      <c r="C19" s="1426" t="s">
        <v>959</v>
      </c>
    </row>
    <row r="20" spans="1:3" ht="13.5">
      <c r="A20" s="3279"/>
      <c r="B20" s="3274" t="s">
        <v>960</v>
      </c>
      <c r="C20" s="3273"/>
    </row>
    <row r="21" spans="1:3" ht="13.5">
      <c r="A21" s="1427" t="s">
        <v>961</v>
      </c>
      <c r="B21" s="1428"/>
      <c r="C21" s="1429"/>
    </row>
    <row r="22" spans="1:3" ht="13.5">
      <c r="A22" s="3276" t="s">
        <v>962</v>
      </c>
      <c r="B22" s="3274" t="s">
        <v>963</v>
      </c>
      <c r="C22" s="3273"/>
    </row>
    <row r="23" spans="1:3" ht="13.5">
      <c r="A23" s="3276"/>
      <c r="B23" s="3274" t="s">
        <v>964</v>
      </c>
      <c r="C23" s="3273"/>
    </row>
    <row r="24" spans="1:3" ht="13.5">
      <c r="A24" s="3276"/>
      <c r="B24" s="3274" t="s">
        <v>965</v>
      </c>
      <c r="C24" s="3273"/>
    </row>
    <row r="25" spans="1:3" ht="13.5">
      <c r="A25" s="3276"/>
      <c r="B25" s="3275" t="s">
        <v>966</v>
      </c>
      <c r="C25" s="1426" t="s">
        <v>967</v>
      </c>
    </row>
    <row r="26" spans="1:3" ht="13.5">
      <c r="A26" s="3276"/>
      <c r="B26" s="3275"/>
      <c r="C26" s="1426" t="s">
        <v>968</v>
      </c>
    </row>
    <row r="27" spans="1:3" ht="13.5">
      <c r="A27" s="3276"/>
      <c r="B27" s="3275"/>
      <c r="C27" s="1426" t="s">
        <v>969</v>
      </c>
    </row>
    <row r="28" spans="1:3" ht="13.5">
      <c r="A28" s="3276"/>
      <c r="B28" s="3275"/>
      <c r="C28" s="1426" t="s">
        <v>970</v>
      </c>
    </row>
    <row r="29" spans="1:3" ht="13.5">
      <c r="A29" s="3276"/>
      <c r="B29" s="3275"/>
      <c r="C29" s="1426" t="s">
        <v>971</v>
      </c>
    </row>
    <row r="30" spans="1:3" ht="13.5">
      <c r="A30" s="3276"/>
      <c r="B30" s="3275"/>
      <c r="C30" s="1426" t="s">
        <v>972</v>
      </c>
    </row>
    <row r="31" spans="1:3" ht="13.5">
      <c r="A31" s="3276"/>
      <c r="B31" s="3275"/>
      <c r="C31" s="1426" t="s">
        <v>973</v>
      </c>
    </row>
    <row r="32" spans="1:3" ht="13.5">
      <c r="A32" s="3276"/>
      <c r="B32" s="3275"/>
      <c r="C32" s="1426" t="s">
        <v>974</v>
      </c>
    </row>
    <row r="33" spans="1:3" ht="13.5">
      <c r="A33" s="3276"/>
      <c r="B33" s="327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基准地价（汇总）</vt:lpstr>
      <vt:lpstr>典型户型修正</vt:lpstr>
      <vt:lpstr>基准地价修正</vt:lpstr>
      <vt:lpstr>别墅租金案例</vt:lpstr>
      <vt:lpstr>Sheet5</vt:lpstr>
      <vt:lpstr>sheet1 (2)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2025-11-26T02:22:52Z</dcterms:modified>
</cp:coreProperties>
</file>