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天通西苑\最终\"/>
    </mc:Choice>
  </mc:AlternateContent>
  <bookViews>
    <workbookView xWindow="0" yWindow="0" windowWidth="19200" windowHeight="11280" tabRatio="899"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租金" sheetId="81" r:id="rId28"/>
    <sheet name="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7"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7">'比较法-租金'!$A$1:$K$54,'比较法-租金'!$A$57:$M$131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7">'比较法-租金'!$B$116:$M$116</definedName>
    <definedName name="商业层高">'比较法-商业'!$B$116:$M$116</definedName>
    <definedName name="商业成新度" localSheetId="27">'比较法-租金'!$B$109:$M$109</definedName>
    <definedName name="商业成新度">'比较法-商业'!$B$109:$M$109</definedName>
    <definedName name="商业繁华度">定义!$L$1:$L$6</definedName>
    <definedName name="商业公共部分装修" localSheetId="27">'比较法-租金'!$B$107:$M$107</definedName>
    <definedName name="商业公共部分装修">'比较法-商业'!$B$107:$M$107</definedName>
    <definedName name="商业基础设施水平" localSheetId="27">'比较法-租金'!$B$112:$M$112</definedName>
    <definedName name="商业基础设施水平">'比较法-商业'!$B$112:$M$112</definedName>
    <definedName name="商业建筑结构" localSheetId="27">'比较法-租金'!$B$105:$M$105</definedName>
    <definedName name="商业建筑结构">'比较法-商业'!$B$105:$M$105</definedName>
    <definedName name="商业交易情况" localSheetId="27">'比较法-租金'!$A$61:$M$61</definedName>
    <definedName name="商业交易情况">'比较法-商业'!$A$61:$M$61</definedName>
    <definedName name="商业街名称">修正!$C$71:$C$138</definedName>
    <definedName name="商业进深比" localSheetId="27">'比较法-租金'!$B$120:$M$120</definedName>
    <definedName name="商业进深比">'比较法-商业'!$B$120:$M$120</definedName>
    <definedName name="商业类型" localSheetId="27">'比较法-租金'!$B$100:$M$100</definedName>
    <definedName name="商业类型">'比较法-商业'!$B$100:$M$100</definedName>
    <definedName name="商业临街状况" localSheetId="27">'比较法-租金'!$B$86:$M$86</definedName>
    <definedName name="商业临街状况">'比较法-商业'!$B$86:$M$86</definedName>
    <definedName name="商业楼层" localSheetId="27">'比较法-租金'!$B$92:$M$92</definedName>
    <definedName name="商业楼层">'比较法-商业'!$B$92:$M$92</definedName>
    <definedName name="商业内部装修" localSheetId="27">'比较法-租金'!$B$122:$M$122</definedName>
    <definedName name="商业内部装修">'比较法-商业'!$B$122:$M$122</definedName>
    <definedName name="商业人流量" localSheetId="27">'比较法-租金'!$B$90:$M$90</definedName>
    <definedName name="商业人流量">'比较法-商业'!$B$90:$M$90</definedName>
    <definedName name="商业业态" localSheetId="27">'比较法-租金'!$B$114:$M$114</definedName>
    <definedName name="商业业态">'比较法-商业'!$B$114:$M$114</definedName>
    <definedName name="商业用途" localSheetId="27">'比较法-租金'!$B$63:$M$63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104" i="81" l="1"/>
  <c r="E104" i="81" s="1"/>
  <c r="F104" i="81" s="1"/>
  <c r="G104" i="81" s="1"/>
  <c r="H104" i="81" s="1"/>
  <c r="I104" i="81" s="1"/>
  <c r="N18" i="1"/>
  <c r="I28" i="81" l="1"/>
  <c r="I47" i="81"/>
  <c r="I33" i="81"/>
  <c r="I5" i="81"/>
  <c r="G47" i="81"/>
  <c r="I28" i="33"/>
  <c r="G7" i="80"/>
  <c r="F93" i="81" s="1"/>
  <c r="G4" i="80"/>
  <c r="D93" i="81" s="1"/>
  <c r="F4" i="80"/>
  <c r="C93" i="81" s="1"/>
  <c r="D104" i="33"/>
  <c r="E104" i="33" s="1"/>
  <c r="F104" i="33" s="1"/>
  <c r="G104" i="33" s="1"/>
  <c r="H104" i="33" s="1"/>
  <c r="I104" i="33" s="1"/>
  <c r="F93" i="33" l="1"/>
  <c r="C93" i="33"/>
  <c r="D93" i="33"/>
  <c r="G28" i="81"/>
  <c r="G33" i="81"/>
  <c r="G5" i="81"/>
  <c r="E28" i="81"/>
  <c r="E47" i="81"/>
  <c r="E33" i="81"/>
  <c r="E5" i="81"/>
  <c r="B130" i="81" l="1"/>
  <c r="B128" i="81"/>
  <c r="B126" i="81"/>
  <c r="D125" i="81"/>
  <c r="E125" i="81" s="1"/>
  <c r="F125" i="81" s="1"/>
  <c r="G125" i="81" s="1"/>
  <c r="D123" i="81"/>
  <c r="E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E91" i="81" s="1"/>
  <c r="F91" i="81" s="1"/>
  <c r="G91" i="81" s="1"/>
  <c r="H91" i="81" s="1"/>
  <c r="I91" i="81" s="1"/>
  <c r="J91" i="81" s="1"/>
  <c r="K91" i="81" s="1"/>
  <c r="L91" i="81" s="1"/>
  <c r="M91" i="81" s="1"/>
  <c r="B90" i="81"/>
  <c r="E89" i="81"/>
  <c r="F89" i="81" s="1"/>
  <c r="G89" i="81" s="1"/>
  <c r="D89"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P49" i="81"/>
  <c r="P48" i="81"/>
  <c r="K48" i="81"/>
  <c r="T47" i="81"/>
  <c r="P47" i="81"/>
  <c r="V47" i="81"/>
  <c r="R47" i="81"/>
  <c r="Q46" i="81"/>
  <c r="Z46" i="81" s="1"/>
  <c r="J46" i="81"/>
  <c r="AC46" i="81" s="1"/>
  <c r="H46" i="81"/>
  <c r="AB46" i="81" s="1"/>
  <c r="F46" i="81"/>
  <c r="AA46" i="81" s="1"/>
  <c r="Q45" i="81"/>
  <c r="Z45" i="81" s="1"/>
  <c r="J45" i="81"/>
  <c r="AC45" i="81" s="1"/>
  <c r="H45" i="81"/>
  <c r="AB45" i="81" s="1"/>
  <c r="F45" i="81"/>
  <c r="AA45" i="81" s="1"/>
  <c r="Q44" i="81"/>
  <c r="Z44" i="81" s="1"/>
  <c r="J44" i="81"/>
  <c r="W44" i="81" s="1"/>
  <c r="H44" i="81"/>
  <c r="AB44" i="81" s="1"/>
  <c r="F44" i="81"/>
  <c r="AA44" i="81" s="1"/>
  <c r="Q43" i="81"/>
  <c r="Z43" i="81" s="1"/>
  <c r="J43" i="81"/>
  <c r="AC43" i="81" s="1"/>
  <c r="H43" i="81"/>
  <c r="U43" i="81" s="1"/>
  <c r="F43" i="81"/>
  <c r="AA43" i="81" s="1"/>
  <c r="Q42" i="81"/>
  <c r="Z42" i="81" s="1"/>
  <c r="J42" i="81"/>
  <c r="AC42" i="81" s="1"/>
  <c r="H42" i="81"/>
  <c r="AB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H38" i="81"/>
  <c r="AB38" i="81" s="1"/>
  <c r="Q37" i="81"/>
  <c r="Z37" i="81" s="1"/>
  <c r="J37" i="81"/>
  <c r="AC37" i="81" s="1"/>
  <c r="Q36" i="81"/>
  <c r="Z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B2" i="81"/>
  <c r="I47" i="33"/>
  <c r="I5" i="33"/>
  <c r="I33" i="33"/>
  <c r="G28" i="33"/>
  <c r="G47" i="33"/>
  <c r="G33" i="33"/>
  <c r="G5" i="33"/>
  <c r="E47" i="33"/>
  <c r="E33" i="33"/>
  <c r="E28" i="33"/>
  <c r="E5" i="33"/>
  <c r="D89" i="33"/>
  <c r="E89" i="33" s="1"/>
  <c r="F89" i="33" s="1"/>
  <c r="G89" i="33" s="1"/>
  <c r="N20" i="1"/>
  <c r="N6" i="1" s="1"/>
  <c r="D2" i="81"/>
  <c r="C36" i="81" l="1"/>
  <c r="C36" i="33"/>
  <c r="Y6" i="1"/>
  <c r="F123" i="81"/>
  <c r="G123" i="81" s="1"/>
  <c r="H123" i="81" s="1"/>
  <c r="I123" i="81" s="1"/>
  <c r="J123" i="81" s="1"/>
  <c r="K123" i="81" s="1"/>
  <c r="L123" i="81" s="1"/>
  <c r="M123" i="81" s="1"/>
  <c r="F42" i="81"/>
  <c r="AA42" i="81" s="1"/>
  <c r="AB43" i="81"/>
  <c r="AC44" i="81"/>
  <c r="W40" i="81"/>
  <c r="F37" i="81"/>
  <c r="AA37" i="81" s="1"/>
  <c r="F38" i="81"/>
  <c r="AA38" i="81" s="1"/>
  <c r="J38" i="81"/>
  <c r="W38" i="81" s="1"/>
  <c r="H37" i="81"/>
  <c r="U37" i="81" s="1"/>
  <c r="W8" i="81"/>
  <c r="S8" i="81"/>
  <c r="AB37" i="81"/>
  <c r="AB8" i="81"/>
  <c r="U10" i="81"/>
  <c r="S11" i="81"/>
  <c r="W11" i="81"/>
  <c r="U12" i="81"/>
  <c r="S13" i="81"/>
  <c r="W13" i="81"/>
  <c r="U14" i="81"/>
  <c r="U17" i="81"/>
  <c r="U21" i="81"/>
  <c r="U23" i="81"/>
  <c r="S25" i="81"/>
  <c r="W25" i="81"/>
  <c r="S40" i="81"/>
  <c r="U41" i="81"/>
  <c r="W42" i="81"/>
  <c r="S44" i="81"/>
  <c r="U45" i="81"/>
  <c r="W46" i="81"/>
  <c r="G54" i="81"/>
  <c r="H54" i="81" s="1"/>
  <c r="E54" i="81"/>
  <c r="F54" i="81" s="1"/>
  <c r="S9" i="81"/>
  <c r="W9" i="81"/>
  <c r="U15" i="81"/>
  <c r="U19" i="81"/>
  <c r="U26" i="81"/>
  <c r="S27" i="81"/>
  <c r="W27" i="81"/>
  <c r="U28" i="81"/>
  <c r="S29" i="81"/>
  <c r="W29" i="81"/>
  <c r="U30" i="81"/>
  <c r="S31" i="81"/>
  <c r="W31" i="81"/>
  <c r="U32" i="81"/>
  <c r="S35" i="81"/>
  <c r="U9" i="81"/>
  <c r="S10" i="81"/>
  <c r="W10" i="81"/>
  <c r="U11" i="81"/>
  <c r="S12" i="81"/>
  <c r="W12" i="81"/>
  <c r="U13" i="81"/>
  <c r="S14" i="81"/>
  <c r="W14" i="81"/>
  <c r="S15" i="81"/>
  <c r="W15" i="81"/>
  <c r="S17" i="81"/>
  <c r="W17" i="81"/>
  <c r="S19" i="81"/>
  <c r="W19" i="81"/>
  <c r="S21" i="81"/>
  <c r="W21" i="81"/>
  <c r="S23" i="81"/>
  <c r="W23" i="81"/>
  <c r="U25" i="81"/>
  <c r="S26" i="81"/>
  <c r="W26" i="81"/>
  <c r="U27" i="81"/>
  <c r="S28" i="81"/>
  <c r="W28" i="81"/>
  <c r="U29" i="81"/>
  <c r="S30" i="81"/>
  <c r="W30" i="81"/>
  <c r="U31" i="81"/>
  <c r="S32" i="81"/>
  <c r="W32" i="81"/>
  <c r="U34" i="81"/>
  <c r="W35" i="81"/>
  <c r="S38" i="81"/>
  <c r="U39" i="81"/>
  <c r="S42" i="81"/>
  <c r="S46" i="81"/>
  <c r="S34" i="81"/>
  <c r="W34" i="81"/>
  <c r="U35" i="81"/>
  <c r="S37" i="81"/>
  <c r="W37" i="81"/>
  <c r="U38" i="81"/>
  <c r="S39" i="81"/>
  <c r="W39" i="81"/>
  <c r="U40" i="81"/>
  <c r="S41" i="81"/>
  <c r="W41" i="81"/>
  <c r="U42" i="81"/>
  <c r="S43" i="81"/>
  <c r="W43" i="81"/>
  <c r="U44" i="81"/>
  <c r="S45" i="81"/>
  <c r="W45" i="81"/>
  <c r="U46" i="81"/>
  <c r="H36" i="81" l="1"/>
  <c r="J36" i="81"/>
  <c r="F36" i="81"/>
  <c r="AC38" i="81"/>
  <c r="AC36" i="81" l="1"/>
  <c r="W36" i="81"/>
  <c r="S36" i="81"/>
  <c r="AA36" i="81"/>
  <c r="U36" i="81"/>
  <c r="AB36"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U25" i="79"/>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3" i="79" s="1"/>
  <c r="N11" i="79"/>
  <c r="M11" i="79"/>
  <c r="L11" i="79"/>
  <c r="K11" i="79"/>
  <c r="I11" i="79"/>
  <c r="AC5" i="79"/>
  <c r="AC3" i="79" s="1"/>
  <c r="AB5" i="79"/>
  <c r="AA5" i="79"/>
  <c r="AD5" i="79" s="1"/>
  <c r="Z5" i="79"/>
  <c r="Y5" i="79"/>
  <c r="Y3" i="79" s="1"/>
  <c r="O5" i="79"/>
  <c r="N5" i="79"/>
  <c r="N3" i="79" s="1"/>
  <c r="M5" i="79"/>
  <c r="P5" i="79" s="1"/>
  <c r="L5" i="79"/>
  <c r="S3" i="79" s="1"/>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15" i="79" l="1"/>
  <c r="U15" i="79"/>
  <c r="K3" i="79"/>
  <c r="O3" i="79"/>
  <c r="Z3" i="79"/>
  <c r="AB3" i="79"/>
  <c r="U3" i="79"/>
  <c r="R12" i="79"/>
  <c r="T12" i="79"/>
  <c r="W12" i="79" s="1"/>
  <c r="V12" i="79"/>
  <c r="S13" i="79"/>
  <c r="U13" i="79"/>
  <c r="R14" i="79"/>
  <c r="T14" i="79"/>
  <c r="W14" i="79" s="1"/>
  <c r="V14" i="79"/>
  <c r="R15" i="79"/>
  <c r="V15" i="79"/>
  <c r="T25" i="79"/>
  <c r="W25" i="79" s="1"/>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c r="D81" i="71"/>
  <c r="Q80" i="71"/>
  <c r="P80" i="71"/>
  <c r="O80" i="71"/>
  <c r="N80" i="71"/>
  <c r="F80" i="71"/>
  <c r="V80" i="71" s="1"/>
  <c r="E80" i="71"/>
  <c r="U80" i="71" s="1"/>
  <c r="C80" i="71"/>
  <c r="C79"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C63" i="71" s="1"/>
  <c r="C64" i="71" s="1"/>
  <c r="T64" i="71" s="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P37" i="71"/>
  <c r="O37" i="71"/>
  <c r="C38" i="71" s="1"/>
  <c r="D38" i="71" s="1"/>
  <c r="N37" i="71"/>
  <c r="D37" i="71"/>
  <c r="Q36" i="71"/>
  <c r="AB36" i="71"/>
  <c r="P36" i="71"/>
  <c r="O36" i="71"/>
  <c r="N36" i="71"/>
  <c r="Q35" i="71"/>
  <c r="AB35" i="71" s="1"/>
  <c r="P35" i="71"/>
  <c r="O35" i="71"/>
  <c r="N35" i="71"/>
  <c r="Q34" i="71"/>
  <c r="P34" i="71"/>
  <c r="O34" i="71"/>
  <c r="N34" i="71"/>
  <c r="Q33" i="71"/>
  <c r="F34" i="71" s="1"/>
  <c r="P33" i="71"/>
  <c r="E34" i="71" s="1"/>
  <c r="O33" i="71"/>
  <c r="N33" i="71"/>
  <c r="X31" i="71" s="1"/>
  <c r="D33" i="71"/>
  <c r="Q32" i="71"/>
  <c r="P32" i="71"/>
  <c r="O32" i="71"/>
  <c r="N32" i="71"/>
  <c r="Q31" i="71"/>
  <c r="P31" i="71"/>
  <c r="O31" i="71"/>
  <c r="N31" i="71"/>
  <c r="Q30" i="71"/>
  <c r="P30" i="71"/>
  <c r="O30" i="71"/>
  <c r="N30" i="71"/>
  <c r="Q29" i="71"/>
  <c r="P29" i="71"/>
  <c r="E30" i="71" s="1"/>
  <c r="E31" i="71" s="1"/>
  <c r="E32" i="71" s="1"/>
  <c r="U32" i="71" s="1"/>
  <c r="O29" i="71"/>
  <c r="N29" i="71"/>
  <c r="D29" i="71"/>
  <c r="O28" i="71"/>
  <c r="C28" i="71" s="1"/>
  <c r="N28" i="71"/>
  <c r="B30" i="71"/>
  <c r="B31" i="71" s="1"/>
  <c r="B34" i="71"/>
  <c r="B35" i="71" s="1"/>
  <c r="B38" i="71"/>
  <c r="B39" i="71" s="1"/>
  <c r="B40" i="71" s="1"/>
  <c r="S40" i="71" s="1"/>
  <c r="X37" i="71"/>
  <c r="E38" i="71"/>
  <c r="E39" i="71"/>
  <c r="E35" i="71"/>
  <c r="E36" i="71" s="1"/>
  <c r="U36" i="71" s="1"/>
  <c r="C30" i="71"/>
  <c r="C34" i="71"/>
  <c r="C35" i="71" s="1"/>
  <c r="D35" i="71" s="1"/>
  <c r="AA35" i="71"/>
  <c r="X36" i="71"/>
  <c r="AA36" i="71"/>
  <c r="X38" i="71"/>
  <c r="AA38" i="71"/>
  <c r="X25" i="71"/>
  <c r="C51" i="71"/>
  <c r="D51" i="71" s="1"/>
  <c r="P28" i="71"/>
  <c r="E56" i="71"/>
  <c r="U56" i="71" s="1"/>
  <c r="E63" i="71"/>
  <c r="E64" i="71" s="1"/>
  <c r="U64" i="71" s="1"/>
  <c r="Q65" i="71"/>
  <c r="U68" i="71"/>
  <c r="E67" i="71"/>
  <c r="E66" i="71" s="1"/>
  <c r="P66" i="71" s="1"/>
  <c r="Q28" i="71"/>
  <c r="C55" i="71"/>
  <c r="D54" i="71"/>
  <c r="C59" i="71"/>
  <c r="D59" i="71" s="1"/>
  <c r="Q67" i="71"/>
  <c r="T68" i="71"/>
  <c r="O68" i="71"/>
  <c r="D68" i="71"/>
  <c r="C67" i="71"/>
  <c r="O67" i="71" s="1"/>
  <c r="Q68" i="71"/>
  <c r="E71" i="71"/>
  <c r="E70" i="71" s="1"/>
  <c r="C75" i="71"/>
  <c r="C74" i="71" s="1"/>
  <c r="D74" i="71" s="1"/>
  <c r="E75" i="71"/>
  <c r="E74" i="71"/>
  <c r="D76" i="71"/>
  <c r="E79" i="71"/>
  <c r="E78" i="71"/>
  <c r="C87" i="71"/>
  <c r="C86" i="71" s="1"/>
  <c r="D86" i="71" s="1"/>
  <c r="F28" i="71"/>
  <c r="F27" i="71" s="1"/>
  <c r="F26" i="71" s="1"/>
  <c r="AB25" i="71"/>
  <c r="E28" i="71"/>
  <c r="AA25" i="71"/>
  <c r="D67" i="71"/>
  <c r="D75"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c r="H19" i="21"/>
  <c r="D83" i="21"/>
  <c r="E83" i="21" s="1"/>
  <c r="F21" i="21"/>
  <c r="AA21" i="21"/>
  <c r="D81" i="21"/>
  <c r="G20" i="20"/>
  <c r="B88" i="43" s="1"/>
  <c r="C22" i="20"/>
  <c r="C25" i="40"/>
  <c r="S25" i="40"/>
  <c r="S18" i="36"/>
  <c r="F94" i="40"/>
  <c r="H25" i="40"/>
  <c r="G94" i="40"/>
  <c r="J25" i="40"/>
  <c r="H29" i="39"/>
  <c r="AB29" i="39" s="1"/>
  <c r="J29" i="39"/>
  <c r="AC29" i="39" s="1"/>
  <c r="J18" i="36"/>
  <c r="W18" i="36" s="1"/>
  <c r="F68" i="35"/>
  <c r="G68" i="35" s="1"/>
  <c r="H18" i="35"/>
  <c r="U18" i="35" s="1"/>
  <c r="J18" i="35"/>
  <c r="W18" i="35" s="1"/>
  <c r="H21" i="37"/>
  <c r="U21" i="37" s="1"/>
  <c r="F21" i="37"/>
  <c r="S21" i="37" s="1"/>
  <c r="H21" i="34"/>
  <c r="U21" i="34" s="1"/>
  <c r="H21" i="33"/>
  <c r="U21" i="33" s="1"/>
  <c r="F21" i="33"/>
  <c r="S21" i="33" s="1"/>
  <c r="S21" i="21"/>
  <c r="H1" i="69"/>
  <c r="AC25" i="40"/>
  <c r="W25" i="40"/>
  <c r="AB25" i="40"/>
  <c r="U25" i="40"/>
  <c r="W29" i="39"/>
  <c r="AC18" i="36"/>
  <c r="AA21" i="37"/>
  <c r="AB21" i="34"/>
  <c r="AB18" i="35"/>
  <c r="AC18" i="35"/>
  <c r="J21" i="37"/>
  <c r="W21" i="37" s="1"/>
  <c r="J21" i="34"/>
  <c r="W21" i="34" s="1"/>
  <c r="J21" i="33"/>
  <c r="AC21" i="33" s="1"/>
  <c r="F83" i="21"/>
  <c r="G83" i="21" s="1"/>
  <c r="H21" i="21"/>
  <c r="F38" i="69"/>
  <c r="E37" i="69"/>
  <c r="F36" i="69"/>
  <c r="F35" i="69"/>
  <c r="F21" i="69"/>
  <c r="F20" i="69"/>
  <c r="F39" i="69" s="1"/>
  <c r="E10" i="69"/>
  <c r="E9" i="69"/>
  <c r="AC21" i="37"/>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C58" i="81" s="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D113" i="33"/>
  <c r="F37" i="33" s="1"/>
  <c r="AA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H12" i="34" s="1"/>
  <c r="B130" i="33"/>
  <c r="B128" i="33"/>
  <c r="H45" i="33" s="1"/>
  <c r="B126" i="33"/>
  <c r="B98" i="33"/>
  <c r="H31" i="33" s="1"/>
  <c r="B96" i="33"/>
  <c r="B94" i="33"/>
  <c r="J29" i="33" s="1"/>
  <c r="AC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H32" i="33" s="1"/>
  <c r="AB32" i="33" s="1"/>
  <c r="B92" i="33"/>
  <c r="H28" i="33" s="1"/>
  <c r="U28" i="33" s="1"/>
  <c r="B90" i="33"/>
  <c r="D87" i="33"/>
  <c r="E87" i="33" s="1"/>
  <c r="H25" i="33" s="1"/>
  <c r="U25"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B58" i="43" s="1"/>
  <c r="C18" i="20"/>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S40" i="33"/>
  <c r="H39" i="37"/>
  <c r="AB39" i="37" s="1"/>
  <c r="S27" i="35"/>
  <c r="F11" i="40"/>
  <c r="AA11" i="40" s="1"/>
  <c r="H11" i="40"/>
  <c r="AB11" i="40" s="1"/>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A15" i="34"/>
  <c r="S15" i="34"/>
  <c r="H37" i="33"/>
  <c r="AB37" i="33" s="1"/>
  <c r="H15" i="33"/>
  <c r="AB15" i="33" s="1"/>
  <c r="H11" i="33"/>
  <c r="AB11" i="33" s="1"/>
  <c r="F28" i="40"/>
  <c r="AA28" i="40" s="1"/>
  <c r="AA29" i="35"/>
  <c r="AA42" i="34"/>
  <c r="S42" i="34"/>
  <c r="AC38" i="34"/>
  <c r="AA38" i="34"/>
  <c r="J37" i="34"/>
  <c r="AC37" i="34" s="1"/>
  <c r="J11" i="33"/>
  <c r="W11" i="33" s="1"/>
  <c r="U23" i="40"/>
  <c r="G123" i="21"/>
  <c r="H123" i="2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H13" i="33"/>
  <c r="U13" i="33" s="1"/>
  <c r="F31" i="33"/>
  <c r="AA31"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H14" i="33"/>
  <c r="U14" i="33" s="1"/>
  <c r="F14" i="33"/>
  <c r="S14" i="33" s="1"/>
  <c r="J14" i="33"/>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J10" i="36"/>
  <c r="AC10" i="36" s="1"/>
  <c r="AA14" i="37"/>
  <c r="AC13" i="36"/>
  <c r="S11" i="36"/>
  <c r="AB46" i="34"/>
  <c r="AC30" i="34"/>
  <c r="AA14" i="34"/>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G125" i="33" s="1"/>
  <c r="H17" i="37"/>
  <c r="U17" i="37" s="1"/>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S28" i="31"/>
  <c r="S27" i="31"/>
  <c r="S26" i="31"/>
  <c r="U14" i="40"/>
  <c r="AA12" i="35"/>
  <c r="W14" i="37"/>
  <c r="AB28" i="37"/>
  <c r="U33" i="37"/>
  <c r="U39" i="37"/>
  <c r="U26" i="37"/>
  <c r="W47" i="34"/>
  <c r="AC36" i="34"/>
  <c r="W44" i="33"/>
  <c r="U19" i="21"/>
  <c r="W44" i="21"/>
  <c r="U26" i="21"/>
  <c r="AC46" i="21"/>
  <c r="U12" i="21"/>
  <c r="AB38" i="21"/>
  <c r="W15" i="34"/>
  <c r="AC15" i="34"/>
  <c r="W16" i="35"/>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C7" i="37"/>
  <c r="C7" i="34"/>
  <c r="C7" i="36"/>
  <c r="C46" i="36" s="1"/>
  <c r="D46" i="36" s="1"/>
  <c r="E46" i="36" s="1"/>
  <c r="F46" i="36" s="1"/>
  <c r="G46" i="36" s="1"/>
  <c r="H46" i="36" s="1"/>
  <c r="I46" i="36" s="1"/>
  <c r="W35" i="40"/>
  <c r="A4" i="52"/>
  <c r="B41" i="72" s="1"/>
  <c r="J11" i="39"/>
  <c r="W11" i="39" s="1"/>
  <c r="F11" i="39"/>
  <c r="G4" i="4"/>
  <c r="I4" i="4"/>
  <c r="A2" i="9"/>
  <c r="F61" i="43"/>
  <c r="H64" i="43" s="1"/>
  <c r="AZ20" i="3"/>
  <c r="AZ32" i="3"/>
  <c r="BL549" i="3"/>
  <c r="AZ549" i="3" s="1"/>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51" i="3"/>
  <c r="AZ55" i="3"/>
  <c r="AZ67" i="3"/>
  <c r="AZ71" i="3"/>
  <c r="AZ83" i="3"/>
  <c r="AZ136" i="3"/>
  <c r="AZ144" i="3"/>
  <c r="AZ160" i="3"/>
  <c r="AZ168" i="3"/>
  <c r="AZ176" i="3"/>
  <c r="AZ192" i="3"/>
  <c r="AZ200" i="3"/>
  <c r="AZ85" i="3"/>
  <c r="AZ93"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78" i="3"/>
  <c r="AZ182" i="3"/>
  <c r="AZ190" i="3"/>
  <c r="AZ194" i="3"/>
  <c r="AZ198"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57" i="3"/>
  <c r="AZ261"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BJ5" i="3"/>
  <c r="BH5" i="3"/>
  <c r="BF5" i="3"/>
  <c r="BD5" i="3"/>
  <c r="AZ317" i="3"/>
  <c r="BQ5" i="3"/>
  <c r="AC5" i="3"/>
  <c r="AZ506" i="3"/>
  <c r="AZ496" i="3"/>
  <c r="G548" i="3"/>
  <c r="G538" i="3"/>
  <c r="G520" i="3"/>
  <c r="G502" i="3"/>
  <c r="BS5" i="3"/>
  <c r="BP5" i="3"/>
  <c r="BN5" i="3"/>
  <c r="G29" i="6" s="1"/>
  <c r="AZ343" i="3"/>
  <c r="BK5" i="3"/>
  <c r="BI5" i="3"/>
  <c r="BG5" i="3"/>
  <c r="BE5" i="3"/>
  <c r="BC5" i="3"/>
  <c r="G17" i="3"/>
  <c r="BA17" i="3"/>
  <c r="BT5" i="3"/>
  <c r="AZ352" i="3"/>
  <c r="AZ360" i="3"/>
  <c r="BA15" i="3"/>
  <c r="BB5" i="3"/>
  <c r="F19" i="6" s="1"/>
  <c r="E19" i="6" s="1"/>
  <c r="BR5" i="3"/>
  <c r="AZ384" i="3"/>
  <c r="AZ396" i="3"/>
  <c r="AZ394" i="3"/>
  <c r="G509" i="3"/>
  <c r="BL493" i="3"/>
  <c r="AZ493" i="3" s="1"/>
  <c r="AZ376" i="3"/>
  <c r="U36" i="40"/>
  <c r="F83" i="43"/>
  <c r="H85" i="43" s="1"/>
  <c r="F50" i="43"/>
  <c r="F72" i="43"/>
  <c r="H75" i="43" s="1"/>
  <c r="U17" i="39"/>
  <c r="S14" i="35"/>
  <c r="U43" i="21"/>
  <c r="U35" i="21"/>
  <c r="AC35" i="21"/>
  <c r="G10" i="1"/>
  <c r="W37" i="37"/>
  <c r="W44" i="34"/>
  <c r="AC44" i="34"/>
  <c r="S15" i="37"/>
  <c r="U13" i="37"/>
  <c r="U12" i="40"/>
  <c r="AA12" i="40"/>
  <c r="J37" i="33"/>
  <c r="W37" i="33" s="1"/>
  <c r="AC17" i="34"/>
  <c r="F33" i="34"/>
  <c r="S33" i="34" s="1"/>
  <c r="W12" i="36"/>
  <c r="AC12" i="36"/>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5" i="33"/>
  <c r="S35" i="33" s="1"/>
  <c r="F39" i="34"/>
  <c r="S39" i="34" s="1"/>
  <c r="J39" i="34"/>
  <c r="F40" i="34"/>
  <c r="S40" i="34" s="1"/>
  <c r="F43" i="34"/>
  <c r="AA43" i="34" s="1"/>
  <c r="H44" i="34"/>
  <c r="AB44" i="34" s="1"/>
  <c r="AC38" i="39"/>
  <c r="F39" i="39"/>
  <c r="S39" i="39" s="1"/>
  <c r="J39" i="39"/>
  <c r="AC39" i="39" s="1"/>
  <c r="E96" i="39"/>
  <c r="F96" i="39" s="1"/>
  <c r="G96" i="39" s="1"/>
  <c r="AZ354" i="3"/>
  <c r="AZ386" i="3"/>
  <c r="C40" i="11"/>
  <c r="AZ223" i="3"/>
  <c r="AZ232" i="3"/>
  <c r="AZ235" i="3"/>
  <c r="AZ248" i="3"/>
  <c r="AZ259" i="3"/>
  <c r="AZ268" i="3"/>
  <c r="AZ271" i="3"/>
  <c r="AZ296" i="3"/>
  <c r="AZ117" i="3"/>
  <c r="AZ133" i="3"/>
  <c r="AZ21" i="3"/>
  <c r="AZ42" i="3"/>
  <c r="AZ53" i="3"/>
  <c r="AZ58" i="3"/>
  <c r="AZ69" i="3"/>
  <c r="AZ102" i="3"/>
  <c r="AZ110" i="3"/>
  <c r="F23" i="39"/>
  <c r="AA23" i="39"/>
  <c r="H27" i="36"/>
  <c r="U27" i="36" s="1"/>
  <c r="F27" i="36"/>
  <c r="AA27" i="36" s="1"/>
  <c r="H33" i="34"/>
  <c r="U33" i="34"/>
  <c r="F32" i="37"/>
  <c r="AA32" i="37"/>
  <c r="F20" i="36"/>
  <c r="AA20" i="36" s="1"/>
  <c r="J33" i="34"/>
  <c r="H23" i="39"/>
  <c r="U23" i="39" s="1"/>
  <c r="D48" i="9"/>
  <c r="M52" i="9" s="1"/>
  <c r="K9" i="1"/>
  <c r="M9" i="1" s="1"/>
  <c r="D93" i="9"/>
  <c r="W27" i="34"/>
  <c r="AC27" i="34"/>
  <c r="AB34" i="36"/>
  <c r="U34" i="36"/>
  <c r="AB33" i="36"/>
  <c r="U33" i="36"/>
  <c r="AC12" i="39"/>
  <c r="AC39" i="40"/>
  <c r="W39" i="40"/>
  <c r="AZ465" i="3"/>
  <c r="AA32" i="36"/>
  <c r="S32" i="36"/>
  <c r="AZ437" i="3"/>
  <c r="AZ457" i="3"/>
  <c r="AZ473" i="3"/>
  <c r="F28" i="6"/>
  <c r="BL14" i="3"/>
  <c r="AZ266" i="3"/>
  <c r="AC13" i="34"/>
  <c r="AA47" i="34"/>
  <c r="W28" i="37"/>
  <c r="S19" i="39"/>
  <c r="F12" i="33"/>
  <c r="AA12" i="33" s="1"/>
  <c r="H12" i="39"/>
  <c r="AB12" i="39" s="1"/>
  <c r="F39" i="40"/>
  <c r="S39" i="40" s="1"/>
  <c r="BA14" i="3"/>
  <c r="AZ14" i="3" s="1"/>
  <c r="AZ367" i="3"/>
  <c r="AZ234" i="3"/>
  <c r="AZ250" i="3"/>
  <c r="AZ297" i="3"/>
  <c r="AZ157" i="3"/>
  <c r="AZ173" i="3"/>
  <c r="AZ189" i="3"/>
  <c r="AZ19" i="3"/>
  <c r="B12" i="1"/>
  <c r="E12" i="1" s="1"/>
  <c r="B10" i="1"/>
  <c r="E10" i="1" s="1"/>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B17" i="37"/>
  <c r="F75" i="37"/>
  <c r="G75" i="37" s="1"/>
  <c r="F19" i="37"/>
  <c r="F79" i="37"/>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J35" i="33"/>
  <c r="AC35" i="33" s="1"/>
  <c r="F101" i="33"/>
  <c r="G101" i="33" s="1"/>
  <c r="H101" i="33" s="1"/>
  <c r="I101" i="33" s="1"/>
  <c r="J101" i="33" s="1"/>
  <c r="K101" i="33" s="1"/>
  <c r="L101" i="33" s="1"/>
  <c r="M101" i="33" s="1"/>
  <c r="J32" i="33"/>
  <c r="AC32" i="33" s="1"/>
  <c r="S46" i="33"/>
  <c r="F87" i="33"/>
  <c r="G87" i="33" s="1"/>
  <c r="H87" i="33" s="1"/>
  <c r="I87" i="33" s="1"/>
  <c r="J87" i="33" s="1"/>
  <c r="K87" i="33" s="1"/>
  <c r="L87" i="33" s="1"/>
  <c r="M87" i="33" s="1"/>
  <c r="J23" i="33"/>
  <c r="AC23" i="33" s="1"/>
  <c r="F85" i="33"/>
  <c r="G85" i="33" s="1"/>
  <c r="H23" i="33"/>
  <c r="AB23" i="33" s="1"/>
  <c r="J17" i="33"/>
  <c r="W17" i="33" s="1"/>
  <c r="F79" i="33"/>
  <c r="S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F34" i="67"/>
  <c r="F62" i="67" s="1"/>
  <c r="M20" i="67"/>
  <c r="F34" i="15"/>
  <c r="F62" i="15" s="1"/>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44" i="33"/>
  <c r="AC14" i="33"/>
  <c r="W14" i="33"/>
  <c r="S44" i="21"/>
  <c r="AB42" i="21"/>
  <c r="U28" i="21"/>
  <c r="S45" i="21"/>
  <c r="F33" i="21"/>
  <c r="AA33" i="21" s="1"/>
  <c r="J33" i="21"/>
  <c r="AC33" i="21" s="1"/>
  <c r="H33" i="21"/>
  <c r="AB33" i="21" s="1"/>
  <c r="F37" i="21"/>
  <c r="AA37" i="21" s="1"/>
  <c r="AA26" i="21"/>
  <c r="AB14" i="21"/>
  <c r="AB46" i="21"/>
  <c r="U40" i="21"/>
  <c r="AB31" i="21"/>
  <c r="U31" i="21"/>
  <c r="AB13" i="21"/>
  <c r="S35" i="21"/>
  <c r="J37" i="21"/>
  <c r="W37" i="21" s="1"/>
  <c r="H15" i="21"/>
  <c r="U15" i="21" s="1"/>
  <c r="J17" i="21"/>
  <c r="AC17" i="21" s="1"/>
  <c r="AC19" i="21"/>
  <c r="W39" i="21"/>
  <c r="AC14" i="21"/>
  <c r="W30" i="21"/>
  <c r="S46" i="21"/>
  <c r="H45" i="2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AA39" i="40"/>
  <c r="J32" i="39"/>
  <c r="AC32" i="39" s="1"/>
  <c r="H32" i="39"/>
  <c r="AB32" i="39" s="1"/>
  <c r="AA32" i="39"/>
  <c r="S32" i="39"/>
  <c r="AB21" i="39"/>
  <c r="U21" i="39"/>
  <c r="AA21" i="39"/>
  <c r="S21" i="39"/>
  <c r="AC17" i="37"/>
  <c r="J19" i="37"/>
  <c r="W19" i="37" s="1"/>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F23" i="33"/>
  <c r="AA23" i="33" s="1"/>
  <c r="G79" i="33"/>
  <c r="H17" i="33"/>
  <c r="AB17" i="33" s="1"/>
  <c r="F17" i="33"/>
  <c r="S17" i="33" s="1"/>
  <c r="S37" i="21"/>
  <c r="AA23" i="21"/>
  <c r="AB15" i="21"/>
  <c r="J23" i="21"/>
  <c r="W23" i="21" s="1"/>
  <c r="G85" i="21"/>
  <c r="H23" i="21"/>
  <c r="AP7" i="1"/>
  <c r="AB9" i="21"/>
  <c r="AA32" i="21"/>
  <c r="S32" i="21"/>
  <c r="W9" i="21"/>
  <c r="AC9" i="21"/>
  <c r="AB32" i="21"/>
  <c r="U32" i="21"/>
  <c r="U32" i="39"/>
  <c r="AC19" i="37"/>
  <c r="W23" i="37"/>
  <c r="AC23" i="37"/>
  <c r="J11" i="37"/>
  <c r="AC11" i="37" s="1"/>
  <c r="J11" i="34"/>
  <c r="W11" i="34" s="1"/>
  <c r="U23" i="21"/>
  <c r="AB23" i="21"/>
  <c r="AD3" i="71"/>
  <c r="J1" i="73"/>
  <c r="H69"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B10" i="76"/>
  <c r="B11" i="76"/>
  <c r="F7" i="15"/>
  <c r="J15" i="15"/>
  <c r="M9" i="15"/>
  <c r="F3" i="73"/>
  <c r="F40" i="15"/>
  <c r="B8" i="76"/>
  <c r="F13" i="15"/>
  <c r="F9" i="15"/>
  <c r="F42" i="15"/>
  <c r="B7" i="76"/>
  <c r="D6" i="73"/>
  <c r="D3" i="73"/>
  <c r="M23" i="15"/>
  <c r="F7" i="73"/>
  <c r="E10" i="76"/>
  <c r="M8" i="15"/>
  <c r="F20" i="31"/>
  <c r="M28" i="15"/>
  <c r="AO13" i="1"/>
  <c r="B9" i="76"/>
  <c r="E12" i="76"/>
  <c r="F43" i="15"/>
  <c r="D4" i="73"/>
  <c r="F8" i="15"/>
  <c r="B12" i="76"/>
  <c r="F38" i="15"/>
  <c r="E2" i="69"/>
  <c r="E13" i="76"/>
  <c r="F6" i="15"/>
  <c r="E7" i="76"/>
  <c r="M6" i="15"/>
  <c r="M29" i="15"/>
  <c r="D5" i="73"/>
  <c r="E9" i="76"/>
  <c r="E11" i="76"/>
  <c r="M23" i="67"/>
  <c r="F36" i="15"/>
  <c r="F6" i="73"/>
  <c r="M24" i="15"/>
  <c r="F26" i="15"/>
  <c r="F16" i="15"/>
  <c r="E2" i="68"/>
  <c r="E8" i="76"/>
  <c r="F4" i="73"/>
  <c r="M26" i="67"/>
  <c r="D7" i="73"/>
  <c r="M26" i="15"/>
  <c r="F42" i="67"/>
  <c r="F8" i="67"/>
  <c r="L47" i="67"/>
  <c r="C76" i="15"/>
  <c r="L48" i="15"/>
  <c r="F37" i="15"/>
  <c r="L47" i="15"/>
  <c r="M22" i="15"/>
  <c r="B13" i="76"/>
  <c r="F5" i="73"/>
  <c r="AC33" i="34" l="1"/>
  <c r="W33" i="34"/>
  <c r="W39" i="34"/>
  <c r="AC39" i="34"/>
  <c r="U20" i="36"/>
  <c r="AB20" i="36"/>
  <c r="H54" i="43"/>
  <c r="H50" i="43"/>
  <c r="U45" i="21"/>
  <c r="AB45" i="21"/>
  <c r="D21" i="71"/>
  <c r="C20" i="71"/>
  <c r="C19" i="71" s="1"/>
  <c r="AC23" i="21"/>
  <c r="W32" i="39"/>
  <c r="S13" i="21"/>
  <c r="W17" i="21"/>
  <c r="AC15" i="21"/>
  <c r="D121" i="9"/>
  <c r="D7" i="52" s="1"/>
  <c r="D6" i="52"/>
  <c r="AA17" i="37"/>
  <c r="S17" i="37"/>
  <c r="U12" i="39"/>
  <c r="AA20" i="35"/>
  <c r="S20" i="35"/>
  <c r="K6" i="1"/>
  <c r="D3" i="81"/>
  <c r="AZ17" i="3"/>
  <c r="AZ372" i="3"/>
  <c r="AZ327" i="3"/>
  <c r="AZ311" i="3"/>
  <c r="AA11" i="39"/>
  <c r="S11" i="39"/>
  <c r="S12" i="21"/>
  <c r="AA12" i="21"/>
  <c r="AC26" i="37"/>
  <c r="W26" i="37"/>
  <c r="W12" i="40"/>
  <c r="AC12" i="40"/>
  <c r="AB40" i="40"/>
  <c r="U40" i="40"/>
  <c r="AZ362" i="3"/>
  <c r="AZ334" i="3"/>
  <c r="AZ306" i="3"/>
  <c r="AZ364" i="3"/>
  <c r="AZ351" i="3"/>
  <c r="AZ329" i="3"/>
  <c r="AZ380" i="3"/>
  <c r="AZ511" i="3"/>
  <c r="AZ515" i="3"/>
  <c r="AZ519" i="3"/>
  <c r="AZ565" i="3"/>
  <c r="AZ569" i="3"/>
  <c r="AZ573" i="3"/>
  <c r="AZ577" i="3"/>
  <c r="AZ508" i="3"/>
  <c r="BL586" i="3"/>
  <c r="AZ586" i="3" s="1"/>
  <c r="BA551" i="3"/>
  <c r="AZ551" i="3" s="1"/>
  <c r="BL550" i="3"/>
  <c r="BA550" i="3"/>
  <c r="BL548" i="3"/>
  <c r="BL15" i="3"/>
  <c r="AZ15" i="3" s="1"/>
  <c r="BL441" i="3"/>
  <c r="AZ441" i="3" s="1"/>
  <c r="W40" i="37"/>
  <c r="AB13" i="34"/>
  <c r="U35" i="35"/>
  <c r="AZ497" i="3"/>
  <c r="AZ501" i="3"/>
  <c r="AZ525" i="3"/>
  <c r="AZ533" i="3"/>
  <c r="AZ541" i="3"/>
  <c r="AZ555" i="3"/>
  <c r="AZ583" i="3"/>
  <c r="AZ510" i="3"/>
  <c r="AZ540" i="3"/>
  <c r="AZ548" i="3"/>
  <c r="AZ558" i="3"/>
  <c r="S44" i="34"/>
  <c r="W31" i="34"/>
  <c r="AB30" i="21"/>
  <c r="AA13" i="35"/>
  <c r="S28" i="34"/>
  <c r="AB17" i="34"/>
  <c r="J9" i="33"/>
  <c r="AC9" i="33" s="1"/>
  <c r="F38" i="33"/>
  <c r="AA38" i="33" s="1"/>
  <c r="J23" i="35"/>
  <c r="F9" i="36"/>
  <c r="F26" i="37"/>
  <c r="F44" i="39"/>
  <c r="G574" i="3"/>
  <c r="G558" i="3"/>
  <c r="G542" i="3"/>
  <c r="G14" i="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G443" i="3"/>
  <c r="G445" i="3"/>
  <c r="BL445" i="3"/>
  <c r="G447" i="3"/>
  <c r="BL447" i="3"/>
  <c r="BA448" i="3"/>
  <c r="AZ448" i="3" s="1"/>
  <c r="BA451" i="3"/>
  <c r="BL451" i="3"/>
  <c r="BA452" i="3"/>
  <c r="AZ452" i="3" s="1"/>
  <c r="G457" i="3"/>
  <c r="G458" i="3"/>
  <c r="G462" i="3"/>
  <c r="G464" i="3"/>
  <c r="BL464" i="3"/>
  <c r="G467" i="3"/>
  <c r="BL467" i="3"/>
  <c r="AZ467" i="3" s="1"/>
  <c r="BA468" i="3"/>
  <c r="AZ468" i="3" s="1"/>
  <c r="BA469" i="3"/>
  <c r="AZ469" i="3" s="1"/>
  <c r="BL469" i="3"/>
  <c r="BA470" i="3"/>
  <c r="AZ470" i="3" s="1"/>
  <c r="G473" i="3"/>
  <c r="G474" i="3"/>
  <c r="BL474" i="3"/>
  <c r="BA475" i="3"/>
  <c r="AZ475" i="3" s="1"/>
  <c r="G480" i="3"/>
  <c r="BL480" i="3"/>
  <c r="G482" i="3"/>
  <c r="BL482" i="3"/>
  <c r="AZ482" i="3" s="1"/>
  <c r="BA483" i="3"/>
  <c r="AZ483" i="3" s="1"/>
  <c r="G486" i="3"/>
  <c r="BL486" i="3"/>
  <c r="G488" i="3"/>
  <c r="BL488" i="3"/>
  <c r="BA489" i="3"/>
  <c r="AZ489" i="3" s="1"/>
  <c r="BA490" i="3"/>
  <c r="AZ490" i="3" s="1"/>
  <c r="BA491" i="3"/>
  <c r="AZ491" i="3" s="1"/>
  <c r="AZ260" i="3"/>
  <c r="AZ274" i="3"/>
  <c r="AZ298" i="3"/>
  <c r="AZ445" i="3"/>
  <c r="AZ447" i="3"/>
  <c r="AZ450" i="3"/>
  <c r="AZ454" i="3"/>
  <c r="AZ459" i="3"/>
  <c r="AZ464" i="3"/>
  <c r="AZ474" i="3"/>
  <c r="AZ477" i="3"/>
  <c r="AZ480" i="3"/>
  <c r="AZ486" i="3"/>
  <c r="AZ488"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BL247" i="3"/>
  <c r="AZ247" i="3" s="1"/>
  <c r="BL249" i="3"/>
  <c r="AZ249" i="3" s="1"/>
  <c r="BL251" i="3"/>
  <c r="AZ251" i="3" s="1"/>
  <c r="BA252" i="3"/>
  <c r="AZ252" i="3" s="1"/>
  <c r="BA253" i="3"/>
  <c r="AZ253" i="3" s="1"/>
  <c r="BA254" i="3"/>
  <c r="AZ254" i="3" s="1"/>
  <c r="BL256" i="3"/>
  <c r="AZ256" i="3" s="1"/>
  <c r="G259" i="3"/>
  <c r="G260" i="3"/>
  <c r="BL260" i="3"/>
  <c r="BA262" i="3"/>
  <c r="AZ262" i="3" s="1"/>
  <c r="BA263" i="3"/>
  <c r="AZ263" i="3" s="1"/>
  <c r="BL265" i="3"/>
  <c r="AZ265" i="3" s="1"/>
  <c r="G268" i="3"/>
  <c r="G269" i="3"/>
  <c r="G270" i="3"/>
  <c r="BL270" i="3"/>
  <c r="AZ270" i="3" s="1"/>
  <c r="G273" i="3"/>
  <c r="G274" i="3"/>
  <c r="BL274" i="3"/>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C78" i="71"/>
  <c r="D78" i="71" s="1"/>
  <c r="D79" i="71"/>
  <c r="AB18" i="36"/>
  <c r="U18" i="36"/>
  <c r="D52" i="71"/>
  <c r="C70" i="71"/>
  <c r="D70" i="71" s="1"/>
  <c r="D87" i="71"/>
  <c r="AB30" i="71"/>
  <c r="AB31" i="71"/>
  <c r="C43" i="71"/>
  <c r="D42" i="7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A94" i="3"/>
  <c r="AZ94" i="3" s="1"/>
  <c r="BA96" i="3"/>
  <c r="AZ96" i="3" s="1"/>
  <c r="BA97" i="3"/>
  <c r="AZ97" i="3" s="1"/>
  <c r="BA99" i="3"/>
  <c r="AZ99" i="3" s="1"/>
  <c r="BL101" i="3"/>
  <c r="AZ101" i="3" s="1"/>
  <c r="AC21" i="34"/>
  <c r="AA18" i="35"/>
  <c r="S18" i="35"/>
  <c r="D55" i="71"/>
  <c r="C56" i="71"/>
  <c r="T56" i="71" s="1"/>
  <c r="D30" i="71"/>
  <c r="C31" i="71"/>
  <c r="C27" i="71"/>
  <c r="T28" i="71"/>
  <c r="D28" i="71"/>
  <c r="U28" i="71" s="1"/>
  <c r="AB34" i="71"/>
  <c r="AB33" i="71"/>
  <c r="F38" i="71"/>
  <c r="F39" i="71" s="1"/>
  <c r="F40" i="71" s="1"/>
  <c r="V40" i="71" s="1"/>
  <c r="AB37" i="71"/>
  <c r="D84" i="71"/>
  <c r="C83" i="71"/>
  <c r="BA103" i="3"/>
  <c r="AZ103" i="3" s="1"/>
  <c r="BL105" i="3"/>
  <c r="AZ105" i="3" s="1"/>
  <c r="BA106" i="3"/>
  <c r="AZ106" i="3" s="1"/>
  <c r="BA107" i="3"/>
  <c r="AZ107" i="3" s="1"/>
  <c r="BL109" i="3"/>
  <c r="AZ109" i="3" s="1"/>
  <c r="BL111" i="3"/>
  <c r="AZ111" i="3" s="1"/>
  <c r="BA112" i="3"/>
  <c r="AZ112" i="3" s="1"/>
  <c r="D58" i="81"/>
  <c r="E58" i="81" s="1"/>
  <c r="F58" i="81" s="1"/>
  <c r="G58" i="81" s="1"/>
  <c r="H58" i="81" s="1"/>
  <c r="I58" i="81" s="1"/>
  <c r="J58" i="81" s="1"/>
  <c r="K58" i="81" s="1"/>
  <c r="L58" i="81" s="1"/>
  <c r="M58" i="81" s="1"/>
  <c r="N58" i="81" s="1"/>
  <c r="O58" i="81" s="1"/>
  <c r="F7" i="81"/>
  <c r="J7" i="81"/>
  <c r="H7" i="81"/>
  <c r="A13" i="51"/>
  <c r="B11" i="72" s="1"/>
  <c r="Y30" i="71"/>
  <c r="Z30" i="71" s="1"/>
  <c r="X29" i="71"/>
  <c r="F35" i="71"/>
  <c r="F36" i="71" s="1"/>
  <c r="V36" i="71" s="1"/>
  <c r="Y34" i="71"/>
  <c r="Z34" i="71" s="1"/>
  <c r="B51" i="71"/>
  <c r="B52" i="71" s="1"/>
  <c r="S52" i="71" s="1"/>
  <c r="U30" i="33"/>
  <c r="AC12" i="33"/>
  <c r="W12" i="33"/>
  <c r="H19" i="33"/>
  <c r="U19" i="33" s="1"/>
  <c r="S31" i="33"/>
  <c r="F19" i="33"/>
  <c r="S19" i="33" s="1"/>
  <c r="F25" i="33"/>
  <c r="AA25" i="33" s="1"/>
  <c r="F43" i="33"/>
  <c r="AA43" i="33" s="1"/>
  <c r="J43" i="33"/>
  <c r="AC43" i="33" s="1"/>
  <c r="J45" i="33"/>
  <c r="W45" i="33" s="1"/>
  <c r="H29" i="33"/>
  <c r="U29" i="33" s="1"/>
  <c r="J28" i="33"/>
  <c r="W28" i="33" s="1"/>
  <c r="F41" i="33"/>
  <c r="AA41" i="33" s="1"/>
  <c r="AB12" i="33"/>
  <c r="W13" i="33"/>
  <c r="AC13" i="33"/>
  <c r="U45" i="33"/>
  <c r="AB45" i="33"/>
  <c r="AB9" i="33"/>
  <c r="U9" i="33"/>
  <c r="W23" i="33"/>
  <c r="W9" i="33"/>
  <c r="W30" i="33"/>
  <c r="U39" i="33"/>
  <c r="F45" i="33"/>
  <c r="AA45" i="33" s="1"/>
  <c r="J31" i="33"/>
  <c r="W31" i="33" s="1"/>
  <c r="F13" i="33"/>
  <c r="H26" i="33"/>
  <c r="U26" i="33" s="1"/>
  <c r="F32" i="33"/>
  <c r="AA32" i="33" s="1"/>
  <c r="F26" i="33"/>
  <c r="AA26" i="33" s="1"/>
  <c r="H38" i="33"/>
  <c r="AB38" i="33" s="1"/>
  <c r="AB21" i="33"/>
  <c r="AA17" i="33"/>
  <c r="AC17" i="33"/>
  <c r="S12" i="33"/>
  <c r="J42" i="33"/>
  <c r="AA30" i="33"/>
  <c r="H27" i="33"/>
  <c r="AB27" i="33" s="1"/>
  <c r="F27" i="33"/>
  <c r="AA27" i="33" s="1"/>
  <c r="F91" i="33"/>
  <c r="G91" i="33" s="1"/>
  <c r="H91" i="33" s="1"/>
  <c r="I91" i="33" s="1"/>
  <c r="J91" i="33" s="1"/>
  <c r="K91" i="33" s="1"/>
  <c r="L91" i="33" s="1"/>
  <c r="M91" i="33" s="1"/>
  <c r="C18" i="9"/>
  <c r="D18" i="9" s="1"/>
  <c r="J27" i="33"/>
  <c r="W27" i="33" s="1"/>
  <c r="S27" i="33"/>
  <c r="AB28" i="33"/>
  <c r="S43" i="33"/>
  <c r="W43" i="33"/>
  <c r="U43" i="33"/>
  <c r="J41" i="33"/>
  <c r="H41" i="33"/>
  <c r="AB41" i="33" s="1"/>
  <c r="S39" i="33"/>
  <c r="U37" i="33"/>
  <c r="E113" i="33"/>
  <c r="F113" i="33" s="1"/>
  <c r="G113" i="33" s="1"/>
  <c r="H113" i="33" s="1"/>
  <c r="I113" i="33" s="1"/>
  <c r="J113" i="33" s="1"/>
  <c r="K113" i="33" s="1"/>
  <c r="L113" i="33" s="1"/>
  <c r="M113" i="33" s="1"/>
  <c r="F111" i="33"/>
  <c r="G111" i="33" s="1"/>
  <c r="H111" i="33" s="1"/>
  <c r="I111" i="33" s="1"/>
  <c r="J111" i="33" s="1"/>
  <c r="K111" i="33" s="1"/>
  <c r="L111" i="33" s="1"/>
  <c r="M111" i="33" s="1"/>
  <c r="F36" i="33"/>
  <c r="AA36" i="33" s="1"/>
  <c r="J36" i="33"/>
  <c r="W36" i="33" s="1"/>
  <c r="H36" i="33"/>
  <c r="U36" i="33" s="1"/>
  <c r="W35" i="33"/>
  <c r="U35" i="33"/>
  <c r="J34" i="33"/>
  <c r="F34" i="33"/>
  <c r="S34" i="33" s="1"/>
  <c r="F106" i="33"/>
  <c r="G106" i="33" s="1"/>
  <c r="H106" i="33" s="1"/>
  <c r="I106" i="33" s="1"/>
  <c r="J106" i="33" s="1"/>
  <c r="K106" i="33" s="1"/>
  <c r="L106" i="33" s="1"/>
  <c r="M106" i="33" s="1"/>
  <c r="H34" i="33"/>
  <c r="J25" i="33"/>
  <c r="W25" i="33" s="1"/>
  <c r="AA21" i="33"/>
  <c r="J19" i="33"/>
  <c r="J15" i="33"/>
  <c r="W21" i="33"/>
  <c r="U11" i="33"/>
  <c r="S23" i="33"/>
  <c r="W40" i="33"/>
  <c r="W39" i="33"/>
  <c r="AC37" i="33"/>
  <c r="U32" i="33"/>
  <c r="W46" i="33"/>
  <c r="AC45" i="33"/>
  <c r="U46" i="33"/>
  <c r="U27" i="33"/>
  <c r="AB31" i="33"/>
  <c r="U31" i="33"/>
  <c r="F29" i="33"/>
  <c r="AB25" i="33"/>
  <c r="U23" i="33"/>
  <c r="AB19" i="33"/>
  <c r="AA19" i="33"/>
  <c r="U17" i="33"/>
  <c r="U15" i="33"/>
  <c r="U42" i="33"/>
  <c r="S42" i="33"/>
  <c r="U40" i="33"/>
  <c r="W38" i="33"/>
  <c r="S38" i="33"/>
  <c r="S37" i="33"/>
  <c r="AA35" i="33"/>
  <c r="W32" i="33"/>
  <c r="W29" i="33"/>
  <c r="S28" i="33"/>
  <c r="AC27" i="33"/>
  <c r="AC26" i="33"/>
  <c r="S26" i="33"/>
  <c r="AB26" i="33"/>
  <c r="W8" i="33"/>
  <c r="S11" i="33"/>
  <c r="C15" i="39"/>
  <c r="F30" i="69"/>
  <c r="F48" i="69" s="1"/>
  <c r="D68" i="9"/>
  <c r="F31" i="12"/>
  <c r="M18" i="15"/>
  <c r="M18" i="67"/>
  <c r="F30" i="11"/>
  <c r="C48" i="11" s="1"/>
  <c r="F54" i="9"/>
  <c r="F28" i="15"/>
  <c r="F32" i="15"/>
  <c r="F60" i="15" s="1"/>
  <c r="F32" i="67"/>
  <c r="F60" i="67" s="1"/>
  <c r="F52" i="9"/>
  <c r="F28" i="67"/>
  <c r="C28" i="67" s="1"/>
  <c r="F30" i="68"/>
  <c r="F48" i="68" s="1"/>
  <c r="G1" i="69"/>
  <c r="K1" i="12"/>
  <c r="F29" i="6"/>
  <c r="A118" i="9"/>
  <c r="B16" i="53"/>
  <c r="B33" i="72" s="1"/>
  <c r="D20" i="71"/>
  <c r="U20" i="71" s="1"/>
  <c r="T20" i="71"/>
  <c r="V20" i="71"/>
  <c r="E15" i="71"/>
  <c r="E14" i="71" s="1"/>
  <c r="E13" i="71" s="1"/>
  <c r="E12" i="71" s="1"/>
  <c r="V16" i="71"/>
  <c r="AZ521" i="3"/>
  <c r="G5" i="3"/>
  <c r="B3" i="3" s="1"/>
  <c r="AA39" i="34"/>
  <c r="AC11" i="39"/>
  <c r="AC12" i="37"/>
  <c r="AC11" i="35"/>
  <c r="G28" i="6"/>
  <c r="E28" i="6" s="1"/>
  <c r="K14" i="1" s="1"/>
  <c r="BL585" i="3"/>
  <c r="AZ585" i="3" s="1"/>
  <c r="B101" i="43"/>
  <c r="B79" i="43"/>
  <c r="B97" i="43"/>
  <c r="B75" i="43"/>
  <c r="J12" i="35"/>
  <c r="H36" i="35"/>
  <c r="J36" i="35"/>
  <c r="J23" i="36"/>
  <c r="H23" i="36"/>
  <c r="F23" i="36"/>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B94" i="43"/>
  <c r="B73" i="43"/>
  <c r="B99" i="43"/>
  <c r="B76" i="43"/>
  <c r="J9" i="34"/>
  <c r="F9" i="34"/>
  <c r="AA9" i="34" s="1"/>
  <c r="J12" i="34"/>
  <c r="F12" i="34"/>
  <c r="J34" i="35"/>
  <c r="H34" i="35"/>
  <c r="F34" i="35"/>
  <c r="A15" i="62"/>
  <c r="B61" i="72" s="1"/>
  <c r="AZ264" i="3"/>
  <c r="AZ282" i="3"/>
  <c r="AZ285" i="3"/>
  <c r="AZ290" i="3"/>
  <c r="AZ293" i="3"/>
  <c r="AZ153" i="3"/>
  <c r="AZ169" i="3"/>
  <c r="AZ185" i="3"/>
  <c r="AZ201" i="3"/>
  <c r="AZ207" i="3"/>
  <c r="AZ25" i="3"/>
  <c r="AZ30" i="3"/>
  <c r="AZ36" i="3"/>
  <c r="AZ40" i="3"/>
  <c r="AZ46" i="3"/>
  <c r="AZ49" i="3"/>
  <c r="AZ62" i="3"/>
  <c r="AZ65" i="3"/>
  <c r="AZ76" i="3"/>
  <c r="AZ81" i="3"/>
  <c r="AZ90" i="3"/>
  <c r="AZ95" i="3"/>
  <c r="AZ98" i="3"/>
  <c r="AZ100" i="3"/>
  <c r="AZ104" i="3"/>
  <c r="AZ108" i="3"/>
  <c r="F40" i="68"/>
  <c r="C21" i="68"/>
  <c r="F40" i="69"/>
  <c r="C40" i="69"/>
  <c r="B100" i="43"/>
  <c r="B77" i="43"/>
  <c r="B68" i="43"/>
  <c r="C29" i="39"/>
  <c r="E27" i="71"/>
  <c r="E26" i="71" s="1"/>
  <c r="V28" i="71"/>
  <c r="AA3" i="71"/>
  <c r="AA26" i="71"/>
  <c r="AA28" i="71"/>
  <c r="X33" i="71"/>
  <c r="X34" i="71"/>
  <c r="X35" i="71"/>
  <c r="AA9" i="71"/>
  <c r="AA10" i="71"/>
  <c r="AA39" i="71"/>
  <c r="AA37" i="71"/>
  <c r="C47" i="71"/>
  <c r="D47" i="71" s="1"/>
  <c r="D46" i="71"/>
  <c r="S68" i="71"/>
  <c r="B67" i="71"/>
  <c r="T72" i="71"/>
  <c r="D72" i="71"/>
  <c r="T80" i="71"/>
  <c r="D80" i="71"/>
  <c r="AB21" i="37"/>
  <c r="U29" i="39"/>
  <c r="B57" i="43"/>
  <c r="AA21" i="34"/>
  <c r="S21" i="34"/>
  <c r="D64" i="71"/>
  <c r="D56" i="71"/>
  <c r="P65" i="71"/>
  <c r="C36" i="71"/>
  <c r="P67" i="71"/>
  <c r="C60" i="71"/>
  <c r="D63" i="71"/>
  <c r="C66" i="71"/>
  <c r="AA27" i="71"/>
  <c r="AB27" i="71"/>
  <c r="D34" i="71"/>
  <c r="X27" i="71"/>
  <c r="Y37" i="71"/>
  <c r="Z37" i="71" s="1"/>
  <c r="AA34" i="71"/>
  <c r="Y33" i="71"/>
  <c r="Z33" i="71" s="1"/>
  <c r="X32" i="71"/>
  <c r="X30" i="71"/>
  <c r="N68" i="71"/>
  <c r="E40" i="71"/>
  <c r="U40" i="71" s="1"/>
  <c r="B36" i="71"/>
  <c r="S36" i="71" s="1"/>
  <c r="AA29" i="71"/>
  <c r="B32" i="71"/>
  <c r="S32" i="71" s="1"/>
  <c r="B28" i="71"/>
  <c r="X26" i="71"/>
  <c r="X28" i="71"/>
  <c r="Y29" i="71"/>
  <c r="Z29" i="71" s="1"/>
  <c r="Y25" i="71"/>
  <c r="Z25"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22" i="71"/>
  <c r="AA24" i="71"/>
  <c r="Y21" i="71"/>
  <c r="Z21" i="71" s="1"/>
  <c r="AB23" i="71"/>
  <c r="AB21" i="71"/>
  <c r="AA21" i="71"/>
  <c r="X21" i="71"/>
  <c r="X17" i="71"/>
  <c r="Y17" i="71"/>
  <c r="Z17" i="71" s="1"/>
  <c r="AA17" i="71"/>
  <c r="AB18" i="71"/>
  <c r="Y14" i="71"/>
  <c r="Z14" i="71" s="1"/>
  <c r="X9" i="71"/>
  <c r="X10" i="71"/>
  <c r="AB9" i="71"/>
  <c r="AB10" i="71"/>
  <c r="AB24" i="71"/>
  <c r="AA23" i="71"/>
  <c r="AA22" i="71"/>
  <c r="Y18" i="71"/>
  <c r="Z18" i="71" s="1"/>
  <c r="X18" i="71"/>
  <c r="AA18" i="71"/>
  <c r="X14" i="71"/>
  <c r="AA12" i="71"/>
  <c r="X24" i="71"/>
  <c r="Y24" i="71"/>
  <c r="Z24" i="71" s="1"/>
  <c r="AB15" i="71"/>
  <c r="AB17" i="71"/>
  <c r="X11" i="71"/>
  <c r="AB11" i="71"/>
  <c r="AB14" i="71"/>
  <c r="Y12" i="71"/>
  <c r="Z12" i="71" s="1"/>
  <c r="Y13" i="71"/>
  <c r="Z13" i="71" s="1"/>
  <c r="K56" i="9"/>
  <c r="Y23" i="71"/>
  <c r="Z23" i="71" s="1"/>
  <c r="Y22" i="71"/>
  <c r="Z22" i="71" s="1"/>
  <c r="X15" i="71"/>
  <c r="AA15" i="71"/>
  <c r="AA11" i="71"/>
  <c r="AA13" i="71"/>
  <c r="AA14" i="71"/>
  <c r="X12" i="71"/>
  <c r="X13" i="71"/>
  <c r="AB12"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51" i="15"/>
  <c r="F71" i="15"/>
  <c r="C6" i="15"/>
  <c r="L59" i="15"/>
  <c r="N59" i="15"/>
  <c r="L58" i="15"/>
  <c r="M59" i="15"/>
  <c r="F66" i="15"/>
  <c r="F64" i="15"/>
  <c r="C27" i="15"/>
  <c r="F65" i="15"/>
  <c r="N59" i="67"/>
  <c r="L59" i="67"/>
  <c r="M59" i="67"/>
  <c r="B13" i="70"/>
  <c r="F68" i="15"/>
  <c r="C36" i="68"/>
  <c r="D9" i="69"/>
  <c r="F27" i="69"/>
  <c r="D9" i="68"/>
  <c r="M9" i="67"/>
  <c r="F13" i="67"/>
  <c r="F9" i="67"/>
  <c r="L48" i="67"/>
  <c r="M24" i="67"/>
  <c r="F36" i="67"/>
  <c r="F26" i="67"/>
  <c r="F38" i="67"/>
  <c r="M29" i="67"/>
  <c r="C16" i="15"/>
  <c r="G1" i="73"/>
  <c r="M22" i="67"/>
  <c r="F16" i="67"/>
  <c r="F40" i="67"/>
  <c r="J15" i="67"/>
  <c r="M6" i="67"/>
  <c r="C76" i="67"/>
  <c r="M8" i="67"/>
  <c r="M28" i="67"/>
  <c r="F37" i="67"/>
  <c r="F7" i="67"/>
  <c r="F43" i="67"/>
  <c r="F71" i="67" l="1"/>
  <c r="F50" i="67"/>
  <c r="F59" i="67" s="1"/>
  <c r="M7" i="67"/>
  <c r="J6" i="67" s="1"/>
  <c r="J18" i="67" s="1"/>
  <c r="F65" i="67"/>
  <c r="Q71" i="67"/>
  <c r="F68" i="67"/>
  <c r="F66" i="67"/>
  <c r="C27" i="67"/>
  <c r="F64" i="67"/>
  <c r="J57" i="67"/>
  <c r="J55" i="67" s="1"/>
  <c r="J58" i="67" s="1"/>
  <c r="Q50" i="67" s="1"/>
  <c r="I54" i="67"/>
  <c r="L58" i="67"/>
  <c r="Q73" i="67" s="1"/>
  <c r="J53" i="67"/>
  <c r="F1" i="67" s="1"/>
  <c r="L56" i="67"/>
  <c r="U7" i="81"/>
  <c r="AB7" i="81"/>
  <c r="S7" i="81"/>
  <c r="AA7" i="81"/>
  <c r="D31" i="71"/>
  <c r="C32" i="71"/>
  <c r="D43" i="71"/>
  <c r="C44" i="71"/>
  <c r="AA44" i="39"/>
  <c r="S44" i="39"/>
  <c r="AA9" i="36"/>
  <c r="S9" i="36"/>
  <c r="AP6" i="1"/>
  <c r="C36" i="69" s="1"/>
  <c r="BL5" i="3"/>
  <c r="C31" i="12"/>
  <c r="AC7" i="81"/>
  <c r="W7" i="81"/>
  <c r="D83" i="71"/>
  <c r="C82" i="71"/>
  <c r="D82" i="71" s="1"/>
  <c r="C26" i="71"/>
  <c r="D26" i="71" s="1"/>
  <c r="D27" i="71"/>
  <c r="AZ451" i="3"/>
  <c r="AZ402" i="3"/>
  <c r="AA26" i="37"/>
  <c r="S26" i="37"/>
  <c r="AC23" i="35"/>
  <c r="W23" i="35"/>
  <c r="AZ550" i="3"/>
  <c r="BA5" i="3"/>
  <c r="C18" i="71"/>
  <c r="D19" i="71"/>
  <c r="AB29" i="33"/>
  <c r="S25" i="33"/>
  <c r="S32" i="33"/>
  <c r="U38" i="33"/>
  <c r="S41" i="33"/>
  <c r="S45" i="33"/>
  <c r="S36" i="33"/>
  <c r="AC31" i="33"/>
  <c r="AC28" i="33"/>
  <c r="S13" i="33"/>
  <c r="AA13" i="33"/>
  <c r="AC42" i="33"/>
  <c r="W42" i="33"/>
  <c r="AB36" i="33"/>
  <c r="U41" i="33"/>
  <c r="W41" i="33"/>
  <c r="AC41" i="33"/>
  <c r="AC36" i="33"/>
  <c r="U34" i="33"/>
  <c r="AB34" i="33"/>
  <c r="AA34" i="33"/>
  <c r="W34" i="33"/>
  <c r="AC34" i="33"/>
  <c r="AC25" i="33"/>
  <c r="AC19" i="33"/>
  <c r="W19" i="33"/>
  <c r="AC15" i="33"/>
  <c r="W15" i="33"/>
  <c r="S29" i="33"/>
  <c r="AA29" i="33"/>
  <c r="C30" i="68"/>
  <c r="K16" i="1"/>
  <c r="B15" i="71"/>
  <c r="B14" i="71" s="1"/>
  <c r="B13" i="71" s="1"/>
  <c r="B12" i="71" s="1"/>
  <c r="S16" i="71"/>
  <c r="F7" i="36"/>
  <c r="J7" i="37"/>
  <c r="AC7" i="37" s="1"/>
  <c r="V42" i="37" s="1"/>
  <c r="I42" i="37" s="1"/>
  <c r="H7" i="36"/>
  <c r="AZ5" i="3"/>
  <c r="E3" i="6" s="1"/>
  <c r="D39" i="71"/>
  <c r="C40" i="71"/>
  <c r="D66" i="71"/>
  <c r="O65" i="71"/>
  <c r="O66" i="71"/>
  <c r="T60" i="71"/>
  <c r="D60" i="71"/>
  <c r="T36" i="71"/>
  <c r="D36" i="71"/>
  <c r="AA34" i="35"/>
  <c r="S34" i="35"/>
  <c r="AC34" i="35"/>
  <c r="W34" i="35"/>
  <c r="W12" i="34"/>
  <c r="AC12" i="34"/>
  <c r="AC9" i="34"/>
  <c r="W9" i="34"/>
  <c r="AA23" i="36"/>
  <c r="S23" i="36"/>
  <c r="AC23" i="36"/>
  <c r="W23" i="36"/>
  <c r="AB36" i="35"/>
  <c r="U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521" i="3"/>
  <c r="B27" i="71"/>
  <c r="B26" i="71" s="1"/>
  <c r="S28" i="71"/>
  <c r="B66" i="71"/>
  <c r="N67" i="71"/>
  <c r="AB34" i="35"/>
  <c r="U34" i="35"/>
  <c r="S12" i="34"/>
  <c r="AA12" i="34"/>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M14" i="1"/>
  <c r="D5" i="43"/>
  <c r="J10" i="40"/>
  <c r="AC10" i="40" s="1"/>
  <c r="H10" i="39"/>
  <c r="U10" i="39" s="1"/>
  <c r="F10" i="40"/>
  <c r="S10" i="40" s="1"/>
  <c r="J10" i="39"/>
  <c r="W10" i="39" s="1"/>
  <c r="H10" i="40"/>
  <c r="AB10" i="40" s="1"/>
  <c r="D26" i="43"/>
  <c r="C25" i="43" s="1"/>
  <c r="C7" i="43"/>
  <c r="C5" i="43" s="1"/>
  <c r="B7" i="74"/>
  <c r="F67" i="39"/>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52" i="67"/>
  <c r="Q60" i="15"/>
  <c r="Q73" i="15"/>
  <c r="Q61" i="67"/>
  <c r="Q74" i="67"/>
  <c r="Q74" i="15"/>
  <c r="Q61" i="15"/>
  <c r="AE11" i="1"/>
  <c r="AE9" i="1"/>
  <c r="F27" i="68"/>
  <c r="AE7" i="1"/>
  <c r="AE8" i="1"/>
  <c r="AE12" i="1"/>
  <c r="AE10" i="1"/>
  <c r="C16" i="67"/>
  <c r="AE6" i="1"/>
  <c r="M17" i="67" l="1"/>
  <c r="Q60" i="67"/>
  <c r="C49" i="67"/>
  <c r="J5" i="67"/>
  <c r="C17" i="71"/>
  <c r="D18" i="71"/>
  <c r="T44" i="71"/>
  <c r="D44" i="71"/>
  <c r="T32" i="71"/>
  <c r="D32" i="71"/>
  <c r="N65" i="71"/>
  <c r="N66" i="71"/>
  <c r="T40" i="71"/>
  <c r="D40"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F25" i="12"/>
  <c r="F22" i="69"/>
  <c r="F41" i="69" s="1"/>
  <c r="F24" i="67"/>
  <c r="C24" i="67" s="1"/>
  <c r="F22" i="11"/>
  <c r="F22" i="68"/>
  <c r="F24" i="15"/>
  <c r="C24" i="15" s="1"/>
  <c r="F41" i="67"/>
  <c r="F41" i="15"/>
  <c r="M27" i="15"/>
  <c r="M27" i="67"/>
  <c r="C16" i="71" l="1"/>
  <c r="D17" i="71"/>
  <c r="B14" i="74"/>
  <c r="B1" i="74" s="1"/>
  <c r="C33" i="81"/>
  <c r="C33" i="33"/>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J33" i="81" l="1"/>
  <c r="H33" i="81"/>
  <c r="F33" i="81"/>
  <c r="D16" i="71"/>
  <c r="U16" i="71" s="1"/>
  <c r="T16" i="71"/>
  <c r="C15" i="71"/>
  <c r="H33" i="33"/>
  <c r="J33" i="33"/>
  <c r="F33" i="33"/>
  <c r="B29" i="1"/>
  <c r="C8" i="68" s="1"/>
  <c r="C5" i="68" s="1"/>
  <c r="C23" i="68" s="1"/>
  <c r="H24" i="6"/>
  <c r="H22" i="6"/>
  <c r="C25" i="11"/>
  <c r="C22" i="11" s="1"/>
  <c r="C31" i="1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C14" i="15"/>
  <c r="E6" i="76"/>
  <c r="B6" i="76"/>
  <c r="AC33" i="33" l="1"/>
  <c r="V48" i="33" s="1"/>
  <c r="I48" i="33" s="1"/>
  <c r="I52" i="33" s="1"/>
  <c r="J52" i="33" s="1"/>
  <c r="W33" i="33"/>
  <c r="C14" i="71"/>
  <c r="D15" i="71"/>
  <c r="U33" i="81"/>
  <c r="AB33" i="81"/>
  <c r="T48" i="81" s="1"/>
  <c r="G48" i="81" s="1"/>
  <c r="AA33" i="33"/>
  <c r="R48" i="33" s="1"/>
  <c r="S33" i="33"/>
  <c r="AB33" i="33"/>
  <c r="T48" i="33" s="1"/>
  <c r="G48" i="33" s="1"/>
  <c r="U33" i="33"/>
  <c r="AA33" i="81"/>
  <c r="R48" i="81" s="1"/>
  <c r="S33" i="81"/>
  <c r="W33" i="81"/>
  <c r="AC33" i="81"/>
  <c r="V48" i="81" s="1"/>
  <c r="I48" i="81" s="1"/>
  <c r="I52" i="81" s="1"/>
  <c r="J52" i="81"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2" i="81" l="1"/>
  <c r="H52" i="81" s="1"/>
  <c r="G53" i="81"/>
  <c r="H53" i="81" s="1"/>
  <c r="R49" i="81"/>
  <c r="E48" i="81"/>
  <c r="G53" i="33"/>
  <c r="H53" i="33" s="1"/>
  <c r="G52" i="33"/>
  <c r="H52" i="33" s="1"/>
  <c r="R49" i="33"/>
  <c r="E48" i="33"/>
  <c r="C13" i="71"/>
  <c r="D14" i="71"/>
  <c r="C21" i="12"/>
  <c r="C22" i="12" s="1"/>
  <c r="F7" i="21"/>
  <c r="S7" i="21" s="1"/>
  <c r="J7" i="2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I53" i="33"/>
  <c r="J53" i="33" s="1"/>
  <c r="E53" i="33"/>
  <c r="F53" i="33" s="1"/>
  <c r="E52" i="33"/>
  <c r="F52" i="33" s="1"/>
  <c r="I53" i="81"/>
  <c r="J53" i="81" s="1"/>
  <c r="E52" i="81"/>
  <c r="F52" i="81" s="1"/>
  <c r="E53" i="81"/>
  <c r="F53" i="81" s="1"/>
  <c r="C12" i="71"/>
  <c r="D13" i="71"/>
  <c r="C48" i="33"/>
  <c r="C49" i="33"/>
  <c r="C49" i="81"/>
  <c r="C48" i="8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B3" i="81" l="1"/>
  <c r="U6" i="1"/>
  <c r="T12" i="71"/>
  <c r="C11" i="71"/>
  <c r="D12" i="71"/>
  <c r="U12" i="7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F31" i="67" l="1"/>
  <c r="C6" i="67"/>
  <c r="C10" i="67" s="1"/>
  <c r="C5" i="67" s="1"/>
  <c r="C38" i="67" s="1"/>
  <c r="D11" i="71"/>
  <c r="C10"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1" i="67" l="1"/>
  <c r="C30" i="67" s="1"/>
  <c r="C39" i="67" s="1"/>
  <c r="Q69" i="67" s="1"/>
  <c r="Q68" i="67" s="1"/>
  <c r="C9" i="71"/>
  <c r="D10" i="71"/>
  <c r="H39"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80" i="67" l="1"/>
  <c r="C79" i="67" s="1"/>
  <c r="D9" i="71"/>
  <c r="C8"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C19" i="9"/>
  <c r="D2" i="36"/>
  <c r="D19" i="9"/>
  <c r="D2" i="34"/>
  <c r="D2" i="37"/>
  <c r="D8" i="71" l="1"/>
  <c r="C7" i="71"/>
  <c r="D102" i="9"/>
  <c r="D21" i="9"/>
  <c r="B3" i="33"/>
  <c r="G19" i="9"/>
  <c r="C102" i="9"/>
  <c r="D22" i="9"/>
  <c r="C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C20" i="9"/>
  <c r="AO9" i="1"/>
  <c r="AO6" i="1"/>
  <c r="AO11" i="1"/>
  <c r="D20" i="9"/>
  <c r="AO7" i="1"/>
  <c r="AO10" i="1"/>
  <c r="AO8" i="1"/>
  <c r="D7" i="71" l="1"/>
  <c r="C6" i="71"/>
  <c r="G21" i="9"/>
  <c r="D14" i="74"/>
  <c r="G14" i="74" s="1"/>
  <c r="D103" i="9"/>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5" i="71" l="1"/>
  <c r="D5" i="71" s="1"/>
  <c r="M24" i="43" s="1"/>
  <c r="D6" i="71"/>
  <c r="C32" i="9"/>
  <c r="E14" i="74"/>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112" i="9"/>
  <c r="C8" i="74" s="1"/>
  <c r="H111" i="9"/>
  <c r="D19" i="53" s="1"/>
  <c r="D21" i="53" l="1"/>
  <c r="B39" i="72" s="1"/>
  <c r="B38" i="72"/>
  <c r="D20" i="53"/>
  <c r="B40" i="72" s="1"/>
  <c r="D126" i="9"/>
  <c r="D127" i="9" l="1"/>
  <c r="D13" i="52" s="1"/>
  <c r="D12" i="52"/>
  <c r="G118" i="9"/>
  <c r="G4" i="52" s="1"/>
  <c r="B52" i="72" s="1"/>
  <c r="I118" i="9"/>
  <c r="C105" i="9" l="1"/>
  <c r="J118" i="9"/>
  <c r="H118" i="9"/>
  <c r="F118" i="9"/>
  <c r="H102" i="9"/>
  <c r="I4" i="52"/>
  <c r="E118" i="9"/>
  <c r="F4" i="52" l="1"/>
  <c r="B51" i="72" s="1"/>
  <c r="F119" i="9"/>
  <c r="F5" i="52" s="1"/>
  <c r="B53" i="72" s="1"/>
  <c r="E4" i="52"/>
  <c r="B48" i="72" s="1"/>
  <c r="D118" i="9"/>
  <c r="C5" i="74"/>
  <c r="D7" i="53"/>
  <c r="B21" i="72" s="1"/>
  <c r="H4" i="52"/>
  <c r="C104" i="9"/>
  <c r="H119" i="9"/>
  <c r="H5" i="52" s="1"/>
  <c r="H101" i="9"/>
  <c r="H109" i="9" s="1"/>
  <c r="H110" i="9" l="1"/>
  <c r="D124" i="9"/>
  <c r="D16" i="53"/>
  <c r="D5" i="53"/>
  <c r="M48" i="9"/>
  <c r="H107" i="9"/>
  <c r="D45" i="9"/>
  <c r="D119" i="9"/>
  <c r="D5" i="52" s="1"/>
  <c r="B49" i="72" s="1"/>
  <c r="D4" i="52"/>
  <c r="B47" i="72" s="1"/>
  <c r="B34" i="72" l="1"/>
  <c r="D17" i="53"/>
  <c r="B36" i="72" s="1"/>
  <c r="D125" i="9"/>
  <c r="D11" i="52" s="1"/>
  <c r="D10" i="52"/>
  <c r="D18" i="53"/>
  <c r="B35" i="72" s="1"/>
  <c r="C7" i="74"/>
  <c r="D53" i="9"/>
  <c r="C72" i="9"/>
  <c r="C64" i="9"/>
  <c r="C63" i="9" s="1"/>
  <c r="C67" i="9" s="1"/>
  <c r="D55" i="9"/>
  <c r="M53" i="9" s="1"/>
  <c r="D52" i="9"/>
  <c r="C78" i="9"/>
  <c r="C73" i="9" s="1"/>
  <c r="C93" i="9"/>
  <c r="C86" i="9" s="1"/>
  <c r="C85" i="9"/>
  <c r="H108" i="9"/>
  <c r="D122" i="9"/>
  <c r="D13" i="53"/>
  <c r="M49" i="9"/>
  <c r="B20" i="72"/>
  <c r="D6" i="53"/>
  <c r="B22" i="72" s="1"/>
  <c r="B30" i="72" l="1"/>
  <c r="D14" i="53"/>
  <c r="B32" i="72" s="1"/>
  <c r="C68" i="9"/>
  <c r="D54" i="9" s="1"/>
  <c r="D59" i="9"/>
  <c r="M55" i="9" s="1"/>
  <c r="L68" i="9"/>
  <c r="M68" i="9" s="1"/>
  <c r="L66" i="9"/>
  <c r="M66" i="9" s="1"/>
  <c r="L67" i="9"/>
  <c r="M67" i="9" s="1"/>
  <c r="L65" i="9"/>
  <c r="M65" i="9" s="1"/>
  <c r="L64" i="9"/>
  <c r="M64" i="9" s="1"/>
  <c r="L63" i="9"/>
  <c r="M63" i="9" s="1"/>
  <c r="D123" i="9"/>
  <c r="D9" i="52" s="1"/>
  <c r="D8" i="52"/>
  <c r="C95" i="9"/>
  <c r="C79" i="9"/>
  <c r="C6" i="74"/>
  <c r="D15" i="53"/>
  <c r="B31" i="72" s="1"/>
  <c r="C80" i="9" l="1"/>
  <c r="E80" i="9" s="1"/>
  <c r="E81" i="9" s="1"/>
  <c r="C96" i="9"/>
  <c r="E96" i="9" s="1"/>
  <c r="E97" i="9" s="1"/>
  <c r="M69" i="9"/>
  <c r="N69"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<sst xmlns="http://schemas.openxmlformats.org/spreadsheetml/2006/main" count="8301" uniqueCount="3492">
  <si>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</si>
  <si>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</si>
  <si>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</si>
  <si>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</si>
  <si>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</si>
  <si>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</si>
  <si>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</si>
  <si>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</si>
  <si>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</si>
  <si>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</si>
  <si>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</si>
  <si>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</si>
  <si>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</si>
  <si>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</si>
  <si>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</si>
  <si>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</si>
  <si>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</si>
  <si>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</si>
  <si>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</si>
  <si>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</si>
  <si>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</si>
  <si>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</si>
  <si>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</si>
  <si>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</si>
  <si>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</si>
  <si>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</si>
  <si>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</si>
  <si>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</si>
  <si>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</si>
  <si>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</si>
  <si>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</si>
  <si>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</si>
  <si>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</si>
  <si>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</si>
  <si>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</si>
  <si>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</si>
  <si>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</si>
  <si>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</si>
  <si>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</si>
  <si>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</si>
  <si>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</si>
  <si>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</si>
  <si>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</si>
  <si>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</si>
  <si>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</si>
  <si>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</si>
  <si>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</si>
  <si>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</si>
  <si>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</si>
  <si>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</si>
  <si>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</si>
  <si>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</si>
  <si>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</si>
  <si>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</si>
  <si>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</si>
  <si>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</si>
  <si>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</si>
  <si>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</si>
  <si>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</si>
  <si>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</si>
  <si>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</si>
  <si>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</si>
  <si>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</si>
  <si>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</si>
  <si>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</si>
  <si>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</si>
  <si>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</si>
  <si>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</si>
  <si>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</si>
  <si>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</si>
  <si>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</si>
  <si>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</si>
  <si>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</si>
  <si>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</si>
  <si>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</si>
  <si>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</si>
  <si>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</si>
  <si>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</si>
  <si>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</si>
  <si>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</si>
  <si>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</si>
  <si>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</si>
  <si>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</si>
  <si>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</si>
  <si>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</si>
  <si>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</si>
  <si>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</si>
  <si>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</si>
  <si>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</si>
  <si>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</si>
  <si>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</si>
  <si>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</si>
  <si>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</si>
  <si>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</si>
  <si>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</si>
  <si>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</si>
  <si>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</si>
  <si>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</si>
  <si>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</si>
  <si>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</si>
  <si>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</si>
  <si>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</si>
  <si>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</si>
  <si>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</si>
  <si>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</si>
  <si>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</si>
  <si>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</si>
  <si>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</si>
  <si>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</si>
  <si>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</si>
  <si>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</si>
  <si>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</si>
  <si>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</si>
  <si>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</si>
  <si>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</si>
  <si>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</si>
  <si>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</si>
  <si>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</si>
  <si>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</si>
  <si>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</si>
  <si>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</si>
  <si>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</si>
  <si>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</si>
  <si>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</si>
  <si>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</si>
  <si>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</si>
  <si>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</si>
  <si>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</si>
  <si>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</si>
  <si>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</si>
  <si>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</si>
  <si>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</si>
  <si>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</si>
  <si>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</si>
  <si>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</si>
  <si>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</si>
  <si>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</si>
  <si>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</si>
  <si>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</si>
  <si>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</si>
  <si>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</si>
  <si>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</si>
  <si>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</si>
  <si>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</si>
  <si>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</si>
  <si>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</si>
  <si>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</si>
  <si>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</si>
  <si>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</si>
  <si>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</si>
  <si>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</si>
  <si>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</si>
  <si>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</si>
  <si>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</si>
  <si>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</si>
  <si>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</si>
  <si>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</si>
  <si>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</si>
  <si>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</si>
  <si>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</si>
  <si>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</si>
  <si>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</si>
  <si>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</si>
  <si>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</si>
  <si>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</si>
  <si>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</si>
  <si>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</si>
  <si>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</si>
  <si>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</si>
  <si>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</si>
  <si>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</si>
  <si>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</si>
  <si>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</si>
  <si>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</si>
  <si>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</si>
  <si>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</si>
  <si>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</si>
  <si>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</si>
  <si>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</si>
  <si>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</si>
  <si>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</si>
  <si>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</si>
  <si>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</si>
  <si>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</si>
  <si>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</si>
  <si>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</si>
  <si>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</si>
  <si>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</si>
  <si>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</si>
  <si>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</si>
  <si>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</si>
  <si>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</si>
  <si>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</si>
  <si>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</si>
  <si>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</si>
  <si>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</si>
  <si>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</si>
  <si>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</si>
  <si>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</si>
  <si>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</si>
  <si>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</si>
  <si>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</si>
  <si>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</si>
  <si>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</si>
  <si>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</si>
  <si>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</si>
  <si>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</si>
  <si>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</si>
  <si>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</si>
  <si>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</si>
  <si>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</si>
  <si>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</si>
  <si>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</si>
  <si>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</si>
  <si>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</si>
  <si>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</si>
  <si>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</si>
  <si>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</si>
  <si>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</si>
  <si>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</si>
  <si>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</si>
  <si>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</si>
  <si>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</si>
  <si>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</si>
  <si>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</si>
  <si>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</si>
  <si>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</si>
  <si>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</si>
  <si>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</si>
  <si>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</si>
  <si>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</si>
  <si>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</si>
  <si>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</si>
  <si>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</si>
  <si>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</si>
  <si>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</si>
  <si>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</si>
  <si>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</si>
  <si>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</si>
  <si>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</si>
  <si>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</si>
  <si>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</si>
  <si>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</si>
  <si>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</si>
  <si>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</si>
  <si>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</si>
  <si>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</si>
  <si>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</si>
  <si>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</si>
  <si>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</si>
  <si>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</si>
  <si>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</si>
  <si>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</si>
  <si>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</si>
  <si>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</si>
  <si>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</si>
  <si>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</si>
  <si>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</si>
  <si>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</si>
  <si>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</si>
  <si>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</si>
  <si>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</si>
  <si>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</si>
  <si>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</si>
  <si>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</si>
  <si>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</si>
  <si>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</si>
  <si>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</si>
  <si>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</si>
  <si>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</si>
  <si>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</si>
  <si>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</si>
  <si>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</si>
  <si>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</si>
  <si>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</si>
  <si>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</si>
  <si>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</si>
  <si>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</si>
  <si>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</si>
  <si>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</si>
  <si>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</si>
  <si>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</si>
  <si>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</si>
  <si>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</si>
  <si>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</si>
  <si>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</si>
  <si>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</si>
  <si>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</si>
  <si>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</si>
  <si>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</si>
  <si>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</si>
  <si>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</si>
  <si>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</si>
  <si>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</si>
  <si>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</si>
  <si>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</si>
  <si>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</si>
  <si>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</si>
  <si>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</si>
  <si>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</si>
  <si>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</si>
  <si>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</si>
  <si>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</si>
  <si>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</si>
  <si>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</si>
  <si>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</si>
  <si>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</si>
  <si>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</si>
  <si>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</si>
  <si>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</si>
  <si>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</si>
  <si>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</si>
  <si>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</si>
  <si>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</si>
  <si>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</si>
  <si>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</si>
  <si>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</si>
  <si>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</si>
  <si>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</si>
  <si>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</si>
  <si>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</si>
  <si>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</si>
  <si>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</si>
  <si>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</si>
  <si>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</si>
  <si>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</si>
  <si>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</si>
  <si>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</si>
  <si>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</si>
  <si>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</si>
  <si>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</si>
  <si>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</si>
  <si>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</si>
  <si>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</si>
  <si>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</si>
  <si>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</si>
  <si>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</si>
  <si>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</si>
  <si>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</si>
  <si>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</si>
  <si>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</si>
  <si>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</si>
  <si>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</si>
  <si>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</si>
  <si>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</si>
  <si>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</si>
  <si>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</si>
  <si>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</si>
  <si>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</si>
  <si>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</si>
  <si>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</si>
  <si>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</si>
  <si>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</si>
  <si>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</si>
  <si>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</si>
  <si>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</si>
  <si>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</si>
  <si>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</si>
  <si>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</si>
  <si>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</si>
  <si>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</si>
  <si>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</si>
  <si>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</si>
  <si>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</si>
  <si>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</si>
  <si>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</si>
  <si>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</si>
  <si>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</si>
  <si>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</si>
  <si>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</si>
  <si>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</si>
  <si>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</si>
  <si>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</si>
  <si>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</si>
  <si>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</si>
  <si>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</si>
  <si>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</si>
  <si>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</si>
  <si>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</si>
  <si>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</si>
  <si>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</si>
  <si>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</si>
  <si>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</si>
  <si>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</si>
  <si>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</si>
  <si>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</si>
  <si>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</si>
  <si>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</si>
  <si>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</si>
  <si>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</si>
  <si>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</si>
  <si>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</si>
  <si>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</si>
  <si>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</si>
  <si>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</si>
  <si>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</si>
  <si>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</si>
  <si>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</si>
  <si>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</si>
  <si>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</si>
  <si>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</si>
  <si>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</si>
  <si>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</si>
  <si>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</si>
  <si>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</si>
  <si>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</si>
  <si>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</si>
  <si>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</si>
  <si>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</si>
  <si>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</si>
  <si>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</si>
  <si>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</si>
  <si>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</si>
  <si>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</si>
  <si>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</si>
  <si>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</si>
  <si>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</si>
  <si>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</si>
  <si>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</si>
  <si>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</si>
  <si>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</si>
  <si>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</si>
  <si>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</si>
  <si>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</si>
  <si>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</si>
  <si>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</si>
  <si>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</si>
  <si>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</si>
  <si>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</si>
  <si>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</si>
  <si>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</si>
  <si>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</si>
  <si>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</si>
  <si>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</si>
  <si>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</si>
  <si>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</si>
  <si>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</si>
  <si>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</si>
  <si>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</si>
  <si>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</si>
  <si>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</si>
  <si>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</si>
  <si>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</si>
  <si>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</si>
  <si>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</si>
  <si>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</si>
  <si>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</si>
  <si>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</si>
  <si>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</si>
  <si>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</si>
  <si>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</si>
  <si>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</si>
  <si>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</si>
  <si>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</si>
  <si>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</si>
  <si>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</si>
  <si>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</si>
  <si>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</si>
  <si>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</si>
  <si>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</si>
  <si>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</si>
  <si>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</si>
  <si>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</si>
  <si>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</si>
  <si>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</si>
  <si>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</si>
  <si>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</si>
  <si>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</si>
  <si>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</si>
  <si>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</si>
  <si>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</si>
  <si>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</si>
  <si>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</si>
  <si>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</si>
  <si>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</si>
  <si>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</si>
  <si>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</si>
  <si>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</si>
  <si>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</si>
  <si>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</si>
  <si>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</si>
  <si>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</si>
  <si>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</si>
  <si>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</si>
  <si>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</si>
  <si>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</si>
  <si>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</si>
  <si>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</si>
  <si>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</si>
  <si>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</si>
  <si>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</si>
  <si>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</si>
  <si>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</si>
  <si>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</si>
  <si>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</si>
  <si>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</si>
  <si>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</si>
  <si>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</si>
  <si>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</si>
  <si>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</si>
  <si>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</si>
  <si>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</si>
  <si>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</si>
  <si>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</si>
  <si>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</si>
  <si>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</si>
  <si>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</si>
  <si>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</si>
  <si>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</si>
  <si>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</si>
  <si>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</si>
  <si>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</si>
  <si>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</si>
  <si>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</si>
  <si>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</si>
  <si>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</si>
  <si>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</si>
  <si>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</si>
  <si>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</si>
  <si>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</si>
  <si>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</si>
  <si>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</si>
  <si>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</si>
  <si>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</si>
  <si>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</si>
  <si>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</si>
  <si>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</si>
  <si>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</si>
  <si>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</si>
  <si>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</si>
  <si>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</si>
  <si>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</si>
  <si>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</si>
  <si>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</si>
  <si>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</si>
  <si>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</si>
  <si>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</si>
  <si>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</si>
  <si>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</si>
  <si>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</si>
  <si>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</si>
  <si>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</si>
  <si>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</si>
  <si>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</si>
  <si>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</si>
  <si>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</si>
  <si>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</si>
  <si>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</si>
  <si>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</si>
  <si>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</si>
  <si>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</si>
  <si>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</si>
  <si>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</si>
  <si>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</si>
  <si>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</si>
  <si>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</si>
  <si>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</si>
  <si>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</si>
  <si>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</si>
  <si>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</si>
  <si>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</si>
  <si>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</si>
  <si>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</si>
  <si>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</si>
  <si>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</si>
  <si>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</si>
  <si>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</si>
  <si>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</si>
  <si>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</si>
  <si>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</si>
  <si>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</si>
  <si>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</si>
  <si>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</si>
  <si>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</si>
  <si>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</si>
  <si>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</si>
  <si>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</si>
  <si>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</si>
  <si>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</si>
  <si>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</si>
  <si>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</si>
  <si>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</si>
  <si>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</si>
  <si>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</si>
  <si>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</si>
  <si>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</si>
  <si>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</si>
  <si>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</si>
  <si>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</si>
  <si>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</si>
  <si>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</si>
  <si>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</si>
  <si>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</si>
  <si>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</si>
  <si>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</si>
  <si>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</si>
  <si>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</si>
  <si>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</si>
  <si>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</si>
  <si>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</si>
  <si>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</si>
  <si>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</si>
  <si>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</si>
  <si>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</si>
  <si>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</si>
  <si>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</si>
  <si>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</si>
  <si>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</si>
  <si>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</si>
  <si>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</si>
  <si>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</si>
  <si>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</si>
  <si>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</si>
  <si>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</si>
  <si>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</si>
  <si>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</si>
  <si>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</si>
  <si>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</si>
  <si>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</si>
  <si>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</si>
  <si>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</si>
  <si>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</si>
  <si>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</si>
  <si>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</si>
  <si>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</si>
  <si>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</si>
  <si>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</si>
  <si>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</si>
  <si>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</si>
  <si>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</si>
  <si>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</si>
  <si>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</si>
  <si>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</si>
  <si>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</si>
  <si>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</si>
  <si>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</si>
  <si>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</si>
  <si>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</si>
  <si>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</si>
  <si>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</si>
  <si>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</si>
  <si>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</si>
  <si>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</si>
  <si>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</si>
  <si>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</si>
  <si>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</si>
  <si>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</si>
  <si>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</si>
  <si>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</si>
  <si>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</si>
  <si>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</si>
  <si>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</si>
  <si>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</si>
  <si>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</si>
  <si>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</si>
  <si>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</si>
  <si>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</si>
  <si>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</si>
  <si>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</si>
  <si>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</si>
  <si>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</si>
  <si>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</si>
  <si>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</si>
  <si>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</si>
  <si>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</si>
  <si>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</si>
  <si>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</si>
  <si>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</si>
  <si>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</si>
  <si>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</si>
  <si>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</si>
  <si>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</si>
  <si>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</si>
  <si>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</si>
  <si>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</si>
  <si>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</si>
  <si>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</si>
  <si>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</si>
  <si>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</si>
  <si>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</si>
  <si>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</si>
  <si>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</si>
  <si>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</si>
  <si>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</si>
  <si>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</si>
  <si>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</si>
  <si>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</si>
  <si>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</si>
  <si>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</si>
  <si>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</si>
  <si>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</si>
  <si>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</si>
  <si>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</si>
  <si>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</si>
  <si>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</si>
  <si>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</si>
  <si>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</si>
  <si>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</si>
  <si>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</si>
  <si>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</si>
  <si>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</si>
  <si>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</si>
  <si>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</si>
  <si>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</si>
  <si>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</si>
  <si>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</si>
  <si>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</si>
  <si>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</si>
  <si>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</si>
  <si>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</si>
  <si>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</si>
  <si>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</si>
  <si>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</si>
  <si>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</si>
  <si>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</si>
  <si>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</si>
  <si>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</si>
  <si>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</si>
  <si>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</si>
  <si>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</si>
  <si>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</si>
  <si>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</si>
  <si>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</si>
  <si>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</si>
  <si>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</si>
  <si>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</si>
  <si>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</si>
  <si>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</si>
  <si>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</si>
  <si>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</si>
  <si>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</si>
  <si>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</si>
  <si>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</si>
  <si>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</si>
  <si>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</si>
  <si>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</si>
  <si>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</si>
  <si>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</si>
  <si>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</si>
  <si>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</si>
  <si>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</si>
  <si>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</si>
  <si>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</si>
  <si>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</si>
  <si>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</si>
  <si>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</si>
  <si>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</si>
  <si>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</si>
  <si>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</si>
  <si>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</si>
  <si>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</si>
  <si>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</si>
  <si>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</si>
  <si>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</si>
  <si>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</si>
  <si>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</si>
  <si>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</si>
  <si>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</si>
  <si>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</si>
  <si>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</si>
  <si>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</si>
  <si>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</si>
  <si>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</si>
  <si>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</si>
  <si>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</si>
  <si>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</si>
  <si>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</si>
  <si>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</si>
  <si>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</si>
  <si>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</si>
  <si>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</si>
  <si>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</si>
  <si>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</si>
  <si>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</si>
  <si>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</si>
  <si>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</si>
  <si>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</si>
  <si>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</si>
  <si>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</si>
  <si>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</si>
  <si>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</si>
  <si>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</si>
  <si>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</si>
  <si>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</si>
  <si>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</si>
  <si>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</si>
  <si>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</si>
  <si>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</si>
  <si>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</si>
  <si>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</si>
  <si>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</si>
  <si>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</si>
  <si>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</si>
  <si>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</si>
  <si>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</si>
  <si>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</si>
  <si>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</si>
  <si>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</si>
  <si>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</si>
  <si>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</si>
  <si>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</si>
  <si>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</si>
  <si>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</si>
  <si>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</si>
  <si>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</si>
  <si>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</si>
  <si>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</si>
  <si>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</si>
  <si>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</si>
  <si>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</si>
  <si>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</si>
  <si>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</si>
  <si>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</si>
  <si>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</si>
  <si>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</si>
  <si>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</si>
  <si>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</si>
  <si>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</si>
  <si>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</si>
  <si>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</si>
  <si>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</si>
  <si>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</si>
  <si>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</si>
  <si>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</si>
  <si>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</si>
  <si>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</si>
  <si>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</si>
  <si>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</si>
  <si>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</si>
  <si>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</si>
  <si>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</si>
  <si>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</si>
  <si>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</si>
  <si>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</si>
  <si>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</si>
  <si>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</si>
  <si>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</si>
  <si>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</si>
  <si>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</si>
  <si>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</si>
  <si>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</si>
  <si>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</si>
  <si>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</si>
  <si>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</si>
  <si>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</si>
  <si>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</si>
  <si>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</si>
  <si>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</si>
  <si>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</si>
  <si>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</si>
  <si>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</si>
  <si>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</si>
  <si>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</si>
  <si>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</si>
  <si>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</si>
  <si>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</si>
  <si>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</si>
  <si>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</si>
  <si>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</si>
  <si>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</si>
  <si>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</si>
  <si>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</si>
  <si>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</si>
  <si>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</si>
  <si>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</si>
  <si>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</si>
  <si>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</si>
  <si>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</si>
  <si>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</si>
  <si>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</si>
  <si>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</si>
  <si>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</si>
  <si>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</si>
  <si>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</si>
  <si>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</si>
  <si>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</si>
  <si>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</si>
  <si>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</si>
  <si>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</si>
  <si>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</si>
  <si>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</si>
  <si>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</si>
  <si>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</si>
  <si>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</si>
  <si>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</si>
  <si>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</si>
  <si>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</si>
  <si>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</si>
  <si>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</si>
  <si>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</si>
  <si>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</si>
  <si>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</si>
  <si>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</si>
  <si>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</si>
  <si>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</si>
  <si>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</si>
  <si>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</si>
  <si>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</si>
  <si>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</si>
  <si>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</si>
  <si>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</si>
  <si>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</si>
  <si>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</si>
  <si>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</si>
  <si>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</si>
  <si>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</si>
  <si>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</si>
  <si>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</si>
  <si>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</si>
  <si>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</si>
  <si>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</si>
  <si>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</si>
  <si>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</si>
  <si>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</si>
  <si>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</si>
  <si>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</si>
  <si>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</si>
  <si>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</si>
  <si>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</si>
  <si>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</si>
  <si>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</si>
  <si>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</si>
  <si>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</si>
  <si>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</si>
  <si>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</si>
  <si>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</si>
  <si>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</si>
  <si>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</si>
  <si>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</si>
  <si>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</si>
  <si>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</si>
  <si>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</si>
  <si>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</si>
  <si>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</si>
  <si>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</si>
  <si>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</si>
  <si>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</si>
  <si>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</si>
  <si>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</si>
  <si>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</si>
  <si>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</si>
  <si>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</si>
  <si>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</si>
  <si>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</si>
  <si>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</si>
  <si>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</si>
  <si>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</si>
  <si>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</si>
  <si>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</si>
  <si>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</si>
  <si>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</si>
  <si>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</si>
  <si>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</si>
  <si>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</si>
  <si>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</si>
  <si>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</si>
  <si>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</si>
  <si>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</si>
  <si>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</si>
  <si>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</si>
  <si>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</si>
  <si>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</si>
  <si>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</si>
  <si>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</si>
  <si>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</si>
  <si>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</si>
  <si>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</si>
  <si>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</si>
  <si>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</si>
  <si>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</si>
  <si>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</si>
  <si>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</si>
  <si>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</si>
  <si>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</si>
  <si>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</si>
  <si>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</si>
  <si>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</si>
  <si>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</si>
  <si>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</si>
  <si>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</si>
  <si>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</si>
  <si>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</si>
  <si>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</si>
  <si>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</si>
  <si>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</si>
  <si>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</si>
  <si>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</si>
  <si>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</si>
  <si>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</si>
  <si>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</si>
  <si>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</si>
  <si>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</si>
  <si>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</si>
  <si>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</si>
  <si>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</si>
  <si>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</si>
  <si>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</si>
  <si>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</si>
  <si>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</si>
  <si>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</si>
  <si>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</si>
  <si>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</si>
  <si>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</si>
  <si>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</si>
  <si>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</si>
  <si>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</si>
  <si>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</si>
  <si>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</si>
  <si>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</si>
  <si>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</si>
  <si>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</si>
  <si>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</si>
  <si>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</si>
  <si>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</si>
  <si>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</si>
  <si>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</si>
  <si>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</si>
  <si>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</si>
  <si>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</si>
  <si>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</si>
  <si>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</si>
  <si>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</si>
  <si>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</si>
  <si>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</si>
  <si>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</si>
  <si>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</si>
  <si>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</si>
  <si>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</si>
  <si>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</si>
  <si>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</si>
  <si>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</si>
  <si>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</si>
  <si>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</si>
  <si>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</si>
  <si>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</si>
  <si>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</si>
  <si>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</si>
  <si>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</si>
  <si>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</si>
  <si>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</si>
  <si>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</si>
  <si>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</si>
  <si>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</si>
  <si>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</si>
  <si>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</si>
  <si>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</si>
  <si>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</si>
  <si>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</si>
  <si>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</si>
  <si>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</si>
  <si>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</si>
  <si>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</si>
  <si>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</si>
  <si>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</si>
  <si>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</si>
  <si>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</si>
  <si>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</si>
  <si>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</si>
  <si>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</si>
  <si>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</si>
  <si>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</si>
  <si>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</si>
  <si>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</si>
  <si>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</si>
  <si>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</si>
  <si>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</si>
  <si>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</si>
  <si>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</si>
  <si>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</si>
  <si>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</si>
  <si>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</si>
  <si>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</si>
  <si>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</si>
  <si>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</si>
  <si>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</si>
  <si>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</si>
  <si>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</si>
  <si>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</si>
  <si>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</si>
  <si>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</si>
  <si>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</si>
  <si>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</si>
  <si>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</si>
  <si>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</si>
  <si>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</si>
  <si>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</si>
  <si>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</si>
  <si>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</si>
  <si>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</si>
  <si>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</si>
  <si>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</si>
  <si>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</si>
  <si>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</si>
  <si>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</si>
  <si>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</si>
  <si>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</si>
  <si>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</si>
  <si>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</si>
  <si>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</si>
  <si>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</si>
  <si>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</si>
  <si>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</si>
  <si>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</si>
  <si>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</si>
  <si>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</si>
  <si>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</si>
  <si>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</si>
  <si>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</si>
  <si>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</si>
  <si>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</si>
  <si>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</si>
  <si>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</si>
  <si>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</si>
  <si>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</si>
  <si>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</si>
  <si>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</si>
  <si>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</si>
  <si>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</si>
  <si>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</si>
  <si>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</si>
  <si>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</si>
  <si>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</si>
  <si>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</si>
  <si>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</si>
  <si>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</si>
  <si>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</si>
  <si>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</si>
  <si>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</si>
  <si>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</si>
  <si>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</si>
  <si>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</si>
  <si>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</si>
  <si>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</si>
  <si>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</si>
  <si>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</si>
  <si>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</si>
  <si>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</si>
  <si>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</si>
  <si>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</si>
  <si>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</si>
  <si>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</si>
  <si>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</si>
  <si>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</si>
  <si>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</si>
  <si>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</si>
  <si>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</si>
  <si>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</si>
  <si>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</si>
  <si>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</si>
  <si>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</si>
  <si>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</si>
  <si>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</si>
  <si>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</si>
  <si>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</si>
  <si>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</si>
  <si>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</si>
  <si>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</si>
  <si>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</si>
  <si>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</si>
  <si>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</si>
  <si>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</si>
  <si>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</si>
  <si>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</si>
  <si>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</si>
  <si>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</si>
  <si>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</si>
  <si>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</si>
  <si>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</si>
  <si>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</si>
  <si>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</si>
  <si>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</si>
  <si>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</si>
  <si>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</si>
  <si>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</si>
  <si>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</si>
  <si>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</si>
  <si>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</si>
  <si>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</si>
  <si>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</si>
  <si>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</si>
  <si>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</si>
  <si>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</si>
  <si>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</si>
  <si>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</si>
  <si>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</si>
  <si>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</si>
  <si>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</si>
  <si>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</si>
  <si>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</si>
  <si>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</si>
  <si>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</si>
  <si>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</si>
  <si>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</si>
  <si>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</si>
  <si>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</si>
  <si>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</si>
  <si>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</si>
  <si>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</si>
  <si>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</si>
  <si>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</si>
  <si>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</si>
  <si>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</si>
  <si>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</si>
  <si>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</si>
  <si>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</si>
  <si>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</si>
  <si>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</si>
  <si>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</si>
  <si>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</si>
  <si>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</si>
  <si>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</si>
  <si>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</si>
  <si>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</si>
  <si>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</si>
  <si>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</si>
  <si>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</si>
  <si>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</si>
  <si>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</si>
  <si>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</si>
  <si>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</si>
  <si>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</si>
  <si>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</si>
  <si>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</si>
  <si>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</si>
  <si>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</si>
  <si>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</si>
  <si>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</si>
  <si>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</si>
  <si>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</si>
  <si>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</si>
  <si>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</si>
  <si>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</si>
  <si>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</si>
  <si>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</si>
  <si>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</si>
  <si>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</si>
  <si>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</si>
  <si>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</si>
  <si>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</si>
  <si>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</si>
  <si>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</si>
  <si>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</si>
  <si>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</si>
  <si>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</si>
  <si>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</si>
  <si>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</si>
  <si>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</si>
  <si>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</si>
  <si>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</si>
  <si>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</si>
  <si>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</si>
  <si>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</si>
  <si>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</si>
  <si>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</si>
  <si>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</si>
  <si>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</si>
  <si>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</si>
  <si>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</si>
  <si>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</si>
  <si>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</si>
  <si>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</si>
  <si>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</si>
  <si>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</si>
  <si>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</si>
  <si>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</si>
  <si>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</si>
  <si>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</si>
  <si>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</si>
  <si>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</si>
  <si>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</si>
  <si>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</si>
  <si>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</si>
  <si>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</si>
  <si>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</si>
  <si>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</si>
  <si>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</si>
  <si>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</si>
  <si>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</si>
  <si>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</si>
  <si>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</si>
  <si>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</si>
  <si>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</si>
  <si>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</si>
  <si>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</si>
  <si>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</si>
  <si>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</si>
  <si>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</si>
  <si>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</si>
  <si>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</si>
  <si>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</si>
  <si>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</si>
  <si>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</si>
  <si>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</si>
  <si>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</si>
  <si>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</si>
  <si>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</si>
  <si>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</si>
  <si>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</si>
  <si>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</si>
  <si>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</si>
  <si>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</si>
  <si>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</si>
  <si>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</si>
  <si>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</si>
  <si>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</si>
  <si>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</si>
  <si>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</si>
  <si>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</si>
  <si>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</si>
  <si>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</si>
  <si>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</si>
  <si>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</si>
  <si>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</si>
  <si>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</si>
  <si>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</si>
  <si>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</si>
  <si>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</si>
  <si>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</si>
  <si>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</si>
  <si>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</si>
  <si>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</si>
  <si>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</si>
  <si>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</si>
  <si>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</si>
  <si>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</si>
  <si>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</si>
  <si>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</si>
  <si>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</si>
  <si>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</si>
  <si>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</si>
  <si>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</si>
  <si>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</si>
  <si>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</si>
  <si>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</si>
  <si>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</si>
  <si>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</si>
  <si>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</si>
  <si>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</si>
  <si>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</si>
  <si>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</si>
  <si>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</si>
  <si>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</si>
  <si>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</si>
  <si>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</si>
  <si>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</si>
  <si>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</si>
  <si>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</si>
  <si>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</si>
  <si>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</si>
  <si>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</si>
  <si>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</si>
  <si>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</si>
  <si>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</si>
  <si>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</si>
  <si>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</si>
  <si>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</si>
  <si>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</si>
  <si>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</si>
  <si>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</si>
  <si>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</si>
  <si>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</si>
  <si>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</si>
  <si>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</si>
  <si>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</si>
  <si>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</si>
  <si>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</si>
  <si>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</si>
  <si>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</si>
  <si>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</si>
  <si>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</si>
  <si>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</si>
  <si>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</si>
  <si>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</si>
  <si>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</si>
  <si>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</si>
  <si>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</si>
  <si>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</si>
  <si>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</si>
  <si>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</si>
  <si>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</si>
  <si>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</si>
  <si>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</si>
  <si>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</si>
  <si>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</si>
  <si>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</si>
  <si>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</si>
  <si>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</si>
  <si>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</si>
  <si>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</si>
  <si>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</si>
  <si>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</si>
  <si>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</si>
  <si>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</si>
  <si>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</si>
  <si>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</si>
  <si>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</si>
  <si>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</si>
  <si>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</si>
  <si>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</si>
  <si>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</si>
  <si>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</si>
  <si>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</si>
  <si>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</si>
  <si>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</si>
  <si>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</si>
  <si>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</si>
  <si>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</si>
  <si>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</si>
  <si>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</si>
  <si>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</si>
  <si>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</si>
  <si>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</si>
  <si>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</si>
  <si>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</si>
  <si>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</si>
  <si>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</si>
  <si>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</si>
  <si>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</si>
  <si>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</si>
  <si>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</si>
  <si>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</si>
  <si>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</si>
  <si>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</si>
  <si>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</si>
  <si>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</si>
  <si>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</si>
  <si>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</si>
  <si>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</si>
  <si>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</si>
  <si>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</si>
  <si>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</si>
  <si>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</si>
  <si>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</si>
  <si>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</si>
  <si>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</si>
  <si>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</si>
  <si>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</si>
  <si>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</si>
  <si>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</si>
  <si>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</si>
  <si>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</si>
  <si>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</si>
  <si>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</si>
  <si>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</si>
  <si>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</si>
  <si>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</si>
  <si>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</si>
  <si>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</si>
  <si>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</si>
  <si>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</si>
  <si>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</si>
  <si>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</si>
  <si>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</si>
  <si>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</si>
  <si>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</si>
  <si>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</si>
  <si>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</si>
  <si>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</si>
  <si>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</si>
  <si>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</si>
  <si>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</si>
  <si>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</si>
  <si>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</si>
  <si>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</si>
  <si>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</si>
  <si>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</si>
  <si>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</si>
  <si>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</si>
  <si>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</si>
  <si>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</si>
  <si>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</si>
  <si>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</si>
  <si>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</si>
  <si>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</si>
  <si>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</si>
  <si>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</si>
  <si>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</si>
  <si>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</si>
  <si>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</si>
  <si>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</si>
  <si>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</si>
  <si>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</si>
  <si>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</si>
  <si>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</si>
  <si>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</si>
  <si>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</si>
  <si>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</si>
  <si>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</si>
  <si>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</si>
  <si>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</si>
  <si>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</si>
  <si>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</si>
  <si>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</si>
  <si>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</si>
  <si>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</si>
  <si>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</si>
  <si>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</si>
  <si>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</si>
  <si>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</si>
  <si>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</si>
  <si>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</si>
  <si>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</si>
  <si>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</si>
  <si>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</si>
  <si>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</si>
  <si>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</si>
  <si>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</si>
  <si>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</si>
  <si>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</si>
  <si>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</si>
  <si>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</si>
  <si>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</si>
  <si>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</si>
  <si>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</si>
  <si>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</si>
  <si>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</si>
  <si>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</si>
  <si>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</si>
  <si>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</si>
  <si>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</si>
  <si>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</si>
  <si>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</si>
  <si>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</si>
  <si>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</si>
  <si>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</si>
  <si>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</si>
  <si>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</si>
  <si>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</si>
  <si>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</si>
  <si>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</si>
  <si>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</si>
  <si>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</si>
  <si>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</si>
  <si>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</si>
  <si>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</si>
  <si>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</si>
  <si>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</si>
  <si>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</si>
  <si>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</si>
  <si>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</si>
  <si>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</si>
  <si>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</si>
  <si>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</si>
  <si>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</si>
  <si>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</si>
  <si>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</si>
  <si>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</si>
  <si>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</si>
  <si>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</si>
  <si>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</si>
  <si>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</si>
  <si>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</si>
  <si>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</si>
  <si>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</si>
  <si>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</si>
  <si>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</si>
  <si>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</si>
  <si>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</si>
  <si>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</si>
  <si>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</si>
  <si>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</si>
  <si>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</si>
  <si>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</si>
  <si>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</si>
  <si>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</si>
  <si>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</si>
  <si>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</si>
  <si>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</si>
  <si>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</si>
  <si>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</si>
  <si>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</si>
  <si>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</si>
  <si>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</si>
  <si>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</si>
  <si>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</si>
  <si>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</si>
  <si>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</si>
  <si>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</si>
  <si>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</si>
  <si>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</si>
  <si>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</si>
  <si>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</si>
  <si>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</si>
  <si>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</si>
  <si>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</si>
  <si>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</si>
  <si>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</si>
  <si>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</si>
  <si>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</si>
  <si>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</si>
  <si>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</si>
  <si>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</si>
  <si>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</si>
  <si>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</si>
  <si>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</si>
  <si>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</si>
  <si>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</si>
  <si>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</si>
  <si>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</si>
  <si>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</si>
  <si>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</si>
  <si>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</si>
  <si>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</si>
  <si>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</si>
  <si>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</si>
  <si>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</si>
  <si>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</si>
  <si>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</si>
  <si>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</si>
  <si>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</si>
  <si>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</si>
  <si>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</si>
  <si>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</si>
  <si>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</si>
  <si>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</si>
  <si>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</si>
  <si>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</si>
  <si>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</si>
  <si>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</si>
  <si>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</si>
  <si>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</si>
  <si>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</si>
  <si>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</si>
  <si>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</si>
  <si>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</si>
  <si>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</si>
  <si>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</si>
  <si>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</si>
  <si>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</si>
  <si>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</si>
  <si>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</si>
  <si>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</si>
  <si>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</si>
  <si>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</si>
  <si>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</si>
  <si>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</si>
  <si>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</si>
  <si>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</si>
  <si>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</si>
  <si>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</si>
  <si>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</si>
  <si>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</si>
  <si>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</si>
  <si>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</si>
  <si>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</si>
  <si>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</si>
  <si>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</si>
  <si>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</si>
  <si>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</si>
  <si>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</si>
  <si>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</si>
  <si>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</si>
  <si>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</si>
  <si>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</si>
  <si>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</si>
  <si>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</si>
  <si>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</si>
  <si>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</si>
  <si>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</si>
  <si>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</si>
  <si>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</si>
  <si>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</si>
  <si>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</si>
  <si>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</si>
  <si>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</si>
  <si>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</si>
  <si>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</si>
  <si>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</si>
  <si>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</si>
  <si>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</si>
  <si>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</si>
  <si>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</si>
  <si>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</si>
  <si>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</si>
  <si>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</si>
  <si>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</si>
  <si>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</si>
  <si>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</si>
  <si>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</si>
  <si>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</si>
  <si>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</si>
  <si>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</si>
  <si>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</si>
  <si>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</si>
  <si>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</si>
  <si>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</si>
  <si>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</si>
  <si>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</si>
  <si>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</si>
  <si>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</si>
  <si>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</si>
  <si>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</si>
  <si>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</si>
  <si>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</si>
  <si>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</si>
  <si>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</si>
  <si>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</si>
  <si>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</si>
  <si>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</si>
  <si>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</si>
  <si>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</si>
  <si>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</si>
  <si>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</si>
  <si>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</si>
  <si>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</si>
  <si>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</si>
  <si>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</si>
  <si>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</si>
  <si>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</si>
  <si>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</si>
  <si>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</si>
  <si>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</si>
  <si>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</si>
  <si>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</si>
  <si>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</si>
  <si>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</si>
  <si>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</si>
  <si>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</si>
  <si>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</si>
  <si>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</si>
  <si>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</si>
  <si>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</si>
  <si>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</si>
  <si>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</si>
  <si>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</si>
  <si>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</si>
  <si>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</si>
  <si>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</si>
  <si>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</si>
  <si>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</si>
  <si>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</si>
  <si>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</si>
  <si>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</si>
  <si>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</si>
  <si>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</si>
  <si>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</si>
  <si>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</si>
  <si>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</si>
  <si>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</si>
  <si>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</si>
  <si>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</si>
  <si>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</si>
  <si>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</si>
  <si>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</si>
  <si>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</si>
  <si>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</si>
  <si>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</si>
  <si>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</si>
  <si>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</si>
  <si>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</si>
  <si>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</si>
  <si>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</si>
  <si>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</si>
  <si>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</si>
  <si>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</si>
  <si>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</si>
  <si>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</si>
  <si>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</si>
  <si>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</si>
  <si>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</si>
  <si>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</si>
  <si>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</si>
  <si>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</si>
  <si>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</si>
  <si>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</si>
  <si>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</si>
  <si>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</si>
  <si>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</si>
  <si>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</si>
  <si>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</si>
  <si>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</si>
  <si>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</si>
  <si>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</si>
  <si>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</si>
  <si>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</si>
  <si>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</si>
  <si>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</si>
  <si>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</si>
  <si>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</si>
  <si>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</si>
  <si>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</si>
  <si>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</si>
  <si>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</si>
  <si>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</si>
  <si>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</si>
  <si>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</si>
  <si>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</si>
  <si>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</si>
  <si>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</si>
  <si>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</si>
  <si>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</si>
  <si>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</si>
  <si>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</si>
  <si>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</si>
  <si>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</si>
  <si>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</si>
  <si>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</si>
  <si>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</si>
  <si>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</si>
  <si>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</si>
  <si>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</si>
  <si>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</si>
  <si>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</si>
  <si>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</si>
  <si>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</si>
  <si>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</si>
  <si>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</si>
  <si>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</si>
  <si>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</si>
  <si>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</si>
  <si>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</si>
  <si>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</si>
  <si>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</si>
  <si>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</si>
  <si>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</si>
  <si>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</si>
  <si>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</si>
  <si>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</si>
  <si>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</si>
  <si>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</si>
  <si>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</si>
  <si>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</si>
  <si>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</si>
  <si>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</si>
  <si>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</si>
  <si>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</si>
  <si>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</si>
  <si>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</si>
  <si>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</si>
  <si>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</si>
  <si>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</si>
  <si>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</si>
  <si>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</si>
  <si>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</si>
  <si>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</si>
  <si>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</si>
  <si>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</si>
  <si>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</si>
  <si>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</si>
  <si>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</si>
  <si>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</si>
  <si>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</si>
  <si>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</si>
  <si>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</si>
  <si>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</si>
  <si>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</si>
  <si>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</si>
  <si>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</si>
  <si>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</si>
  <si>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</si>
  <si>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</si>
  <si>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</si>
  <si>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</si>
  <si>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</si>
  <si>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</si>
  <si>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</si>
  <si>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</si>
  <si>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</si>
  <si>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</si>
  <si>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</si>
  <si>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</si>
  <si>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</si>
  <si>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</si>
  <si>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</si>
  <si>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</si>
  <si>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</si>
  <si>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</si>
  <si>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</si>
  <si>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</si>
  <si>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</si>
  <si>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</si>
  <si>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</si>
  <si>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</si>
  <si>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</si>
  <si>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</si>
  <si>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</si>
  <si>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</si>
  <si>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</si>
  <si>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</si>
  <si>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</si>
  <si>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</si>
  <si>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</si>
  <si>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</si>
  <si>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</si>
  <si>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</si>
  <si>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</si>
  <si>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</si>
  <si>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</si>
  <si>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</si>
  <si>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</si>
  <si>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</si>
  <si>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</si>
  <si>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</si>
  <si>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</si>
  <si>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</si>
  <si>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</si>
  <si>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</si>
  <si>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</si>
  <si>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</si>
  <si>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</si>
  <si>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</si>
  <si>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</si>
  <si>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</si>
  <si>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</si>
  <si>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</si>
  <si>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</si>
  <si>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</si>
  <si>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</si>
  <si>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</si>
  <si>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</si>
  <si>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</si>
  <si>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</si>
  <si>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</si>
  <si>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</si>
  <si>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</si>
  <si>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</si>
  <si>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</si>
  <si>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</si>
  <si>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</si>
  <si>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</si>
  <si>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</si>
  <si>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</si>
  <si>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</si>
  <si>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</si>
  <si>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</si>
  <si>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</si>
  <si>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</si>
  <si>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</si>
  <si>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</si>
  <si>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</si>
  <si>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</si>
  <si>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</si>
  <si>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</si>
  <si>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</si>
  <si>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</si>
  <si>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</si>
  <si>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</si>
  <si>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</si>
  <si>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</si>
  <si>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</si>
  <si>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</si>
  <si>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</si>
  <si>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</si>
  <si>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</si>
  <si>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</si>
  <si>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</si>
  <si>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</si>
  <si>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</si>
  <si>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</si>
  <si>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</si>
  <si>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</si>
  <si>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</si>
  <si>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</si>
  <si>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</si>
  <si>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</si>
  <si>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</si>
  <si>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</si>
  <si>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</si>
  <si>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</si>
  <si>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</si>
  <si>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</si>
  <si>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</si>
  <si>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</si>
  <si>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</si>
  <si>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</si>
  <si>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</si>
  <si>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</si>
  <si>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</si>
  <si>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</si>
  <si>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</si>
  <si>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</si>
  <si>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</si>
  <si>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</si>
  <si>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</si>
  <si>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</si>
  <si>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</si>
  <si>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</si>
  <si>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</si>
  <si>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</si>
  <si>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</si>
  <si>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</si>
  <si>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</si>
  <si>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</si>
  <si>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</si>
  <si>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</si>
  <si>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</si>
  <si>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</si>
  <si>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</si>
  <si>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</si>
  <si>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</si>
  <si>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</si>
  <si>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</si>
  <si>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</si>
  <si>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</si>
  <si>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</si>
  <si>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</si>
  <si>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</si>
  <si>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</si>
  <si>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</si>
  <si>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</si>
  <si>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</si>
  <si>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</si>
  <si>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</si>
  <si>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</si>
  <si>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</si>
  <si>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</si>
  <si>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</si>
  <si>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</si>
  <si>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</si>
  <si>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</si>
  <si>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</si>
  <si>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</si>
  <si>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</si>
  <si>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</si>
  <si>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</si>
  <si>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</si>
  <si>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</si>
  <si>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</si>
  <si>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</si>
  <si>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</si>
  <si>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</si>
  <si>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</si>
  <si>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</si>
  <si>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</si>
  <si>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</si>
  <si>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</si>
  <si>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</si>
  <si>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</si>
  <si>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</si>
  <si>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</si>
  <si>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</si>
  <si>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</si>
  <si>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</si>
  <si>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</si>
  <si>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</si>
  <si>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</si>
  <si>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</si>
  <si>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</si>
  <si>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</si>
  <si>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</si>
  <si>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</si>
  <si>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</si>
  <si>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</si>
  <si>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</si>
  <si>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</si>
  <si>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</si>
  <si>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</si>
  <si>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</si>
  <si>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</si>
  <si>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</si>
  <si>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</si>
  <si>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</si>
  <si>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</si>
  <si>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</si>
  <si>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</si>
  <si>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</si>
  <si>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</si>
  <si>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</si>
  <si>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</si>
  <si>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</si>
  <si>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</si>
  <si>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</si>
  <si>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</si>
  <si>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</si>
  <si>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</si>
  <si>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</si>
  <si>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</si>
  <si>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</si>
  <si>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</si>
  <si>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</si>
  <si>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</si>
  <si>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</si>
  <si>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</si>
  <si>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</si>
  <si>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</si>
  <si>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</si>
  <si>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</si>
  <si>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</si>
  <si>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</si>
  <si>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</si>
  <si>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</si>
  <si>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</si>
  <si>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</si>
  <si>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</si>
  <si>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</si>
  <si>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</si>
  <si>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</si>
  <si>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</si>
  <si>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</si>
  <si>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</si>
  <si>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</si>
  <si>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</si>
  <si>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</si>
  <si>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</si>
  <si>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</si>
  <si>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</si>
  <si>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</si>
  <si>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</si>
  <si>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</si>
  <si>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</si>
  <si>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</si>
  <si>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</si>
  <si>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</si>
  <si>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</si>
  <si>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</si>
  <si>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</si>
  <si>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</si>
  <si>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</si>
  <si>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</si>
  <si>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</si>
  <si>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</si>
  <si>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</si>
  <si>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</si>
  <si>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</si>
  <si>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</si>
  <si>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</si>
  <si>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</si>
  <si>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</si>
  <si>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</si>
  <si>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</si>
  <si>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</si>
  <si>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</si>
  <si>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</si>
  <si>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</si>
  <si>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</si>
  <si>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</si>
  <si>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</si>
  <si>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</si>
  <si>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</si>
  <si>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</si>
  <si>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</si>
  <si>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</si>
  <si>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</si>
  <si>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</si>
  <si>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</si>
  <si>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</si>
  <si>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</si>
  <si>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</si>
  <si>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</si>
  <si>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</si>
  <si>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</si>
  <si>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</si>
  <si>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</si>
  <si>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</si>
  <si>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</si>
  <si>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</si>
  <si>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</si>
  <si>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</si>
  <si>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</si>
  <si>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</si>
  <si>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</si>
  <si>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</si>
  <si>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</si>
  <si>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</si>
  <si>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</si>
  <si>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</si>
  <si>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</si>
  <si>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</si>
  <si>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</si>
  <si>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</si>
  <si>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</si>
  <si>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</si>
  <si>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</si>
  <si>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</si>
  <si>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</si>
  <si>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</si>
  <si>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</si>
  <si>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</si>
  <si>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</si>
  <si>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</si>
  <si>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</si>
  <si>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</si>
  <si>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</si>
  <si>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</si>
  <si>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</si>
  <si>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</si>
  <si>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</si>
  <si>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</si>
  <si>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</si>
  <si>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</si>
  <si>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</si>
  <si>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</si>
  <si>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</si>
  <si>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</si>
  <si>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</si>
  <si>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</si>
  <si>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</si>
  <si>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</si>
  <si>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</si>
  <si>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</si>
  <si>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</si>
  <si>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</si>
  <si>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</si>
  <si>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</si>
  <si>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</si>
  <si>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</si>
  <si>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</si>
  <si>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</si>
  <si>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</si>
  <si>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</si>
  <si>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</si>
  <si>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</si>
  <si>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</si>
  <si>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</si>
  <si>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</si>
  <si>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</si>
  <si>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</si>
  <si>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</si>
  <si>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</si>
  <si>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</si>
  <si>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</si>
  <si>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</si>
  <si>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</si>
  <si>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</si>
  <si>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</si>
  <si>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</si>
  <si>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</si>
  <si>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</si>
  <si>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</si>
  <si>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</si>
  <si>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</si>
  <si>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</si>
  <si>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</si>
  <si>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</si>
  <si>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</si>
  <si>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</si>
  <si>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</si>
  <si>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</si>
  <si>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</si>
  <si>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</si>
  <si>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</si>
  <si>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</si>
  <si>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</si>
  <si>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</si>
  <si>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</si>
  <si>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</si>
  <si>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</si>
  <si>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</si>
  <si>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</si>
  <si>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</si>
  <si>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</si>
  <si>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</si>
  <si>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</si>
  <si>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</si>
  <si>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</si>
  <si>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</si>
  <si>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</si>
  <si>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</si>
  <si>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</si>
  <si>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</si>
  <si>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</si>
  <si>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</si>
  <si>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</si>
  <si>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</si>
  <si>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</si>
  <si>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</si>
  <si>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</si>
  <si>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</si>
  <si>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</si>
  <si>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</si>
  <si>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</si>
  <si>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</si>
  <si>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</si>
  <si>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</si>
  <si>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</si>
  <si>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</si>
  <si>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</si>
  <si>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</si>
  <si>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</si>
  <si>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</si>
  <si>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</si>
  <si>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</si>
  <si>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</si>
  <si>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</si>
  <si>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</si>
  <si>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</si>
  <si>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</si>
  <si>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</si>
  <si>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</si>
  <si>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</si>
  <si>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</si>
  <si>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</si>
  <si>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</si>
  <si>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</si>
  <si>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</si>
  <si>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</si>
  <si>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</si>
  <si>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</si>
  <si>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</si>
  <si>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</si>
  <si>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</si>
  <si>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</si>
  <si>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</si>
  <si>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</si>
  <si>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</si>
  <si>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</si>
  <si>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</si>
  <si>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</si>
  <si>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</si>
  <si>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</si>
  <si>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</si>
  <si>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</si>
  <si>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</si>
  <si>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</si>
  <si>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</si>
  <si>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</si>
  <si>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</si>
  <si>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</si>
  <si>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</si>
  <si>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</si>
  <si>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</si>
  <si>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</si>
  <si>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</si>
  <si>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</si>
  <si>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</si>
  <si>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</si>
  <si>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</si>
  <si>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</si>
  <si>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</si>
  <si>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</si>
  <si>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</si>
  <si>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</si>
  <si>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</si>
  <si>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</si>
  <si>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</si>
  <si>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</si>
  <si>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</si>
  <si>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</si>
  <si>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</si>
  <si>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</si>
  <si>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</si>
  <si>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</si>
  <si>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</si>
  <si>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</si>
  <si>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</si>
  <si>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</si>
  <si>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</si>
  <si>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</si>
  <si>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</si>
  <si>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</si>
  <si>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</si>
  <si>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</si>
  <si>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</si>
  <si>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</si>
  <si>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</si>
  <si>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</si>
  <si>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</si>
  <si>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</si>
  <si>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</si>
  <si>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</si>
  <si>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</si>
  <si>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</si>
  <si>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</si>
  <si>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</si>
  <si>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</si>
  <si>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</si>
  <si>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</si>
  <si>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</si>
  <si>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</si>
  <si>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</si>
  <si>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</si>
  <si>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</si>
  <si>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</si>
  <si>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</si>
  <si>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</si>
  <si>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</si>
  <si>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</si>
  <si>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</si>
  <si>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</si>
  <si>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</si>
  <si>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</si>
  <si>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</si>
  <si>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</si>
  <si>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</si>
  <si>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</si>
  <si>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</si>
  <si>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</si>
  <si>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</si>
  <si>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</si>
  <si>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</si>
  <si>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</si>
  <si>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</si>
  <si>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</si>
  <si>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</si>
  <si>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</si>
  <si>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</si>
  <si>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</si>
  <si>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</si>
  <si>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</si>
  <si>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</si>
  <si>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</si>
  <si>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</si>
  <si>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</si>
  <si>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</si>
  <si>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</si>
  <si>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</si>
  <si>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</si>
  <si>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</si>
  <si>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</si>
  <si>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</si>
  <si>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</si>
  <si>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</si>
  <si>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</si>
  <si>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</si>
  <si>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</si>
  <si>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</si>
  <si>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</si>
  <si>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</si>
  <si>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</si>
  <si>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</si>
  <si>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</si>
  <si>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</si>
  <si>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</si>
  <si>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</si>
  <si>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</si>
  <si>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</si>
  <si>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</si>
  <si>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</si>
  <si>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</si>
  <si>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</si>
  <si>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</si>
  <si>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</si>
  <si>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</si>
  <si>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</si>
  <si>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</si>
  <si>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</si>
  <si>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</si>
  <si>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</si>
  <si>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</si>
  <si>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</si>
  <si>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</si>
  <si>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</si>
  <si>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</si>
  <si>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</si>
  <si>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</si>
  <si>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</si>
  <si>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</si>
  <si>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</si>
  <si>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</si>
  <si>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</si>
  <si>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</si>
  <si>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</si>
  <si>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</si>
  <si>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</si>
  <si>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</si>
  <si>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</si>
  <si>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</si>
  <si>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</si>
  <si>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</si>
  <si>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</si>
  <si>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</si>
  <si>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</si>
  <si>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</si>
  <si>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</si>
  <si>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</si>
  <si>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</si>
  <si>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</si>
  <si>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</si>
  <si>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</si>
  <si>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</si>
  <si>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</si>
  <si>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</si>
  <si>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</si>
  <si>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</si>
  <si>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</si>
  <si>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</si>
  <si>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</si>
  <si>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</si>
  <si>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</si>
  <si>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</si>
  <si>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</si>
  <si>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</si>
  <si>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</si>
  <si>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</si>
  <si>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</si>
  <si>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</si>
  <si>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</si>
  <si>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</si>
  <si>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</si>
  <si>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</si>
  <si>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</si>
  <si>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</si>
  <si>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</si>
  <si>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</si>
  <si>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</si>
  <si>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</si>
  <si>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</si>
  <si>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</si>
  <si>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</si>
  <si>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</si>
  <si>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</si>
  <si>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</si>
  <si>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</si>
  <si>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</si>
  <si>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</si>
  <si>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</si>
  <si>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</si>
  <si>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</si>
  <si>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</si>
  <si>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</si>
  <si>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</si>
  <si>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</si>
  <si>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</si>
  <si>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</si>
  <si>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</si>
  <si>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</si>
  <si>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</si>
  <si>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</si>
  <si>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</si>
  <si>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</si>
  <si>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</si>
  <si>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</si>
  <si>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</si>
  <si>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</si>
  <si>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</si>
  <si>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</si>
  <si>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</si>
  <si>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</si>
  <si>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</si>
  <si>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</si>
  <si>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</si>
  <si>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</si>
  <si>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</si>
  <si>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</si>
  <si>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</si>
  <si>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</si>
  <si>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</si>
  <si>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</si>
  <si>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</si>
  <si>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</si>
  <si>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</si>
  <si>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</si>
  <si>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</si>
  <si>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</si>
  <si>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</si>
  <si>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</si>
  <si>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</si>
  <si>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</si>
  <si>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</si>
  <si>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</si>
  <si>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</si>
  <si>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</si>
  <si>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</si>
  <si>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</si>
  <si>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</si>
  <si>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</si>
  <si>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</si>
  <si>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</si>
  <si>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</si>
  <si>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</si>
  <si>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</si>
  <si>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</si>
  <si>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</si>
  <si>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</si>
  <si>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</si>
  <si>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</si>
  <si>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</si>
  <si>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</si>
  <si>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</si>
  <si>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</si>
  <si>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</si>
  <si>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</si>
  <si>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</si>
  <si>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</si>
  <si>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</si>
  <si>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</si>
  <si>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</si>
  <si>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</si>
  <si>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</si>
  <si>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</si>
  <si>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</si>
  <si>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</si>
  <si>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</si>
  <si>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</si>
  <si>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</si>
  <si>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</si>
  <si>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</si>
  <si>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</si>
  <si>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</si>
  <si>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</si>
  <si>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</si>
  <si>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</si>
  <si>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</si>
  <si>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</si>
  <si>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</si>
  <si>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</si>
  <si>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</si>
  <si>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</si>
  <si>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</si>
  <si>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</si>
  <si>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</si>
  <si>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</si>
  <si>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</si>
  <si>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</si>
  <si>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</si>
  <si>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</si>
  <si>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</si>
  <si>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</si>
  <si>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</si>
  <si>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</si>
  <si>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</si>
  <si>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</si>
  <si>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</si>
  <si>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</si>
  <si>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</si>
  <si>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</si>
  <si>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</si>
  <si>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</si>
  <si>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</si>
  <si>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</si>
  <si>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</si>
  <si>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</si>
  <si>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</si>
  <si>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</si>
  <si>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</si>
  <si>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</si>
  <si>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</si>
  <si>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</si>
  <si>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</si>
  <si>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</si>
  <si>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</si>
  <si>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</si>
  <si>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</si>
  <si>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</si>
  <si>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</si>
  <si>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</si>
  <si>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</si>
  <si>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</si>
  <si>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</si>
  <si>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</si>
  <si>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</si>
  <si>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</si>
  <si>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</si>
  <si>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</si>
  <si>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</si>
  <si>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</si>
  <si>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</si>
  <si>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</si>
  <si>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</si>
  <si>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</si>
  <si>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</si>
  <si>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</si>
  <si>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</si>
  <si>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</si>
  <si>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</si>
  <si>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</si>
  <si>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</si>
  <si>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</si>
  <si>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</si>
  <si>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</si>
  <si>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</si>
  <si>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</si>
  <si>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</si>
  <si>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</si>
  <si>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</si>
  <si>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</si>
  <si>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</si>
  <si>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</si>
  <si>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</si>
  <si>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</si>
  <si>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</si>
  <si>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</si>
  <si>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</si>
  <si>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</si>
  <si>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</si>
  <si>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</si>
  <si>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</si>
  <si>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</si>
  <si>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</si>
  <si>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</si>
  <si>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</si>
  <si>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</si>
  <si>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</si>
  <si>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</si>
  <si>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</si>
  <si>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</si>
  <si>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</si>
  <si>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</si>
  <si>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</si>
  <si>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</si>
  <si>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</si>
  <si>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</si>
  <si>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</si>
  <si>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</si>
  <si>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</si>
  <si>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</si>
  <si>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</si>
  <si>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</si>
  <si>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</si>
  <si>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</si>
  <si>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</si>
  <si>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</si>
  <si>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</si>
  <si>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</si>
  <si>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</si>
  <si>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</si>
  <si>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</si>
  <si>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</si>
  <si>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</si>
  <si>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</si>
  <si>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</si>
  <si>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</si>
  <si>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</si>
  <si>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</si>
  <si>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</si>
  <si>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</si>
  <si>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</si>
  <si>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</si>
  <si>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</si>
  <si>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</si>
  <si>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</si>
  <si>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</si>
  <si>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</si>
  <si>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</si>
  <si>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</si>
  <si>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</si>
  <si>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</si>
  <si>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</si>
  <si>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</si>
  <si>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</si>
  <si>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</si>
  <si>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</si>
  <si>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</si>
  <si>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</si>
  <si>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</si>
  <si>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</si>
  <si>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</si>
  <si>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</si>
  <si>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</si>
  <si>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</si>
  <si>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</si>
  <si>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</si>
  <si>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</si>
  <si>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</si>
  <si>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</si>
  <si>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</si>
  <si>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</si>
  <si>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</si>
  <si>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</si>
  <si>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</si>
  <si>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</si>
  <si>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</si>
  <si>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</si>
  <si>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</si>
  <si>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</si>
  <si>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</si>
  <si>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</si>
  <si>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</si>
  <si>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</si>
  <si>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</si>
  <si>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</si>
  <si>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</si>
  <si>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</si>
  <si>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</si>
  <si>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</si>
  <si>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</si>
  <si>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</si>
  <si>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</si>
  <si>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</si>
  <si>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</si>
  <si>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</si>
  <si>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</si>
  <si>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</si>
  <si>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</si>
  <si>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</si>
  <si>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</si>
  <si>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</si>
  <si>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</si>
  <si>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</si>
  <si>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</si>
  <si>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</si>
  <si>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</si>
  <si>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</si>
  <si>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</si>
  <si>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</si>
  <si>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</si>
  <si>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</si>
  <si>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</si>
  <si>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</si>
  <si>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</si>
  <si>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</si>
  <si>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</si>
  <si>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</si>
  <si>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</si>
  <si>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</si>
  <si>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</si>
  <si>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</si>
  <si>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</si>
  <si>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</si>
  <si>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</si>
  <si>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</si>
  <si>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</si>
  <si>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</si>
  <si>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</si>
  <si>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</si>
  <si>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</si>
  <si>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</si>
  <si>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</si>
  <si>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</si>
  <si>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</si>
  <si>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</si>
  <si>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</si>
  <si>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</si>
  <si>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</si>
  <si>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</si>
  <si>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</si>
  <si>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</si>
  <si>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</si>
  <si>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</si>
  <si>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</si>
  <si>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</si>
  <si>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</si>
  <si>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</si>
  <si>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</si>
  <si>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</si>
  <si>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</si>
  <si>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</si>
  <si>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</si>
  <si>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</si>
  <si>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</si>
  <si>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</si>
  <si>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</si>
  <si>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</si>
  <si>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</si>
  <si>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</si>
  <si>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</si>
  <si>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</si>
  <si>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</si>
  <si>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</si>
  <si>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</si>
  <si>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</si>
  <si>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</si>
  <si>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</si>
  <si>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</si>
  <si>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</si>
  <si>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</si>
  <si>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</si>
  <si>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</si>
  <si>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</si>
  <si>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</si>
  <si>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</si>
  <si>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</si>
  <si>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</si>
  <si>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</si>
  <si>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</si>
  <si>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</si>
  <si>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</si>
  <si>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</si>
  <si>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</si>
  <si>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</si>
  <si>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</si>
  <si>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</si>
  <si>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</si>
  <si>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</si>
  <si>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</si>
  <si>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</si>
  <si>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</si>
  <si>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</si>
  <si>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</si>
  <si>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</si>
  <si>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</si>
  <si>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</si>
  <si>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</si>
  <si>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</si>
  <si>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</si>
  <si>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</si>
  <si>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</si>
  <si>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</si>
  <si>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</si>
  <si>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</si>
  <si>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</si>
  <si>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</si>
  <si>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</si>
  <si>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</si>
  <si>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</si>
  <si>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</si>
  <si>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</si>
  <si>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</si>
  <si>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</si>
  <si>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</si>
  <si>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</si>
  <si>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</si>
  <si>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</si>
  <si>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</si>
  <si>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</si>
  <si>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</si>
  <si>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</si>
  <si>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</si>
  <si>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</si>
  <si>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</si>
  <si>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</si>
  <si>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</si>
  <si>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</si>
  <si>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</si>
  <si>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</si>
  <si>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</si>
  <si>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</si>
  <si>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</si>
  <si>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</si>
  <si>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</si>
  <si>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</si>
  <si>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</si>
  <si>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</si>
  <si>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</si>
  <si>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</si>
  <si>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</si>
  <si>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</si>
  <si>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</si>
  <si>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</si>
  <si>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</si>
  <si>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</si>
  <si>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</si>
  <si>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</si>
  <si>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</si>
  <si>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</si>
  <si>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</si>
  <si>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</si>
  <si>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</si>
  <si>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</si>
  <si>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</si>
  <si>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</si>
  <si>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</si>
  <si>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</si>
  <si>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</si>
  <si>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</si>
  <si>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</si>
  <si>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</si>
  <si>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</si>
  <si>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</si>
  <si>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</si>
  <si>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</si>
  <si>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</si>
  <si>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</si>
  <si>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</si>
  <si>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</si>
  <si>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</si>
  <si>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</si>
  <si>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</si>
  <si>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</si>
  <si>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</si>
  <si>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</si>
  <si>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</si>
  <si>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</si>
  <si>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</si>
  <si>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</si>
  <si>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</si>
  <si>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</si>
  <si>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</si>
  <si>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</si>
  <si>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</si>
  <si>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</si>
  <si>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</si>
  <si>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</si>
  <si>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</si>
  <si>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</si>
  <si>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</si>
  <si>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</si>
  <si>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</si>
  <si>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</si>
  <si>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</si>
  <si>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</si>
  <si>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</si>
  <si>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</si>
  <si>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</si>
  <si>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</si>
  <si>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</si>
  <si>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</si>
  <si>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</si>
  <si>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</si>
  <si>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</si>
  <si>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</si>
  <si>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</si>
  <si>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</si>
  <si>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</si>
  <si>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</si>
  <si>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</si>
  <si>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</si>
  <si>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</si>
  <si>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</si>
  <si>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</si>
  <si>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</si>
  <si>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</si>
  <si>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</si>
  <si>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</si>
  <si>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</si>
  <si>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</si>
  <si>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</si>
  <si>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</si>
  <si>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</si>
  <si>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</si>
  <si>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</si>
  <si>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</si>
  <si>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</si>
  <si>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</si>
  <si>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</si>
  <si>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</si>
  <si>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</si>
  <si>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</si>
  <si>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</si>
  <si>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</si>
  <si>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</si>
  <si>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</si>
  <si>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</si>
  <si>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</si>
  <si>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</si>
  <si>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</si>
  <si>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</si>
  <si>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</si>
  <si>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</si>
  <si>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</si>
  <si>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</si>
  <si>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</si>
  <si>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</si>
  <si>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</si>
  <si>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</si>
  <si>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</si>
  <si>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</si>
  <si>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</si>
  <si>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</si>
  <si>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</si>
  <si>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</si>
  <si>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</si>
  <si>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</si>
  <si>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</si>
  <si>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</si>
  <si>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</si>
  <si>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</si>
  <si>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</si>
  <si>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</si>
  <si>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</si>
  <si>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</si>
  <si>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</si>
  <si>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</si>
  <si>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</si>
  <si>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</si>
  <si>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</si>
  <si>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</si>
  <si>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</si>
  <si>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</si>
  <si>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</si>
  <si>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</si>
  <si>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</si>
  <si>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</si>
  <si>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</si>
  <si>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</si>
  <si>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</si>
  <si>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</si>
  <si>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</si>
  <si>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</si>
  <si>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</si>
  <si>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</si>
  <si>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</si>
  <si>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</si>
  <si>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</si>
  <si>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</si>
  <si>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</si>
  <si>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</si>
  <si>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</si>
  <si>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</si>
  <si>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</si>
  <si>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</si>
  <si>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</si>
  <si>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</si>
  <si>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</si>
  <si>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</si>
  <si>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</si>
  <si>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</si>
  <si>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</si>
  <si>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</si>
  <si>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</si>
  <si>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</si>
  <si>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</si>
  <si>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</si>
  <si>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</si>
  <si>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</si>
  <si>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</si>
  <si>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</si>
  <si>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</si>
  <si>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</si>
  <si>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</si>
  <si>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</si>
  <si>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</si>
  <si>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</si>
  <si>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</si>
  <si>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</si>
  <si>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</si>
  <si>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</si>
  <si>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</si>
  <si>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</si>
  <si>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</si>
  <si>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</si>
  <si>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</si>
  <si>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</si>
  <si>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</si>
  <si>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</si>
  <si>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</si>
  <si>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</si>
  <si>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</si>
  <si>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</si>
  <si>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</si>
  <si>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</si>
  <si>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</si>
  <si>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</si>
  <si>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</si>
  <si>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</si>
  <si>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</si>
  <si>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</si>
  <si>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</si>
  <si>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</si>
  <si>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</si>
  <si>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</si>
  <si>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</si>
  <si>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</si>
  <si>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</si>
  <si>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</si>
  <si>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</si>
  <si>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</si>
  <si>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</si>
  <si>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</si>
  <si>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</si>
  <si>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</si>
  <si>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</si>
  <si>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</si>
  <si>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</si>
  <si>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</si>
  <si>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</si>
  <si>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</si>
  <si>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</si>
  <si>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</si>
  <si>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</si>
  <si>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</si>
  <si>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</si>
  <si>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</si>
  <si>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</si>
  <si>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</si>
  <si>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</si>
  <si>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</si>
  <si>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</si>
  <si>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</si>
  <si>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</si>
  <si>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</si>
  <si>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</si>
  <si>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</si>
  <si>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</si>
  <si>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</si>
  <si>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</si>
  <si>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</si>
  <si>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</si>
  <si>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</si>
  <si>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</si>
  <si>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</si>
  <si>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</si>
  <si>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</si>
  <si>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</si>
  <si>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</si>
  <si>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</si>
  <si>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</si>
  <si>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</si>
  <si>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</si>
  <si>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</si>
  <si>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</si>
  <si>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</si>
  <si>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</si>
  <si>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</si>
  <si>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</si>
  <si>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</si>
  <si>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</si>
  <si>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</si>
  <si>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</si>
  <si>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</si>
  <si>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</si>
  <si>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</si>
  <si>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</si>
  <si>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</si>
  <si>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</si>
  <si>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</si>
  <si>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</si>
  <si>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</si>
  <si>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</si>
  <si>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</si>
  <si>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</si>
  <si>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</si>
  <si>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</si>
  <si>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</si>
  <si>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</si>
  <si>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</si>
  <si>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</si>
  <si>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</si>
  <si>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</si>
  <si>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</si>
  <si>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</si>
  <si>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</si>
  <si>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</si>
  <si>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</si>
  <si>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</si>
  <si>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</si>
  <si>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</si>
  <si>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</si>
  <si>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</si>
  <si>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</si>
  <si>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</si>
  <si>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</si>
  <si>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</si>
  <si>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</si>
  <si>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</si>
  <si>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</si>
  <si>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</si>
  <si>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</si>
  <si>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</si>
  <si>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</si>
  <si>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</si>
  <si>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</si>
  <si>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</si>
  <si>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</si>
  <si>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</si>
  <si>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</si>
  <si>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</si>
  <si>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</si>
  <si>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</si>
  <si>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</si>
  <si>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</si>
  <si>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</si>
  <si>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</si>
  <si>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</si>
  <si>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</si>
  <si>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</si>
  <si>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</si>
  <si>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</si>
  <si>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</si>
  <si>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</si>
  <si>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</si>
  <si>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</si>
  <si>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</si>
  <si>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</si>
  <si>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</si>
  <si>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</si>
  <si>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</si>
  <si>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</si>
  <si>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</si>
  <si>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</si>
  <si>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</si>
  <si>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</si>
  <si>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</si>
  <si>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</si>
  <si>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</si>
  <si>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</si>
  <si>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</si>
  <si>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</si>
  <si>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</si>
  <si>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</si>
  <si>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</si>
  <si>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</si>
  <si>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</si>
  <si>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</si>
  <si>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</si>
  <si>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</si>
  <si>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</si>
  <si>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</si>
  <si>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</si>
  <si>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</si>
  <si>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</si>
  <si>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</si>
  <si>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</si>
  <si>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</si>
  <si>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</si>
  <si>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</si>
  <si>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</si>
  <si>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</si>
  <si>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</si>
  <si>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</si>
  <si>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</si>
  <si>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</si>
  <si>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</si>
  <si>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</si>
  <si>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</si>
  <si>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</si>
  <si>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</si>
  <si>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</si>
  <si>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</si>
  <si>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</si>
  <si>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</si>
  <si>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</si>
  <si>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</si>
  <si>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</si>
  <si>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</si>
  <si>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</si>
  <si>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</si>
  <si>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</si>
  <si>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</si>
  <si>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</si>
  <si>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</si>
  <si>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</si>
  <si>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</si>
  <si>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</si>
  <si>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</si>
  <si>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</si>
  <si>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</si>
  <si>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</si>
  <si>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</si>
  <si>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</si>
  <si>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</si>
  <si>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</si>
  <si>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</si>
  <si>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</si>
  <si>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</si>
  <si>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</si>
  <si>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</si>
  <si>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</si>
  <si>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</si>
  <si>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</si>
  <si>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</si>
  <si>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</si>
  <si>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</si>
  <si>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</si>
  <si>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</si>
  <si>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</si>
  <si>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</si>
  <si>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</si>
  <si>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</si>
  <si>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</si>
  <si>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</si>
  <si>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</si>
  <si>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</si>
  <si>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</si>
  <si>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</si>
  <si>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</si>
  <si>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</si>
  <si>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</si>
  <si>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</si>
  <si>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</si>
  <si>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</si>
  <si>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</si>
  <si>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</si>
  <si>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</si>
  <si>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</si>
  <si>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</si>
  <si>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</si>
  <si>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</si>
  <si>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</si>
  <si>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</si>
  <si>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</si>
  <si>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</si>
  <si>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</si>
  <si>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</si>
  <si>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</si>
  <si>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</si>
  <si>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</si>
  <si>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</si>
  <si>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</si>
  <si>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</si>
  <si>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</si>
  <si>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</si>
  <si>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</si>
  <si>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</si>
  <si>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</si>
  <si>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</si>
  <si>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</si>
  <si>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</si>
  <si>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</si>
  <si>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</si>
  <si>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</si>
  <si>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</si>
  <si>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</si>
  <si>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</si>
  <si>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</si>
  <si>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</si>
  <si>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</si>
  <si>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</si>
  <si>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</si>
  <si>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</si>
  <si>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</si>
  <si>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</si>
  <si>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</si>
  <si>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</si>
  <si>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</si>
  <si>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</si>
  <si>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</si>
  <si>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</si>
  <si>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</si>
  <si>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</si>
  <si>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郑燚</t>
  </si>
  <si>
    <t>中国农业银行股份有限公司北京西城支行</t>
    <phoneticPr fontId="6" type="noConversion"/>
  </si>
  <si>
    <t>房地产抵押价值</t>
  </si>
  <si>
    <t>北京市</t>
  </si>
  <si>
    <r>
      <rPr>
        <sz val="10"/>
        <color theme="9" tint="-0.249977111117893"/>
        <rFont val="宋体"/>
        <family val="3"/>
        <charset val="134"/>
      </rPr>
      <t>昌平区东小口镇天通苑西苑</t>
    </r>
    <r>
      <rPr>
        <sz val="10"/>
        <color theme="9" tint="-0.249977111117893"/>
        <rFont val="Arial"/>
        <family val="2"/>
      </rPr>
      <t>2</t>
    </r>
    <r>
      <rPr>
        <sz val="10"/>
        <color theme="9" tint="-0.249977111117893"/>
        <rFont val="宋体"/>
        <family val="3"/>
        <charset val="134"/>
      </rPr>
      <t>号楼商业用房</t>
    </r>
    <phoneticPr fontId="6" type="noConversion"/>
  </si>
  <si>
    <t>自然人</t>
  </si>
  <si>
    <t>是</t>
  </si>
  <si>
    <t>商业</t>
    <phoneticPr fontId="6" type="noConversion"/>
  </si>
  <si>
    <t>地上</t>
  </si>
  <si>
    <t>商业</t>
    <phoneticPr fontId="7" type="noConversion"/>
  </si>
  <si>
    <t>收益法 (元)</t>
  </si>
  <si>
    <t>比较法-商业</t>
  </si>
  <si>
    <t>崔锴</t>
  </si>
  <si>
    <t>成新度</t>
  </si>
  <si>
    <t>建成年代</t>
    <phoneticPr fontId="3" type="noConversion"/>
  </si>
  <si>
    <t>直线</t>
    <phoneticPr fontId="3" type="noConversion"/>
  </si>
  <si>
    <t>观察</t>
    <phoneticPr fontId="3" type="noConversion"/>
  </si>
  <si>
    <t>综合</t>
    <phoneticPr fontId="3" type="noConversion"/>
  </si>
  <si>
    <t>较好</t>
  </si>
  <si>
    <t>较好</t>
    <phoneticPr fontId="40" type="noConversion"/>
  </si>
  <si>
    <t>较好</t>
    <phoneticPr fontId="24" type="noConversion"/>
  </si>
  <si>
    <t>七通</t>
  </si>
  <si>
    <t>七通</t>
    <phoneticPr fontId="24" type="noConversion"/>
  </si>
  <si>
    <t>售价</t>
  </si>
  <si>
    <t>正常</t>
  </si>
  <si>
    <t>报价</t>
  </si>
  <si>
    <t>报价</t>
    <phoneticPr fontId="30" type="noConversion"/>
  </si>
  <si>
    <t>三面临街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</si>
  <si>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</si>
  <si>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</si>
  <si>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</si>
  <si>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</si>
  <si>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</si>
  <si>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</si>
  <si>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</si>
  <si>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</si>
  <si>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</si>
  <si>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</si>
  <si>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</si>
  <si>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</si>
  <si>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</si>
  <si>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</si>
  <si>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</si>
  <si>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一层</t>
    <phoneticPr fontId="30" type="noConversion"/>
  </si>
  <si>
    <t>一拖二</t>
    <phoneticPr fontId="30" type="noConversion"/>
  </si>
  <si>
    <t>一拖三</t>
    <phoneticPr fontId="30" type="noConversion"/>
  </si>
  <si>
    <t>商场</t>
    <phoneticPr fontId="30" type="noConversion"/>
  </si>
  <si>
    <t>商业街</t>
    <phoneticPr fontId="30" type="noConversion"/>
  </si>
  <si>
    <t>配套商业</t>
  </si>
  <si>
    <t>配套商业</t>
    <phoneticPr fontId="30" type="noConversion"/>
  </si>
  <si>
    <t>钢</t>
    <phoneticPr fontId="30" type="noConversion"/>
  </si>
  <si>
    <t>钢混</t>
    <phoneticPr fontId="30" type="noConversion"/>
  </si>
  <si>
    <t>砖混</t>
  </si>
  <si>
    <t>砖混</t>
    <phoneticPr fontId="30" type="noConversion"/>
  </si>
  <si>
    <t>普装</t>
  </si>
  <si>
    <t>普装</t>
    <phoneticPr fontId="30" type="noConversion"/>
  </si>
  <si>
    <t>七通</t>
    <phoneticPr fontId="30" type="noConversion"/>
  </si>
  <si>
    <t>六通</t>
  </si>
  <si>
    <t>六通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</si>
  <si>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</si>
  <si>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</si>
  <si>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</si>
  <si>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</si>
  <si>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</si>
  <si>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</si>
  <si>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</si>
  <si>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</si>
  <si>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</si>
  <si>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</si>
  <si>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精装</t>
  </si>
  <si>
    <t>精装</t>
    <phoneticPr fontId="30" type="noConversion"/>
  </si>
  <si>
    <t>简装</t>
  </si>
  <si>
    <t>简装</t>
    <phoneticPr fontId="30" type="noConversion"/>
  </si>
  <si>
    <t>商业</t>
    <phoneticPr fontId="30" type="noConversion"/>
  </si>
  <si>
    <t>售价</t>
    <phoneticPr fontId="134" type="noConversion"/>
  </si>
  <si>
    <t>面积</t>
    <phoneticPr fontId="134" type="noConversion"/>
  </si>
  <si>
    <t>单价</t>
    <phoneticPr fontId="134" type="noConversion"/>
  </si>
  <si>
    <t>天通西苑一区</t>
    <phoneticPr fontId="134" type="noConversion"/>
  </si>
  <si>
    <t>楼层</t>
    <phoneticPr fontId="134" type="noConversion"/>
  </si>
  <si>
    <t>一拖三</t>
    <phoneticPr fontId="134" type="noConversion"/>
  </si>
  <si>
    <t>天通苑西苑2号楼</t>
    <phoneticPr fontId="3" type="noConversion"/>
  </si>
  <si>
    <t>一拖四</t>
    <phoneticPr fontId="30" type="noConversion"/>
  </si>
  <si>
    <t>天通苑东一区</t>
    <phoneticPr fontId="134" type="noConversion"/>
  </si>
  <si>
    <t>一拖四</t>
    <phoneticPr fontId="134" type="noConversion"/>
  </si>
  <si>
    <t>租金</t>
  </si>
  <si>
    <t>单套模式</t>
  </si>
  <si>
    <t>押一</t>
  </si>
  <si>
    <t>非生产用房</t>
  </si>
  <si>
    <t>否</t>
  </si>
  <si>
    <t>租金</t>
    <phoneticPr fontId="134" type="noConversion"/>
  </si>
  <si>
    <t>面积</t>
    <phoneticPr fontId="134" type="noConversion"/>
  </si>
  <si>
    <t>单价</t>
    <phoneticPr fontId="134" type="noConversion"/>
  </si>
  <si>
    <t>楼层</t>
    <phoneticPr fontId="134" type="noConversion"/>
  </si>
  <si>
    <t>楼面单价</t>
  </si>
  <si>
    <t>自定义</t>
  </si>
  <si>
    <t>第三方</t>
    <phoneticPr fontId="6" type="noConversion"/>
  </si>
  <si>
    <t>权重</t>
    <phoneticPr fontId="3" type="noConversion"/>
  </si>
  <si>
    <t>一层</t>
  </si>
  <si>
    <t>一拖二</t>
  </si>
  <si>
    <t>一拖三</t>
  </si>
  <si>
    <t>一拖四</t>
  </si>
  <si>
    <t>已注销</t>
  </si>
  <si>
    <t>一拖二</t>
    <phoneticPr fontId="134" type="noConversion"/>
  </si>
  <si>
    <t>楼层系数修正</t>
    <phoneticPr fontId="134" type="noConversion"/>
  </si>
  <si>
    <t>双面临街</t>
  </si>
  <si>
    <t>较好</t>
    <phoneticPr fontId="30" type="noConversion"/>
  </si>
  <si>
    <t>天通东苑一区</t>
    <phoneticPr fontId="134" type="noConversion"/>
  </si>
  <si>
    <t>一拖三</t>
    <phoneticPr fontId="134" type="noConversion"/>
  </si>
  <si>
    <t>天通东苑二区</t>
    <phoneticPr fontId="134" type="noConversion"/>
  </si>
  <si>
    <t>钢混</t>
  </si>
  <si>
    <t>天居园</t>
    <phoneticPr fontId="134" type="noConversion"/>
  </si>
  <si>
    <t>北苑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</si>
</sst>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7" borderId="150"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23" xfId="0"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77" fillId="12" borderId="27" xfId="0" applyFont="1" applyFill="1" applyBorder="1" applyAlignment="1" applyProtection="1">
      <alignment vertical="center"/>
      <protection locked="0"/>
    </xf>
    <xf numFmtId="0" fontId="47" fillId="12" borderId="80" xfId="0" applyFont="1" applyFill="1" applyBorder="1" applyAlignment="1" applyProtection="1">
      <alignment vertical="center"/>
      <protection locked="0"/>
    </xf>
    <xf numFmtId="0" fontId="47" fillId="12" borderId="81" xfId="0" applyFont="1" applyFill="1" applyBorder="1" applyAlignment="1" applyProtection="1">
      <alignment vertical="center"/>
      <protection locked="0"/>
    </xf>
    <xf numFmtId="0" fontId="209" fillId="12" borderId="0" xfId="0" applyNumberFormat="1" applyFont="1" applyFill="1" applyBorder="1" applyAlignment="1" applyProtection="1">
      <alignment horizontal="center" vertical="center" wrapText="1"/>
      <protection locked="0"/>
    </xf>
    <xf numFmtId="0" fontId="94" fillId="12" borderId="0" xfId="0" applyNumberFormat="1" applyFont="1" applyFill="1" applyBorder="1" applyAlignment="1" applyProtection="1">
      <alignment horizontal="center" vertical="center" wrapText="1"/>
      <protection locked="0"/>
    </xf>
    <xf numFmtId="0" fontId="49" fillId="12"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horizontal="center" vertical="center"/>
      <protection locked="0"/>
    </xf>
    <xf numFmtId="0" fontId="49" fillId="0" borderId="35" xfId="0" applyFont="1" applyFill="1" applyBorder="1" applyAlignment="1" applyProtection="1">
      <alignment horizontal="center" vertical="center"/>
      <protection locked="0"/>
    </xf>
    <xf numFmtId="0" fontId="94" fillId="2" borderId="54"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14</xdr:col>
      <xdr:colOff>457200</xdr:colOff>
      <xdr:row>52</xdr:row>
      <xdr:rowOff>8164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5735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136</xdr:row>
      <xdr:rowOff>81642</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6939642"/>
        </a:xfrm>
        <a:prstGeom prst="rect">
          <a:avLst/>
        </a:prstGeom>
      </xdr:spPr>
    </xdr:pic>
    <xdr:clientData/>
  </xdr:twoCellAnchor>
  <xdr:twoCellAnchor editAs="oneCell">
    <xdr:from>
      <xdr:col>0</xdr:col>
      <xdr:colOff>0</xdr:colOff>
      <xdr:row>137</xdr:row>
      <xdr:rowOff>0</xdr:rowOff>
    </xdr:from>
    <xdr:to>
      <xdr:col>14</xdr:col>
      <xdr:colOff>457200</xdr:colOff>
      <xdr:row>177</xdr:row>
      <xdr:rowOff>81642</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488650"/>
          <a:ext cx="10058400" cy="6939642"/>
        </a:xfrm>
        <a:prstGeom prst="rect">
          <a:avLst/>
        </a:prstGeom>
      </xdr:spPr>
    </xdr:pic>
    <xdr:clientData/>
  </xdr:twoCellAnchor>
  <xdr:twoCellAnchor editAs="oneCell">
    <xdr:from>
      <xdr:col>0</xdr:col>
      <xdr:colOff>0</xdr:colOff>
      <xdr:row>178</xdr:row>
      <xdr:rowOff>0</xdr:rowOff>
    </xdr:from>
    <xdr:to>
      <xdr:col>14</xdr:col>
      <xdr:colOff>457200</xdr:colOff>
      <xdr:row>220</xdr:row>
      <xdr:rowOff>65314</xdr:rowOff>
    </xdr:to>
    <xdr:pic>
      <xdr:nvPicPr>
        <xdr:cNvPr id="5" name="图片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518100"/>
          <a:ext cx="10058400" cy="7266214"/>
        </a:xfrm>
        <a:prstGeom prst="rect">
          <a:avLst/>
        </a:prstGeom>
      </xdr:spPr>
    </xdr:pic>
    <xdr:clientData/>
  </xdr:twoCellAnchor>
  <xdr:twoCellAnchor editAs="oneCell">
    <xdr:from>
      <xdr:col>0</xdr:col>
      <xdr:colOff>0</xdr:colOff>
      <xdr:row>221</xdr:row>
      <xdr:rowOff>0</xdr:rowOff>
    </xdr:from>
    <xdr:to>
      <xdr:col>14</xdr:col>
      <xdr:colOff>457200</xdr:colOff>
      <xdr:row>261</xdr:row>
      <xdr:rowOff>81642</xdr:rowOff>
    </xdr:to>
    <xdr:pic>
      <xdr:nvPicPr>
        <xdr:cNvPr id="6" name="图片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7890450"/>
          <a:ext cx="10058400" cy="6939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北京市昌平区东小口镇天通苑西苑2号楼商业用房房地产抵押价值预评估</v>
      </c>
    </row>
    <row r="3" spans="1:2" s="1203" customFormat="1">
      <c r="A3" s="1201" t="s">
        <v>523</v>
      </c>
      <c r="B3" s="1202" t="str">
        <f>'预评函-封皮'!B40</f>
        <v>中国农业银行股份有限公司北京西城支行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受贵公司委托，我公司对北京市昌平区东小口镇天通苑西苑2号楼商业用房房地产抵押价值进行了预评估。</v>
      </c>
    </row>
    <row r="7" spans="1:2" s="1203" customFormat="1">
      <c r="A7" s="1201" t="s">
        <v>566</v>
      </c>
      <c r="B7" s="1202" t="str">
        <f>'预评函-1'!A7</f>
        <v>估价对象为北京市昌平区东小口镇天通苑西苑2号楼商业用房房地产，为所有。根据《国有土地使用证》[]，估价对象（分摊）出让国有建设用地使用权面积为0平方米，建筑面积为843.77平方米。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小口镇天通苑西苑2号楼商业用房房地产,属开发建设的，该项目尚在开发建设中。根据《国有土地使用证》[]，估价对象（分摊）出让国有建设用地使用权面积为0平方米，规划建筑面积为843.77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2024年6月26日（评估专业人员实地查勘之日）</v>
      </c>
    </row>
    <row r="13" spans="1:2" s="1203" customFormat="1">
      <c r="A13" s="1201" t="s">
        <v>529</v>
      </c>
      <c r="B13" s="1202" t="str">
        <f>'预评函-1'!A18</f>
        <v>本次估价的“房地产价值”是指在正常市场情况下，在价值时点2024年6月26日，估价对象规划用途为商业，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1487</v>
      </c>
    </row>
    <row r="21" spans="1:2" s="1203" customFormat="1">
      <c r="A21" s="1201" t="s">
        <v>537</v>
      </c>
      <c r="B21" s="1202">
        <f ca="1">'预评函-2'!D7</f>
        <v>17623</v>
      </c>
    </row>
    <row r="22" spans="1:2" s="1203" customFormat="1">
      <c r="A22" s="1201" t="s">
        <v>538</v>
      </c>
      <c r="B22" s="1202" t="str">
        <f ca="1">'预评函-2'!D6</f>
        <v>壹仟肆佰捌拾柒万元整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1487</v>
      </c>
    </row>
    <row r="35" spans="1:2" s="1203" customFormat="1">
      <c r="A35" s="1201" t="s">
        <v>577</v>
      </c>
      <c r="B35" s="1202">
        <f ca="1">'预评函-2'!D18</f>
        <v>17623</v>
      </c>
    </row>
    <row r="36" spans="1:2" s="1203" customFormat="1">
      <c r="A36" s="1201" t="s">
        <v>544</v>
      </c>
      <c r="B36" s="1202" t="str">
        <f ca="1">'预评函-2'!D17</f>
        <v>壹仟肆佰捌拾柒万元整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北京市昌平区东小口镇天通苑西苑2号楼商业用房房地产</v>
      </c>
    </row>
    <row r="42" spans="1:2" s="1203" customFormat="1">
      <c r="A42" s="1201" t="s">
        <v>590</v>
      </c>
      <c r="B42" s="1202" t="str">
        <f>'预评函-3'!B2</f>
        <v>建筑面积</v>
      </c>
    </row>
    <row r="43" spans="1:2" s="1203" customFormat="1">
      <c r="A43" s="1201" t="s">
        <v>591</v>
      </c>
      <c r="B43" s="1202">
        <f>'预评函-3'!B4</f>
        <v>843.77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第三方拟使用北京市昌平区东小口镇天通苑西苑2号楼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20" t="s">
        <v>2580</v>
      </c>
      <c r="J2" s="3520"/>
      <c r="K2" s="3520"/>
      <c r="L2" s="3520"/>
      <c r="M2" s="3520"/>
      <c r="N2" s="3520"/>
      <c r="O2" s="3520"/>
      <c r="P2" s="3520"/>
      <c r="Q2" s="3520"/>
      <c r="R2" s="3520"/>
    </row>
    <row r="3" spans="1:18">
      <c r="A3" s="3016" t="s">
        <v>2501</v>
      </c>
      <c r="B3" s="3017">
        <f>项目基本情况!D3</f>
        <v>45469</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9" t="str">
        <f>IF(B10="北京市","北京市",C10)&amp;F10&amp;IF(结果表!G1="在建","出让国有建设用地使用权及在建建筑物",IF(结果表!G1="土地","出让国有建设用地使用权",))&amp;B9&amp;"预评估"</f>
        <v>北京市昌平区东小口镇天通苑西苑2号楼商业用房房地产抵押价值预评估</v>
      </c>
      <c r="C1" s="3530"/>
      <c r="D1" s="3530"/>
      <c r="E1" s="3530"/>
      <c r="F1" s="3530"/>
      <c r="G1" s="3530"/>
      <c r="H1" s="3530"/>
      <c r="I1" s="3531"/>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北京市昌平区东小口镇天通苑西苑2号楼商业用房房地产抵押价值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北京市昌平区东小口镇天通苑西苑2号楼商业用房房地产</v>
      </c>
      <c r="T2" s="1745"/>
      <c r="U2" s="1745"/>
      <c r="V2" s="1745"/>
      <c r="W2" s="1745"/>
      <c r="X2" s="1745"/>
      <c r="Y2" s="1745"/>
      <c r="Z2" s="1745"/>
      <c r="AA2" s="1745"/>
      <c r="AB2" s="1745"/>
    </row>
    <row r="3" spans="1:30">
      <c r="A3" s="302" t="s">
        <v>2170</v>
      </c>
      <c r="B3" s="2373">
        <v>45469</v>
      </c>
      <c r="C3" s="2374" t="s">
        <v>2171</v>
      </c>
      <c r="D3" s="2373">
        <v>45469</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3392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3452" t="s">
        <v>3381</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68" t="s">
        <v>3475</v>
      </c>
      <c r="C7" s="2384"/>
      <c r="D7" s="2385"/>
      <c r="E7" s="2658"/>
      <c r="F7" s="2660"/>
      <c r="G7" s="2660"/>
      <c r="H7" s="2660"/>
      <c r="I7" s="2660"/>
      <c r="J7" s="2437"/>
      <c r="K7" s="2612"/>
      <c r="L7" s="2609"/>
      <c r="M7" s="2609"/>
      <c r="N7" s="2437"/>
      <c r="O7" s="2448"/>
      <c r="P7" s="2437"/>
      <c r="Q7" s="2437"/>
      <c r="R7" s="2437"/>
    </row>
    <row r="8" spans="1:30">
      <c r="A8" s="2386" t="s">
        <v>2176</v>
      </c>
      <c r="B8" s="2387" t="s">
        <v>3375</v>
      </c>
      <c r="C8" s="2388"/>
      <c r="D8" s="3532" t="s">
        <v>2177</v>
      </c>
      <c r="E8" s="2389" t="s">
        <v>3481</v>
      </c>
      <c r="F8" s="2390"/>
      <c r="G8" s="2659"/>
      <c r="H8" s="2659"/>
      <c r="I8" s="2659"/>
      <c r="J8" s="2437"/>
      <c r="K8" s="2610"/>
      <c r="L8" s="2609"/>
      <c r="M8" s="2609"/>
      <c r="N8" s="2437"/>
      <c r="O8" s="2448"/>
      <c r="P8" s="2437"/>
      <c r="Q8" s="2437"/>
      <c r="R8" s="2437"/>
    </row>
    <row r="9" spans="1:30" ht="13.5" thickBot="1">
      <c r="A9" s="2391" t="s">
        <v>2178</v>
      </c>
      <c r="B9" s="2392" t="s">
        <v>3382</v>
      </c>
      <c r="C9" s="2393"/>
      <c r="D9" s="3533"/>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3384</v>
      </c>
      <c r="G10" s="2663"/>
      <c r="H10" s="2664"/>
      <c r="I10" s="2665"/>
      <c r="J10" s="2437"/>
      <c r="K10" s="2612"/>
      <c r="L10" s="2609"/>
      <c r="M10" s="2609"/>
      <c r="N10" s="2437"/>
      <c r="O10" s="2448"/>
      <c r="P10" s="2437"/>
      <c r="Q10" s="2437"/>
      <c r="R10" s="2437"/>
    </row>
    <row r="11" spans="1:30">
      <c r="A11" s="2399" t="s">
        <v>2181</v>
      </c>
      <c r="B11" s="2400" t="s">
        <v>3385</v>
      </c>
      <c r="C11" s="2401"/>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v>51675</v>
      </c>
      <c r="E13" s="856"/>
      <c r="F13" s="856"/>
      <c r="G13" s="856"/>
      <c r="H13" s="856"/>
      <c r="I13" s="856"/>
      <c r="J13" s="3058"/>
      <c r="K13" s="2609"/>
      <c r="L13" s="2609"/>
      <c r="M13" s="2437"/>
      <c r="N13" s="2448"/>
      <c r="O13" s="2437"/>
      <c r="P13" s="2437"/>
      <c r="Q13" s="2437"/>
      <c r="AD13" s="1745"/>
    </row>
    <row r="14" spans="1:30">
      <c r="A14" s="1081"/>
      <c r="B14" s="2405" t="s">
        <v>2191</v>
      </c>
      <c r="C14" s="2406"/>
      <c r="D14" s="2406">
        <v>40</v>
      </c>
      <c r="E14" s="2406"/>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17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9" t="s">
        <v>3387</v>
      </c>
      <c r="C16" s="3540"/>
      <c r="D16" s="3541"/>
      <c r="E16" s="2411" t="s">
        <v>2194</v>
      </c>
      <c r="F16" s="3542"/>
      <c r="G16" s="3543"/>
      <c r="H16" s="3543"/>
      <c r="I16" s="3544"/>
      <c r="J16" s="2437"/>
      <c r="K16" s="2613"/>
      <c r="L16" s="2449"/>
      <c r="M16" s="2449"/>
      <c r="N16" s="2505"/>
      <c r="O16" s="2449"/>
      <c r="P16" s="2505"/>
      <c r="Q16" s="2437"/>
      <c r="R16" s="2437"/>
    </row>
    <row r="17" spans="1:28">
      <c r="A17" s="313" t="s">
        <v>2195</v>
      </c>
      <c r="B17" s="302" t="s">
        <v>2196</v>
      </c>
      <c r="C17" s="8">
        <f>'数据-汇总表'!E3</f>
        <v>843.77</v>
      </c>
      <c r="D17" s="2322" t="s">
        <v>2197</v>
      </c>
      <c r="E17" s="3545" t="s">
        <v>2198</v>
      </c>
      <c r="F17" s="3546"/>
      <c r="G17" s="3546"/>
      <c r="H17" s="3546"/>
      <c r="I17" s="3547"/>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8" t="s">
        <v>2202</v>
      </c>
      <c r="F18" s="3549"/>
      <c r="G18" s="3549"/>
      <c r="H18" s="3549"/>
      <c r="I18" s="3550"/>
      <c r="J18" s="2437"/>
      <c r="K18" s="2614"/>
      <c r="L18" s="2449"/>
      <c r="M18" s="2449"/>
      <c r="N18" s="2505"/>
      <c r="O18" s="2449"/>
      <c r="P18" s="2505"/>
      <c r="Q18" s="2437"/>
      <c r="R18" s="2437"/>
      <c r="S18" s="2437"/>
      <c r="T18" s="2437"/>
      <c r="U18" s="2437"/>
      <c r="V18" s="2437"/>
    </row>
    <row r="19" spans="1:28" ht="37.5" thickTop="1" thickBot="1">
      <c r="A19" s="327" t="s">
        <v>1055</v>
      </c>
      <c r="B19" s="307" t="s">
        <v>2203</v>
      </c>
      <c r="C19" s="1563" t="s">
        <v>3386</v>
      </c>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35" t="s">
        <v>2206</v>
      </c>
      <c r="C20" s="3536"/>
      <c r="D20" s="3537" t="s">
        <v>2207</v>
      </c>
      <c r="E20" s="3538"/>
      <c r="F20" s="2643" t="s">
        <v>1056</v>
      </c>
      <c r="G20" s="2660"/>
      <c r="H20" s="2660"/>
      <c r="I20" s="2660"/>
      <c r="J20" s="2437"/>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2"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2"/>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2"/>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3"/>
      <c r="B30" s="302" t="s">
        <v>2218</v>
      </c>
      <c r="C30" s="3524"/>
      <c r="D30" s="3525"/>
      <c r="E30" s="2660"/>
      <c r="F30" s="2660"/>
      <c r="G30" s="2660"/>
      <c r="H30" s="2660"/>
      <c r="I30" s="2660"/>
      <c r="J30" s="2437"/>
      <c r="K30" s="2612"/>
      <c r="L30" s="2609"/>
      <c r="M30" s="2609"/>
      <c r="N30" s="2437"/>
      <c r="O30" s="2448"/>
      <c r="P30" s="2437"/>
      <c r="Q30" s="2437"/>
      <c r="R30" s="2437"/>
      <c r="S30" s="2437"/>
      <c r="T30" s="2437"/>
      <c r="U30" s="2437"/>
      <c r="V30" s="2437"/>
    </row>
    <row r="31" spans="1:28">
      <c r="A31" s="3526"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7"/>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7"/>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21" t="s">
        <v>2228</v>
      </c>
      <c r="T34" s="2426" t="str">
        <f>NUMBERSTRING(7-K34,1)&amp;"通"</f>
        <v>七通</v>
      </c>
      <c r="U34" s="2437"/>
      <c r="V34" s="2437"/>
    </row>
    <row r="35" spans="1:30">
      <c r="A35" s="2427"/>
      <c r="B35" s="3528" t="s">
        <v>2229</v>
      </c>
      <c r="C35" s="3528"/>
      <c r="D35" s="3528"/>
      <c r="E35" s="3528"/>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843.77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843.77</v>
      </c>
      <c r="H5" s="13">
        <f t="shared" ref="H5:AT5" si="0">SUM(H13:H656)</f>
        <v>843.77</v>
      </c>
      <c r="I5" s="13">
        <f t="shared" si="0"/>
        <v>843.77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843.77</v>
      </c>
      <c r="BA5" s="15">
        <f t="shared" si="1"/>
        <v>843.77</v>
      </c>
      <c r="BB5" s="15">
        <f t="shared" si="1"/>
        <v>843.77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843.77</v>
      </c>
      <c r="H13" s="17">
        <f>SUMIF(I$12:AB$12,"总值",I13:AB13)</f>
        <v>843.77</v>
      </c>
      <c r="I13" s="1626">
        <v>843.77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843.77</v>
      </c>
      <c r="BA13" s="13">
        <f>SUM(BB13:BK13)</f>
        <v>843.77</v>
      </c>
      <c r="BB13" s="13">
        <f>IF($D13="是",I13-J13,0)</f>
        <v>843.77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5" sqref="F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9" t="s">
        <v>1108</v>
      </c>
      <c r="F2" s="2655"/>
      <c r="G2" s="2646"/>
      <c r="H2" s="2647"/>
      <c r="I2" s="2325" t="s">
        <v>1132</v>
      </c>
      <c r="J2" s="2655"/>
      <c r="K2" s="2655"/>
      <c r="L2" s="2655"/>
      <c r="M2" s="2655"/>
      <c r="N2" s="2657"/>
      <c r="O2" s="2655"/>
      <c r="P2" s="2655"/>
    </row>
    <row r="3" spans="1:16" ht="15.75" thickBot="1">
      <c r="A3" s="3561" t="s">
        <v>1105</v>
      </c>
      <c r="B3" s="3561"/>
      <c r="C3" s="3561"/>
      <c r="D3" s="43">
        <f>'数据-基础表'!AY6</f>
        <v>0</v>
      </c>
      <c r="E3" s="43">
        <f>'数据-基础表'!AZ5</f>
        <v>843.77</v>
      </c>
      <c r="F3" s="2655"/>
      <c r="G3" s="1145"/>
      <c r="H3" s="1026" t="s">
        <v>1106</v>
      </c>
      <c r="I3" s="855" t="e">
        <f>ROUND('数据-基础表'!B3/'数据-基础表'!A3,2)</f>
        <v>#DIV/0!</v>
      </c>
      <c r="J3" s="2655"/>
      <c r="K3" s="2655"/>
      <c r="L3" s="2655"/>
      <c r="M3" s="2655"/>
      <c r="N3" s="2657"/>
      <c r="O3" s="2655"/>
      <c r="P3" s="2655"/>
    </row>
    <row r="4" spans="1:16" ht="15">
      <c r="A4" s="3562"/>
      <c r="B4" s="3563"/>
      <c r="C4" s="3564"/>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65" t="s">
        <v>1110</v>
      </c>
      <c r="C5" s="3565"/>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5" t="s">
        <v>1111</v>
      </c>
      <c r="C6" s="3565"/>
      <c r="D6" s="45">
        <f>ROUND($D$3*E6/$E$3,2)</f>
        <v>0</v>
      </c>
      <c r="E6" s="46">
        <f>E3-E5</f>
        <v>843.77</v>
      </c>
      <c r="F6" s="2655"/>
      <c r="G6" s="2649" t="s">
        <v>1112</v>
      </c>
      <c r="H6" s="1146" t="s">
        <v>1113</v>
      </c>
      <c r="I6" s="2650" t="e">
        <f>ROUND(F31/D31,2)</f>
        <v>#DIV/0!</v>
      </c>
      <c r="J6" s="2655"/>
      <c r="K6" s="2655"/>
      <c r="L6" s="2655"/>
      <c r="M6" s="2655"/>
      <c r="N6" s="2655"/>
      <c r="O6" s="2655"/>
      <c r="P6" s="2655"/>
    </row>
    <row r="7" spans="1:16" ht="15.75" thickBot="1">
      <c r="A7" s="3557"/>
      <c r="B7" s="3558"/>
      <c r="C7" s="3559"/>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843.77</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843.77</v>
      </c>
      <c r="F16" s="2655"/>
      <c r="G16" s="2656"/>
      <c r="H16" s="1648" t="s">
        <v>1135</v>
      </c>
      <c r="I16" s="1649"/>
      <c r="J16" s="1139"/>
      <c r="K16" s="3554" t="s">
        <v>1135</v>
      </c>
      <c r="L16" s="3555"/>
      <c r="M16" s="3555"/>
      <c r="N16" s="3555"/>
      <c r="O16" s="3555"/>
      <c r="P16" s="3556"/>
    </row>
    <row r="17" spans="1:19" ht="15">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3389</v>
      </c>
      <c r="D19" s="45">
        <f>ROUND($D$3*E19/$E$3,2)</f>
        <v>0</v>
      </c>
      <c r="E19" s="53">
        <f t="shared" ref="E19:E26" si="1">SUM(F19:G19)</f>
        <v>843.77</v>
      </c>
      <c r="F19" s="2791">
        <f>'数据-基础表'!BB5</f>
        <v>843.77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843.77</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843.77</v>
      </c>
      <c r="F27" s="1140">
        <f>IF(SUM(F19:F26)=E8,SUM(F19:F26),"地上面积有误")</f>
        <v>843.77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843.77</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843.77</v>
      </c>
      <c r="F31" s="677">
        <f>F27+F30</f>
        <v>843.77</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51675</v>
      </c>
      <c r="F6" s="64">
        <f>SUMIF(项目基本情况!C$12:I$12,C6,项目基本情况!C$15:I$15)</f>
        <v>17</v>
      </c>
      <c r="G6" s="65">
        <f>IF(ISERROR(ROUND(POWER(1+H6,D6-F6)*(POWER(1+H6,F6)-1)/(POWER(1+H6,D6)-1),3)),0,ROUND(POWER(1+H6,D6-F6)*(POWER(1+H6,F6)-1)/(POWER(1+H6,D6)-1),3))</f>
        <v>0.65700000000000003</v>
      </c>
      <c r="H6" s="732">
        <v>0.05</v>
      </c>
      <c r="I6" s="732">
        <v>5.5E-2</v>
      </c>
      <c r="J6" s="66">
        <v>7.0000000000000007E-2</v>
      </c>
      <c r="K6" s="1030">
        <f>SUMIF('数据-汇总表'!C$19:C$33,A6,'数据-汇总表'!E$19:E$33)</f>
        <v>843.77</v>
      </c>
      <c r="L6" s="733">
        <v>3500</v>
      </c>
      <c r="M6" s="67">
        <f t="shared" ref="M6:M14" si="0">ROUND(K6*L6/10000,0)</f>
        <v>295</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'比较法-租金'!C49</f>
        <v>3.6</v>
      </c>
      <c r="V6" s="70">
        <v>2.5000000000000001E-2</v>
      </c>
      <c r="W6" s="70">
        <v>0.1</v>
      </c>
      <c r="X6" s="1040"/>
      <c r="Y6" s="71">
        <f>N6</f>
        <v>0.74</v>
      </c>
      <c r="Z6" s="72"/>
      <c r="AA6" s="66"/>
      <c r="AB6" s="66"/>
      <c r="AC6" s="1040"/>
      <c r="AD6" s="73"/>
      <c r="AE6" s="1041">
        <f ca="1">IF(AN6="",0,SUMIF(INDIRECT("'"&amp;AN6&amp;"'"&amp;"!E:E"),$AE$5,INDIRECT("'"&amp;AN6&amp;"'"&amp;"!F:F")))</f>
        <v>17</v>
      </c>
      <c r="AF6" s="1348"/>
      <c r="AG6" s="138">
        <f>IF(AF6="",0,AE6-AF6)</f>
        <v>0</v>
      </c>
      <c r="AH6" s="74"/>
      <c r="AI6" s="76">
        <v>365</v>
      </c>
      <c r="AJ6" s="77"/>
      <c r="AK6" s="78">
        <v>5.0000000000000001E-3</v>
      </c>
      <c r="AL6" s="79">
        <v>1.5E-3</v>
      </c>
      <c r="AM6" s="80">
        <v>5.0000000000000001E-3</v>
      </c>
      <c r="AN6" s="1715" t="s">
        <v>3390</v>
      </c>
      <c r="AO6" s="52">
        <f ca="1">SUMIF(INDIRECT("'"&amp;AN6&amp;"'"&amp;"!A:A"),"总价",INDIRECT("'"&amp;AN6&amp;"'"&amp;"!B:B"))</f>
        <v>1214.6533999999999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0.05</v>
      </c>
      <c r="I16" s="91"/>
      <c r="J16" s="91"/>
      <c r="K16" s="92">
        <f>SUM(K6:K15)</f>
        <v>843.77</v>
      </c>
      <c r="L16" s="93">
        <f>ROUND(M16*10000/SUM(K6:K14),0)</f>
        <v>3496</v>
      </c>
      <c r="M16" s="93">
        <f>SUM(M6:M14)</f>
        <v>295</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453" t="s">
        <v>3394</v>
      </c>
      <c r="N17" s="2667">
        <v>2003</v>
      </c>
      <c r="O17" s="3469" t="s">
        <v>3476</v>
      </c>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53" t="s">
        <v>3395</v>
      </c>
      <c r="N18" s="2667">
        <f>ROUND(1-(1-0.02)*(2024-N17)/50,2)</f>
        <v>0.59</v>
      </c>
      <c r="O18" s="3470">
        <v>0.3</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5" thickBot="1">
      <c r="A19" s="1722" t="s">
        <v>1211</v>
      </c>
      <c r="B19" s="103">
        <v>0</v>
      </c>
      <c r="C19" s="2795" t="s">
        <v>2301</v>
      </c>
      <c r="D19" s="2672"/>
      <c r="E19" s="2669"/>
      <c r="F19" s="2669"/>
      <c r="G19" s="2669"/>
      <c r="H19" s="2669"/>
      <c r="I19" s="2669"/>
      <c r="J19" s="2669"/>
      <c r="K19" s="2668"/>
      <c r="L19" s="2668"/>
      <c r="M19" s="3453" t="s">
        <v>3396</v>
      </c>
      <c r="N19" s="2667">
        <v>0.8</v>
      </c>
      <c r="O19" s="3471">
        <v>0.7</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1.5</v>
      </c>
      <c r="C20" s="2796" t="s">
        <v>2299</v>
      </c>
      <c r="D20" s="2672"/>
      <c r="E20" s="2669"/>
      <c r="F20" s="2669"/>
      <c r="G20" s="2669"/>
      <c r="H20" s="2669"/>
      <c r="I20" s="2669"/>
      <c r="J20" s="2669"/>
      <c r="K20" s="2668"/>
      <c r="L20" s="2668"/>
      <c r="M20" s="3453" t="s">
        <v>3397</v>
      </c>
      <c r="N20" s="2667">
        <f>ROUND((N18*O18+N19*O19),2)</f>
        <v>0.74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1.5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16.875399999999999</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0.05</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66" t="s">
        <v>2282</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4" t="s">
        <v>3399</v>
      </c>
      <c r="D3" s="2462"/>
      <c r="E3" s="2440" t="s">
        <v>2280</v>
      </c>
      <c r="F3" s="2463" t="s">
        <v>2253</v>
      </c>
      <c r="G3" s="2464" t="s">
        <v>2281</v>
      </c>
      <c r="H3" s="799"/>
      <c r="I3" s="799"/>
      <c r="J3" s="799"/>
      <c r="K3" s="799"/>
      <c r="L3" s="799"/>
      <c r="M3" s="799"/>
      <c r="N3" s="799"/>
      <c r="O3" s="799"/>
      <c r="P3" s="799"/>
      <c r="Q3" s="799"/>
      <c r="R3" s="799"/>
    </row>
    <row r="4" spans="1:29" ht="36">
      <c r="A4" s="2440"/>
      <c r="B4" s="323" t="s">
        <v>2254</v>
      </c>
      <c r="C4" s="3455" t="s">
        <v>3400</v>
      </c>
      <c r="D4" s="2462"/>
      <c r="E4" s="2465"/>
      <c r="F4" s="1373" t="s">
        <v>2255</v>
      </c>
      <c r="G4" s="2466" t="s">
        <v>2256</v>
      </c>
      <c r="H4" s="799"/>
      <c r="I4" s="799"/>
      <c r="J4" s="799"/>
      <c r="K4" s="799"/>
      <c r="L4" s="799"/>
      <c r="M4" s="799"/>
      <c r="N4" s="799"/>
      <c r="O4" s="799"/>
      <c r="P4" s="799"/>
      <c r="Q4" s="799"/>
      <c r="R4" s="799"/>
    </row>
    <row r="5" spans="1:29" ht="24">
      <c r="A5" s="2440"/>
      <c r="B5" s="323" t="s">
        <v>2257</v>
      </c>
      <c r="C5" s="3455" t="s">
        <v>3400</v>
      </c>
      <c r="D5" s="2462"/>
      <c r="E5" s="2465"/>
      <c r="F5" s="323" t="s">
        <v>2258</v>
      </c>
      <c r="G5" s="2466" t="s">
        <v>2259</v>
      </c>
      <c r="H5" s="799"/>
      <c r="I5" s="799"/>
      <c r="J5" s="799"/>
      <c r="K5" s="799"/>
      <c r="L5" s="799"/>
      <c r="M5" s="799"/>
      <c r="N5" s="799"/>
      <c r="O5" s="799"/>
      <c r="P5" s="799"/>
      <c r="Q5" s="799"/>
      <c r="R5" s="799"/>
    </row>
    <row r="6" spans="1:29">
      <c r="A6" s="2440"/>
      <c r="B6" s="323" t="s">
        <v>2260</v>
      </c>
      <c r="C6" s="3456" t="s">
        <v>3399</v>
      </c>
      <c r="D6" s="2462"/>
      <c r="E6" s="2465"/>
      <c r="F6" s="323" t="s">
        <v>2261</v>
      </c>
      <c r="G6" s="2466" t="s">
        <v>2262</v>
      </c>
      <c r="H6" s="799"/>
      <c r="I6" s="799"/>
      <c r="J6" s="799"/>
      <c r="K6" s="799"/>
      <c r="L6" s="799"/>
      <c r="M6" s="799"/>
      <c r="N6" s="799"/>
      <c r="O6" s="799"/>
      <c r="P6" s="799"/>
      <c r="Q6" s="799"/>
      <c r="R6" s="799"/>
    </row>
    <row r="7" spans="1:29" ht="24.75" thickBot="1">
      <c r="A7" s="2440"/>
      <c r="B7" s="323" t="s">
        <v>2258</v>
      </c>
      <c r="C7" s="3456" t="s">
        <v>3399</v>
      </c>
      <c r="D7" s="2467"/>
      <c r="E7" s="2468"/>
      <c r="F7" s="2469" t="s">
        <v>2263</v>
      </c>
      <c r="G7" s="2470" t="s">
        <v>2264</v>
      </c>
      <c r="H7" s="799"/>
      <c r="I7" s="799"/>
      <c r="J7" s="799"/>
      <c r="K7" s="799"/>
      <c r="L7" s="799"/>
      <c r="M7" s="799"/>
      <c r="N7" s="799"/>
      <c r="O7" s="799"/>
      <c r="P7" s="799"/>
      <c r="Q7" s="799"/>
      <c r="R7" s="799"/>
    </row>
    <row r="8" spans="1:29">
      <c r="A8" s="2440"/>
      <c r="B8" s="323" t="s">
        <v>2261</v>
      </c>
      <c r="C8" s="3456" t="s">
        <v>3402</v>
      </c>
      <c r="D8" s="2467"/>
      <c r="E8" s="2467"/>
      <c r="F8" s="2471"/>
      <c r="G8" s="2471"/>
      <c r="H8" s="799"/>
      <c r="I8" s="799"/>
      <c r="J8" s="799"/>
      <c r="K8" s="799"/>
      <c r="L8" s="799"/>
      <c r="M8" s="799"/>
      <c r="N8" s="799"/>
      <c r="O8" s="799"/>
      <c r="P8" s="799"/>
      <c r="Q8" s="799"/>
      <c r="R8" s="799"/>
    </row>
    <row r="9" spans="1:29">
      <c r="A9" s="2440"/>
      <c r="B9" s="323" t="s">
        <v>2265</v>
      </c>
      <c r="C9" s="3455" t="s">
        <v>3399</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843.77</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45469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1487</v>
      </c>
      <c r="C5" s="2508">
        <f ca="1">IF(B5=D14,结果表!H102,ROUND(B5*10000/$B$1,0))</f>
        <v>17623</v>
      </c>
      <c r="D5" s="2508" t="e">
        <f ca="1">ROUND(B5*10000/$B$2,0)</f>
        <v>#DIV/0!</v>
      </c>
      <c r="E5" s="2682"/>
      <c r="F5" s="2683"/>
      <c r="G5" s="2683"/>
      <c r="H5" s="2684"/>
      <c r="I5" s="2684"/>
      <c r="J5" s="2684"/>
      <c r="K5" s="2684"/>
    </row>
    <row r="6" spans="1:11" ht="16.5">
      <c r="A6" s="2508" t="s">
        <v>656</v>
      </c>
      <c r="B6" s="2508">
        <f ca="1">SUM(G14:G23)</f>
        <v>1487</v>
      </c>
      <c r="C6" s="2508" t="e">
        <f ca="1">IF(B6=G14,结果表!H108,ROUND(B6*10000/$B$1,0))</f>
        <v>#VALUE!</v>
      </c>
      <c r="D6" s="2508" t="e">
        <f ca="1">ROUND(B6*10000/$B$2,0)</f>
        <v>#DIV/0!</v>
      </c>
      <c r="E6" s="2682"/>
      <c r="F6" s="2683"/>
      <c r="G6" s="2683"/>
      <c r="H6" s="2684"/>
      <c r="I6" s="2684"/>
      <c r="J6" s="2684"/>
      <c r="K6" s="2684"/>
    </row>
    <row r="7" spans="1:11" ht="16.5">
      <c r="A7" s="2508" t="s">
        <v>664</v>
      </c>
      <c r="B7" s="2508">
        <f>SUM(H14:H23)</f>
        <v>0</v>
      </c>
      <c r="C7" s="2508">
        <f ca="1">IF(B7=H14,结果表!H110,ROUND(B7*10000/$B$1,0))</f>
        <v>17623</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'数据-汇总表'!E31</f>
        <v>843.77</v>
      </c>
      <c r="C14" s="2514"/>
      <c r="D14" s="2514">
        <f ca="1">结果表!G19</f>
        <v>1487</v>
      </c>
      <c r="E14" s="2514">
        <f ca="1">结果表!G20</f>
        <v>17623</v>
      </c>
      <c r="F14" s="2514" t="e">
        <f ca="1">ROUND(D14*10000/C14,0)</f>
        <v>#DIV/0!</v>
      </c>
      <c r="G14" s="2514">
        <f ca="1">D14</f>
        <v>1487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2" t="str">
        <f>项目基本情况!S2</f>
        <v>北京市昌平区东小口镇天通苑西苑2号楼商业用房房地产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4" t="s">
        <v>1265</v>
      </c>
      <c r="B4" s="1755" t="s">
        <v>1266</v>
      </c>
      <c r="C4" s="1756" t="s">
        <v>3390</v>
      </c>
      <c r="D4" s="1756" t="s">
        <v>3391</v>
      </c>
      <c r="E4" s="3608" t="s">
        <v>1267</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2" t="s">
        <v>1268</v>
      </c>
      <c r="B5" s="3569">
        <v>25</v>
      </c>
      <c r="C5" s="3585"/>
      <c r="D5" s="3605"/>
      <c r="E5" s="131" t="s">
        <v>1269</v>
      </c>
      <c r="F5" s="1757"/>
      <c r="G5" s="1757"/>
      <c r="H5" s="1757"/>
      <c r="I5" s="1373"/>
    </row>
    <row r="6" spans="1:12" ht="12.75">
      <c r="A6" s="3582"/>
      <c r="B6" s="3569"/>
      <c r="C6" s="3586"/>
      <c r="D6" s="3605"/>
      <c r="E6" s="131" t="s">
        <v>1270</v>
      </c>
      <c r="F6" s="1757"/>
      <c r="G6" s="1757"/>
      <c r="H6" s="1757"/>
      <c r="I6" s="1373"/>
    </row>
    <row r="7" spans="1:12" ht="12.75">
      <c r="A7" s="3582"/>
      <c r="B7" s="3569"/>
      <c r="C7" s="3587"/>
      <c r="D7" s="3605"/>
      <c r="E7" s="131" t="s">
        <v>1271</v>
      </c>
      <c r="F7" s="1757"/>
      <c r="G7" s="1757"/>
      <c r="H7" s="1757"/>
      <c r="I7" s="1373"/>
    </row>
    <row r="8" spans="1:12" ht="12.75">
      <c r="A8" s="3582" t="s">
        <v>1272</v>
      </c>
      <c r="B8" s="3569">
        <v>15</v>
      </c>
      <c r="C8" s="3585"/>
      <c r="D8" s="3605"/>
      <c r="E8" s="131" t="s">
        <v>1273</v>
      </c>
      <c r="F8" s="1757"/>
      <c r="G8" s="1757"/>
      <c r="H8" s="1757"/>
      <c r="I8" s="1373"/>
    </row>
    <row r="9" spans="1:12" ht="12.75">
      <c r="A9" s="3582"/>
      <c r="B9" s="3569"/>
      <c r="C9" s="3587"/>
      <c r="D9" s="3605"/>
      <c r="E9" s="131" t="s">
        <v>1274</v>
      </c>
      <c r="F9" s="1757"/>
      <c r="G9" s="1757"/>
      <c r="H9" s="1757"/>
      <c r="I9" s="1373"/>
    </row>
    <row r="10" spans="1:12" ht="12.75">
      <c r="A10" s="3582" t="s">
        <v>1275</v>
      </c>
      <c r="B10" s="3569">
        <v>15</v>
      </c>
      <c r="C10" s="3585"/>
      <c r="D10" s="3605"/>
      <c r="E10" s="131" t="s">
        <v>1276</v>
      </c>
      <c r="F10" s="1757"/>
      <c r="G10" s="1757"/>
      <c r="H10" s="1757"/>
      <c r="I10" s="1373"/>
    </row>
    <row r="11" spans="1:12" ht="12.75">
      <c r="A11" s="3582"/>
      <c r="B11" s="3569"/>
      <c r="C11" s="3587"/>
      <c r="D11" s="3605"/>
      <c r="E11" s="131" t="s">
        <v>1277</v>
      </c>
      <c r="F11" s="1757"/>
      <c r="G11" s="1757"/>
      <c r="H11" s="1757"/>
      <c r="I11" s="1373"/>
    </row>
    <row r="12" spans="1:12" ht="12.75">
      <c r="A12" s="3582" t="s">
        <v>1278</v>
      </c>
      <c r="B12" s="3569">
        <v>15</v>
      </c>
      <c r="C12" s="3585"/>
      <c r="D12" s="3605"/>
      <c r="E12" s="131" t="s">
        <v>1279</v>
      </c>
      <c r="F12" s="1757"/>
      <c r="G12" s="1757"/>
      <c r="H12" s="1757"/>
      <c r="I12" s="1373"/>
    </row>
    <row r="13" spans="1:12" ht="12.75">
      <c r="A13" s="3582"/>
      <c r="B13" s="3569"/>
      <c r="C13" s="3587"/>
      <c r="D13" s="3605"/>
      <c r="E13" s="131" t="s">
        <v>1280</v>
      </c>
      <c r="F13" s="1757"/>
      <c r="G13" s="1757"/>
      <c r="H13" s="1757"/>
      <c r="I13" s="1373"/>
    </row>
    <row r="14" spans="1:12" ht="12.75">
      <c r="A14" s="3582" t="s">
        <v>1281</v>
      </c>
      <c r="B14" s="3569">
        <v>30</v>
      </c>
      <c r="C14" s="3585">
        <v>3</v>
      </c>
      <c r="D14" s="3605">
        <v>7</v>
      </c>
      <c r="E14" s="131" t="s">
        <v>1282</v>
      </c>
      <c r="F14" s="1757"/>
      <c r="G14" s="1757"/>
      <c r="H14" s="1757"/>
      <c r="I14" s="1373"/>
    </row>
    <row r="15" spans="1:12" ht="12.75">
      <c r="A15" s="3582"/>
      <c r="B15" s="3569"/>
      <c r="C15" s="3586"/>
      <c r="D15" s="3605"/>
      <c r="E15" s="131" t="s">
        <v>1283</v>
      </c>
      <c r="F15" s="1757"/>
      <c r="G15" s="1757"/>
      <c r="H15" s="1757"/>
      <c r="I15" s="1373"/>
    </row>
    <row r="16" spans="1:12" ht="12.75">
      <c r="A16" s="3582"/>
      <c r="B16" s="3569"/>
      <c r="C16" s="3587"/>
      <c r="D16" s="3605"/>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92" t="s">
        <v>2131</v>
      </c>
      <c r="F18" s="3593"/>
      <c r="G18" s="3593"/>
      <c r="H18" s="3593"/>
      <c r="I18" s="3593"/>
      <c r="K18" s="302" t="s">
        <v>1289</v>
      </c>
      <c r="L18" s="302">
        <f>IF(C1="",'数据-汇总表'!E3,SUMIF(项目类型,C1,'数据-汇总表'!E17:E26)+SUMIF(项目类型,C1,'数据-汇总表'!I17:I26))</f>
        <v>843.77</v>
      </c>
      <c r="M18" s="302">
        <f>IF(C1="",'数据-汇总表'!E3,SUMIF(项目类型,C1,'数据-汇总表'!E17:E26))</f>
        <v>843.77</v>
      </c>
    </row>
    <row r="19" spans="1:36" ht="15">
      <c r="A19" s="1761" t="s">
        <v>1290</v>
      </c>
      <c r="B19" s="1762" t="s">
        <v>1291</v>
      </c>
      <c r="C19" s="134">
        <f ca="1">SUMIF(INDIRECT("'"&amp;C4&amp;"'"&amp;"!A:A"),结果表!B19,INDIRECT("'"&amp;C4&amp;"'"&amp;"!B:B"))</f>
        <v>1214.6533999999999</v>
      </c>
      <c r="D19" s="135">
        <f ca="1">SUMIF(INDIRECT("'"&amp;D4&amp;"'"&amp;"!A:A"),结果表!B19,INDIRECT("'"&amp;D4&amp;"'"&amp;"!B:B"))</f>
        <v>1603.6693</v>
      </c>
      <c r="E19" s="1761" t="s">
        <v>1292</v>
      </c>
      <c r="F19" s="1762" t="s">
        <v>1291</v>
      </c>
      <c r="G19" s="136">
        <f ca="1">ROUND(C19*$C$18+D19*$D$18,0)</f>
        <v>1487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14396</v>
      </c>
      <c r="D20" s="138">
        <f ca="1">SUMIF(INDIRECT("'"&amp;D4&amp;"'"&amp;"!A:A"),结果表!B20,INDIRECT("'"&amp;D4&amp;"'"&amp;"!B:B"))</f>
        <v>19006</v>
      </c>
      <c r="E20" s="1764"/>
      <c r="F20" s="1026" t="s">
        <v>1295</v>
      </c>
      <c r="G20" s="139">
        <f ca="1">ROUND(C20*$C$18+D20*$D$18,0)</f>
        <v>17623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0.32026905782340886</v>
      </c>
      <c r="E22" s="129"/>
      <c r="F22" s="129"/>
      <c r="G22" s="129"/>
      <c r="H22" s="129"/>
      <c r="I22" s="129"/>
    </row>
    <row r="23" spans="1:36" ht="13.5" thickBot="1">
      <c r="A23" s="1747"/>
      <c r="B23" s="1747"/>
      <c r="C23" s="1747"/>
      <c r="D23" s="1747"/>
      <c r="E23" s="129"/>
      <c r="F23" s="129"/>
      <c r="G23" s="129"/>
      <c r="H23" s="129"/>
      <c r="I23" s="129"/>
    </row>
    <row r="24" spans="1:36" ht="14.25">
      <c r="A24" s="3576" t="s">
        <v>1299</v>
      </c>
      <c r="B24" s="1762" t="s">
        <v>1291</v>
      </c>
      <c r="C24" s="136">
        <f>IF(B30=0,0,D30)</f>
        <v>0</v>
      </c>
      <c r="D24" s="1769"/>
      <c r="E24" s="129"/>
      <c r="F24" s="129"/>
      <c r="G24" s="129"/>
      <c r="H24" s="129"/>
      <c r="I24" s="129"/>
    </row>
    <row r="25" spans="1:36" ht="14.25">
      <c r="A25" s="357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17623</v>
      </c>
      <c r="D32" s="1775" t="s">
        <v>3473</v>
      </c>
      <c r="E32" s="129"/>
      <c r="F32" s="129"/>
      <c r="G32" s="129"/>
      <c r="H32" s="129"/>
      <c r="I32" s="129"/>
    </row>
    <row r="33" spans="1:15" ht="15">
      <c r="A33" s="786" t="s">
        <v>1306</v>
      </c>
      <c r="B33" s="1776"/>
      <c r="C33" s="1777" t="s">
        <v>3474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6" t="s">
        <v>1312</v>
      </c>
      <c r="B36" s="1787" t="s">
        <v>1313</v>
      </c>
      <c r="C36" s="145"/>
      <c r="D36" s="1788"/>
      <c r="E36" s="1789"/>
      <c r="F36" s="1790"/>
      <c r="G36" s="129"/>
      <c r="H36" s="129"/>
      <c r="I36" s="129"/>
    </row>
    <row r="37" spans="1:15" ht="15.75" thickBot="1">
      <c r="A37" s="3597"/>
      <c r="B37" s="1674" t="s">
        <v>1314</v>
      </c>
      <c r="C37" s="147"/>
      <c r="D37" s="1139"/>
      <c r="E37" s="1139"/>
      <c r="F37" s="1790"/>
      <c r="G37" s="129"/>
      <c r="H37" s="129"/>
      <c r="I37" s="129"/>
    </row>
    <row r="38" spans="1:15" ht="15.75" thickBot="1">
      <c r="A38" s="359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3" t="s">
        <v>1326</v>
      </c>
      <c r="B45" s="3574"/>
      <c r="C45" s="3575"/>
      <c r="D45" s="155">
        <f ca="1">ROUND(H101*F45,0)</f>
        <v>1487</v>
      </c>
      <c r="E45" s="156" t="s">
        <v>1327</v>
      </c>
      <c r="F45" s="157">
        <v>1</v>
      </c>
      <c r="G45" s="158" t="s">
        <v>1328</v>
      </c>
      <c r="H45" s="129"/>
      <c r="I45" s="129"/>
      <c r="J45" s="3651" t="s">
        <v>1329</v>
      </c>
      <c r="K45" s="3651"/>
      <c r="L45" s="3651"/>
      <c r="M45" s="3651"/>
      <c r="N45" s="3651"/>
      <c r="O45" s="3651"/>
    </row>
    <row r="46" spans="1:15" ht="14.25" customHeight="1">
      <c r="A46" s="3570" t="s">
        <v>1330</v>
      </c>
      <c r="B46" s="3571"/>
      <c r="C46" s="3571"/>
      <c r="D46" s="3571"/>
      <c r="E46" s="3571"/>
      <c r="F46" s="3571"/>
      <c r="G46" s="3572"/>
      <c r="H46" s="1806"/>
      <c r="I46" s="159"/>
      <c r="J46" s="2519">
        <v>1</v>
      </c>
      <c r="K46" s="3632" t="s">
        <v>1331</v>
      </c>
      <c r="L46" s="3632"/>
      <c r="M46" s="3652"/>
      <c r="N46" s="3652"/>
      <c r="O46" s="3652"/>
    </row>
    <row r="47" spans="1:15" ht="12" customHeight="1">
      <c r="A47" s="160" t="s">
        <v>1332</v>
      </c>
      <c r="B47" s="161"/>
      <c r="C47" s="162"/>
      <c r="D47" s="1087" t="s">
        <v>1333</v>
      </c>
      <c r="E47" s="302" t="s">
        <v>1334</v>
      </c>
      <c r="F47" s="163" t="s">
        <v>1335</v>
      </c>
      <c r="G47" s="2542" t="s">
        <v>1336</v>
      </c>
      <c r="H47" s="2543"/>
      <c r="I47" s="159"/>
      <c r="J47" s="2519">
        <v>2</v>
      </c>
      <c r="K47" s="3632" t="s">
        <v>1337</v>
      </c>
      <c r="L47" s="3632"/>
      <c r="M47" s="3653">
        <f>'数据-取费表'!B2</f>
        <v>45469</v>
      </c>
      <c r="N47" s="3653"/>
      <c r="O47" s="3653"/>
    </row>
    <row r="48" spans="1:15" ht="25.5">
      <c r="A48" s="3601" t="s">
        <v>1338</v>
      </c>
      <c r="B48" s="3584"/>
      <c r="C48" s="3584"/>
      <c r="D48" s="2324" t="b">
        <f>IF(H48="情况1",0,IF(H48="情况2",D52,IF(H48="情况3",D53,IF(H48="情况4",D54))))</f>
        <v>0</v>
      </c>
      <c r="E48" s="2334" t="str">
        <f>IF(H48="情况4","(销售额-原购置价)×税（费）率","销售额×税（费）率")</f>
        <v>销售额×税（费）率</v>
      </c>
      <c r="F48" s="2544">
        <f>IF(H48="情况1","免征",'数据-取费表'!B41)</f>
        <v>5.5000000000000007E-2</v>
      </c>
      <c r="G48" s="2545" t="s">
        <v>1339</v>
      </c>
      <c r="H48" s="2546"/>
      <c r="I48" s="1806"/>
      <c r="J48" s="2519">
        <v>3</v>
      </c>
      <c r="K48" s="3632" t="s">
        <v>1340</v>
      </c>
      <c r="L48" s="3632"/>
      <c r="M48" s="3654">
        <f ca="1">H101</f>
        <v>1487</v>
      </c>
      <c r="N48" s="3654"/>
      <c r="O48" s="3654"/>
    </row>
    <row r="49" spans="1:35" ht="25.5" customHeight="1">
      <c r="A49" s="2333" t="s">
        <v>1341</v>
      </c>
      <c r="B49" s="3568" t="s">
        <v>1342</v>
      </c>
      <c r="C49" s="3568"/>
      <c r="D49" s="1590">
        <v>0</v>
      </c>
      <c r="E49" s="324" t="s">
        <v>1343</v>
      </c>
      <c r="F49" s="2422" t="s">
        <v>28</v>
      </c>
      <c r="G49" s="3638"/>
      <c r="H49" s="2310" t="s">
        <v>2134</v>
      </c>
      <c r="I49" s="2311"/>
      <c r="J49" s="2519">
        <v>4</v>
      </c>
      <c r="K49" s="3632" t="str">
        <f>IF(项目基本情况!E8="房地产抵押价值","房地产抵押价值","抵押担保权已注销时的房地产抵押价值")</f>
        <v>抵押担保权已注销时的房地产抵押价值</v>
      </c>
      <c r="L49" s="3632"/>
      <c r="M49" s="3654">
        <f ca="1">IF(项目基本情况!E8="房地产抵押价值",H107,H109)</f>
        <v>1487</v>
      </c>
      <c r="N49" s="3654"/>
      <c r="O49" s="3654"/>
    </row>
    <row r="50" spans="1:35" ht="25.5" customHeight="1">
      <c r="A50" s="2547"/>
      <c r="B50" s="3568" t="s">
        <v>1344</v>
      </c>
      <c r="C50" s="3568"/>
      <c r="D50" s="2548"/>
      <c r="E50" s="332"/>
      <c r="F50" s="2422"/>
      <c r="G50" s="3639"/>
      <c r="H50" s="2312" t="s">
        <v>2135</v>
      </c>
      <c r="I50" s="2311"/>
      <c r="J50" s="3651" t="s">
        <v>1345</v>
      </c>
      <c r="K50" s="3651"/>
      <c r="L50" s="3651"/>
      <c r="M50" s="3651"/>
      <c r="N50" s="3651"/>
      <c r="O50" s="3651"/>
    </row>
    <row r="51" spans="1:35" ht="20.45" customHeight="1">
      <c r="A51" s="2549"/>
      <c r="B51" s="3568" t="s">
        <v>1346</v>
      </c>
      <c r="C51" s="3568"/>
      <c r="D51" s="1087"/>
      <c r="E51" s="327"/>
      <c r="F51" s="2422"/>
      <c r="G51" s="3640"/>
      <c r="H51" s="2312" t="s">
        <v>2136</v>
      </c>
      <c r="I51" s="2311"/>
      <c r="J51" s="2520" t="s">
        <v>1347</v>
      </c>
      <c r="K51" s="3632" t="s">
        <v>1348</v>
      </c>
      <c r="L51" s="3632"/>
      <c r="M51" s="2520" t="s">
        <v>1349</v>
      </c>
      <c r="N51" s="2520" t="s">
        <v>1350</v>
      </c>
      <c r="O51" s="2520" t="s">
        <v>1351</v>
      </c>
    </row>
    <row r="52" spans="1:35" ht="24" customHeight="1">
      <c r="A52" s="2335" t="s">
        <v>1352</v>
      </c>
      <c r="B52" s="3568" t="s">
        <v>1353</v>
      </c>
      <c r="C52" s="3568"/>
      <c r="D52" s="1087">
        <f ca="1">ROUND(D45*'数据-取费表'!B41/(1+'数据-取费表'!C42),0)</f>
        <v>78</v>
      </c>
      <c r="E52" s="2334" t="s">
        <v>1354</v>
      </c>
      <c r="F52" s="2550">
        <f>'数据-取费表'!B41</f>
        <v>5.5000000000000007E-2</v>
      </c>
      <c r="G52" s="2551"/>
      <c r="H52" s="2540"/>
      <c r="I52" s="1807"/>
      <c r="J52" s="2519">
        <v>1</v>
      </c>
      <c r="K52" s="3633" t="s">
        <v>1355</v>
      </c>
      <c r="L52" s="3633"/>
      <c r="M52" s="2521" t="b">
        <f>D48</f>
        <v>0</v>
      </c>
      <c r="N52" s="2519" t="str">
        <f>E48</f>
        <v>销售额×税（费）率</v>
      </c>
      <c r="O52" s="2522">
        <f>F48</f>
        <v>5.5000000000000007E-2</v>
      </c>
    </row>
    <row r="53" spans="1:35" ht="12" customHeight="1">
      <c r="A53" s="2335" t="s">
        <v>1356</v>
      </c>
      <c r="B53" s="3594" t="s">
        <v>2287</v>
      </c>
      <c r="C53" s="3595"/>
      <c r="D53" s="1087">
        <f ca="1">ROUND(D45*'数据-取费表'!B41/(1+'数据-取费表'!C42),0)</f>
        <v>78</v>
      </c>
      <c r="E53" s="2334" t="s">
        <v>1354</v>
      </c>
      <c r="F53" s="2550">
        <f>'数据-取费表'!B41</f>
        <v>5.5000000000000007E-2</v>
      </c>
      <c r="G53" s="2551"/>
      <c r="H53" s="2540"/>
      <c r="I53" s="1807"/>
      <c r="J53" s="2519">
        <v>2</v>
      </c>
      <c r="K53" s="3633" t="s">
        <v>1357</v>
      </c>
      <c r="L53" s="3633"/>
      <c r="M53" s="2521">
        <f t="shared" ref="M53:O54" ca="1" si="0">D55</f>
        <v>1</v>
      </c>
      <c r="N53" s="2519" t="str">
        <f t="shared" si="0"/>
        <v>销售额×税（费）率</v>
      </c>
      <c r="O53" s="2522" t="str">
        <f t="shared" si="0"/>
        <v>免征</v>
      </c>
    </row>
    <row r="54" spans="1:35" ht="12" customHeight="1">
      <c r="A54" s="2335" t="s">
        <v>1358</v>
      </c>
      <c r="B54" s="3594" t="s">
        <v>2288</v>
      </c>
      <c r="C54" s="3595"/>
      <c r="D54" s="1087">
        <f ca="1">C68</f>
        <v>78</v>
      </c>
      <c r="E54" s="327" t="s">
        <v>1359</v>
      </c>
      <c r="F54" s="2550">
        <f>'数据-取费表'!B41</f>
        <v>5.5000000000000007E-2</v>
      </c>
      <c r="G54" s="2551"/>
      <c r="H54" s="2552"/>
      <c r="I54" s="1807"/>
      <c r="J54" s="2519">
        <v>3</v>
      </c>
      <c r="K54" s="3633" t="s">
        <v>1360</v>
      </c>
      <c r="L54" s="3633"/>
      <c r="M54" s="2521">
        <f t="shared" ca="1" si="0"/>
        <v>843</v>
      </c>
      <c r="N54" s="2519" t="str">
        <f t="shared" si="0"/>
        <v>增值额×税（费）率</v>
      </c>
      <c r="O54" s="2523" t="str">
        <f t="shared" si="0"/>
        <v>免征</v>
      </c>
    </row>
    <row r="55" spans="1:35" ht="24" customHeight="1">
      <c r="A55" s="3583" t="s">
        <v>1361</v>
      </c>
      <c r="B55" s="3584"/>
      <c r="C55" s="3584"/>
      <c r="D55" s="2324">
        <f ca="1">IF(H55="个人住宅",0,ROUND(D45*I55,0))</f>
        <v>1</v>
      </c>
      <c r="E55" s="2334" t="s">
        <v>1362</v>
      </c>
      <c r="F55" s="2550" t="str">
        <f>IF(H55="正常",I55,"免征")</f>
        <v>免征</v>
      </c>
      <c r="G55" s="2551"/>
      <c r="H55" s="2546"/>
      <c r="I55" s="165">
        <f>'数据-取费表'!B49</f>
        <v>5.0000000000000001E-4</v>
      </c>
      <c r="J55" s="2519">
        <f>IF(H59="非个人房产","",4)</f>
        <v>4</v>
      </c>
      <c r="K55" s="3633" t="str">
        <f>IF(H59="非个人房产","——","个人所得税")</f>
        <v>个人所得税</v>
      </c>
      <c r="L55" s="3633"/>
      <c r="M55" s="2524">
        <f ca="1">D59</f>
        <v>14</v>
      </c>
      <c r="N55" s="2040" t="str">
        <f>E59</f>
        <v>差额计税</v>
      </c>
      <c r="O55" s="2525">
        <f>F59</f>
        <v>0.01</v>
      </c>
    </row>
    <row r="56" spans="1:35" ht="24.75">
      <c r="A56" s="3583" t="s">
        <v>1363</v>
      </c>
      <c r="B56" s="3584"/>
      <c r="C56" s="3584"/>
      <c r="D56" s="2324">
        <f ca="1">IF(H56="个人住宅",D57,D58)</f>
        <v>843</v>
      </c>
      <c r="E56" s="2334" t="s">
        <v>1364</v>
      </c>
      <c r="F56" s="2550" t="str">
        <f>IF(H56="正常",F58,"免征")</f>
        <v>免征</v>
      </c>
      <c r="G56" s="2553" t="s">
        <v>1365</v>
      </c>
      <c r="H56" s="2554"/>
      <c r="I56" s="1808"/>
      <c r="J56" s="2519" t="str">
        <f>IF(项目基本情况!K6="上海银行",IF(J55="",4,J55+1),"")</f>
        <v/>
      </c>
      <c r="K56" s="3656" t="str">
        <f>IF(项目基本情况!K6="上海银行","其他处置费用","")</f>
        <v/>
      </c>
      <c r="L56" s="3657"/>
      <c r="M56" s="2521" t="str">
        <f>IF(项目基本情况!K6="上海银行",M69,"")</f>
        <v/>
      </c>
      <c r="N56" s="3656" t="str">
        <f>IF(项目基本情况!K6="上海银行","包含处置中涉及的律师、诉讼、拍卖、评估等费用","")</f>
        <v/>
      </c>
      <c r="O56" s="3659"/>
    </row>
    <row r="57" spans="1:35" ht="12.75">
      <c r="A57" s="2335" t="s">
        <v>1341</v>
      </c>
      <c r="B57" s="3594" t="s">
        <v>1366</v>
      </c>
      <c r="C57" s="3595"/>
      <c r="D57" s="1590">
        <v>0</v>
      </c>
      <c r="E57" s="324" t="s">
        <v>1343</v>
      </c>
      <c r="F57" s="302"/>
      <c r="G57" s="2551"/>
      <c r="H57" s="2555"/>
      <c r="I57" s="1808"/>
      <c r="J57" s="3633">
        <f>IF(AND(J55="",J56=""),4,IF(项目基本情况!K6="上海银行",结果表!J56+1,结果表!J55+1))</f>
        <v>5</v>
      </c>
      <c r="K57" s="3633" t="s">
        <v>1367</v>
      </c>
      <c r="L57" s="2526" t="s">
        <v>1368</v>
      </c>
      <c r="M57" s="2527"/>
      <c r="N57" s="2528">
        <f ca="1">SUMIF(M52:M56,"&lt;9e307")</f>
        <v>858</v>
      </c>
      <c r="O57" s="2529"/>
      <c r="P57" s="2686">
        <f ca="1">N57/M49</f>
        <v>0.57700067249495623</v>
      </c>
    </row>
    <row r="58" spans="1:35" ht="24.75">
      <c r="A58" s="2335" t="s">
        <v>1352</v>
      </c>
      <c r="B58" s="3594" t="s">
        <v>1369</v>
      </c>
      <c r="C58" s="3568"/>
      <c r="D58" s="2324">
        <f ca="1">IF(H58="转让取得",C81,C97)</f>
        <v>843</v>
      </c>
      <c r="E58" s="2334" t="s">
        <v>1364</v>
      </c>
      <c r="F58" s="302" t="s">
        <v>28</v>
      </c>
      <c r="G58" s="2551"/>
      <c r="H58" s="2554"/>
      <c r="I58" s="1808"/>
      <c r="J58" s="3633"/>
      <c r="K58" s="3633"/>
      <c r="L58" s="2526" t="s">
        <v>1370</v>
      </c>
      <c r="M58" s="2530"/>
      <c r="N58" s="2531" t="str">
        <f ca="1">NUMBERSTRING(INT(N57*10000),2)&amp;"元整"</f>
        <v>捌佰伍拾捌万元整</v>
      </c>
      <c r="O58" s="2532"/>
    </row>
    <row r="59" spans="1:35" ht="24.75" thickBot="1">
      <c r="A59" s="3636" t="s">
        <v>1371</v>
      </c>
      <c r="B59" s="3637"/>
      <c r="C59" s="3637"/>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34">
        <f>J57+1</f>
        <v>6</v>
      </c>
      <c r="K59" s="3633" t="s">
        <v>1372</v>
      </c>
      <c r="L59" s="2519" t="s">
        <v>1368</v>
      </c>
      <c r="M59" s="2533"/>
      <c r="N59" s="2534">
        <f ca="1">M49-N57</f>
        <v>629</v>
      </c>
      <c r="O59" s="2535"/>
    </row>
    <row r="60" spans="1:35" ht="12" customHeight="1">
      <c r="A60" s="1809"/>
      <c r="B60" s="1747"/>
      <c r="C60" s="1747"/>
      <c r="D60" s="1747"/>
      <c r="E60" s="1578"/>
      <c r="F60" s="1808"/>
      <c r="G60" s="1808"/>
      <c r="H60" s="1810"/>
      <c r="I60" s="129"/>
      <c r="J60" s="3635"/>
      <c r="K60" s="3633"/>
      <c r="L60" s="2526" t="s">
        <v>1370</v>
      </c>
      <c r="M60" s="2530"/>
      <c r="N60" s="2531" t="str">
        <f ca="1">NUMBERSTRING(INT(N59*10000),2)&amp;"元整"</f>
        <v>陆佰贰拾玖万元整</v>
      </c>
      <c r="O60" s="2532"/>
    </row>
    <row r="61" spans="1:35" ht="13.5" thickBot="1">
      <c r="A61" s="3581" t="s">
        <v>1373</v>
      </c>
      <c r="B61" s="3581"/>
      <c r="C61" s="3581"/>
      <c r="D61" s="3581"/>
      <c r="E61" s="3581"/>
      <c r="F61" s="1808"/>
      <c r="G61" s="1808"/>
      <c r="H61" s="1810"/>
      <c r="I61" s="129"/>
      <c r="J61" s="2519">
        <f>J59+1</f>
        <v>7</v>
      </c>
      <c r="K61" s="3633" t="s">
        <v>1374</v>
      </c>
      <c r="L61" s="3633"/>
      <c r="M61" s="2536"/>
      <c r="N61" s="2537">
        <f ca="1">ROUND(N59*10000/'数据-汇总表'!E3,0)</f>
        <v>7455</v>
      </c>
      <c r="O61" s="2538"/>
    </row>
    <row r="62" spans="1:35" ht="12.75">
      <c r="A62" s="3599" t="s">
        <v>1375</v>
      </c>
      <c r="B62" s="3600"/>
      <c r="C62" s="2021"/>
      <c r="D62" s="2021" t="s">
        <v>1376</v>
      </c>
      <c r="E62" s="166" t="s">
        <v>1377</v>
      </c>
      <c r="F62" s="1808"/>
      <c r="G62" s="1808"/>
      <c r="H62" s="1810"/>
      <c r="I62" s="129"/>
    </row>
    <row r="63" spans="1:35" ht="12.75">
      <c r="A63" s="173" t="s">
        <v>330</v>
      </c>
      <c r="B63" s="167" t="s">
        <v>1378</v>
      </c>
      <c r="C63" s="2560">
        <f ca="1">ROUND((C64+C65)/(1+'数据-取费表'!C42),0)</f>
        <v>1416</v>
      </c>
      <c r="D63" s="167"/>
      <c r="E63" s="168"/>
      <c r="F63" s="1808"/>
      <c r="G63" s="1808"/>
      <c r="H63" s="1810"/>
      <c r="I63" s="129"/>
      <c r="J63" s="3658" t="s">
        <v>1379</v>
      </c>
      <c r="K63" s="1332" t="s">
        <v>1380</v>
      </c>
      <c r="L63" s="1332">
        <f ca="1">IF(M49&gt;10000,M49*0.5%,IF(AND(M49&gt;1000,M49&lt;=10000),M49*1%,IF(AND(M49&gt;100,M49&lt;=1000),M49*3%,IF(AND(M49&gt;10,M49&lt;=100),M49*5%,M49*8%))))</f>
        <v>14.870000000000001</v>
      </c>
      <c r="M63" s="302">
        <f ca="1">ROUND(L63,1)</f>
        <v>14.9</v>
      </c>
      <c r="N63" s="2539"/>
      <c r="Z63" s="1752"/>
      <c r="AI63" s="1753"/>
    </row>
    <row r="64" spans="1:35" ht="14.25" customHeight="1">
      <c r="A64" s="169" t="s">
        <v>325</v>
      </c>
      <c r="B64" s="170" t="s">
        <v>1381</v>
      </c>
      <c r="C64" s="2561">
        <f ca="1">D45</f>
        <v>1487</v>
      </c>
      <c r="D64" s="170" t="s">
        <v>26</v>
      </c>
      <c r="E64" s="172"/>
      <c r="F64" s="1808"/>
      <c r="G64" s="1808"/>
      <c r="H64" s="1810"/>
      <c r="I64" s="129"/>
      <c r="J64" s="3658"/>
      <c r="K64" s="1332" t="s">
        <v>1382</v>
      </c>
      <c r="L64" s="1332">
        <f ca="1">IF(M49&gt;2000,M49*0.5%,IF(AND(M49&gt;1000,M49&lt;=2000),M49*0.6%,IF(AND(M49&gt;500,M49&lt;=1000),M49*0.7%,IF(AND(M49&gt;200,M49&lt;=500),M49*0.8%,IF(AND(M49&gt;100,M49&lt;=200),M49*0.9%,IF(AND(M49&gt;50,M49&lt;=100),M49*1%,IF(AND(M49&gt;20,M49&lt;=50),M49*1.5%,IF(AND(M49&gt;10,M49&lt;=20),M49*2%,IF(AND(M49&gt;1,M49&lt;=10),M49*2.5%)))))))))</f>
        <v>8.9220000000000006</v>
      </c>
      <c r="M64" s="302">
        <f t="shared" ref="M64:M65" ca="1" si="1">ROUND(L64,1)</f>
        <v>8.9</v>
      </c>
      <c r="N64" s="2540" t="s">
        <v>1383</v>
      </c>
      <c r="Z64" s="1752"/>
      <c r="AI64" s="1753"/>
    </row>
    <row r="65" spans="1:35" ht="14.25" customHeight="1">
      <c r="A65" s="169" t="s">
        <v>326</v>
      </c>
      <c r="B65" s="170" t="s">
        <v>1384</v>
      </c>
      <c r="C65" s="2562"/>
      <c r="D65" s="170"/>
      <c r="E65" s="172"/>
      <c r="F65" s="1808"/>
      <c r="G65" s="1808"/>
      <c r="H65" s="1810"/>
      <c r="I65" s="129"/>
      <c r="J65" s="3658"/>
      <c r="K65" s="1332" t="s">
        <v>1385</v>
      </c>
      <c r="L65" s="1332">
        <f ca="1">IF(M49&gt;1000,M49*0.1%,IF(AND(M49&gt;500,M49&lt;=1000),M49*0.5%,IF(AND(M49&gt;50,M49&lt;=500),M49*1%,IF(AND(M49&gt;1,M49&lt;=50),M49*1.5%))))</f>
        <v>1.4870000000000001</v>
      </c>
      <c r="M65" s="302">
        <f t="shared" ca="1" si="1"/>
        <v>1.5</v>
      </c>
      <c r="N65" s="2540" t="s">
        <v>1383</v>
      </c>
      <c r="Z65" s="1752"/>
      <c r="AI65" s="1753"/>
    </row>
    <row r="66" spans="1:35" ht="14.25" customHeight="1">
      <c r="A66" s="173" t="s">
        <v>327</v>
      </c>
      <c r="B66" s="174" t="s">
        <v>1386</v>
      </c>
      <c r="C66" s="2563"/>
      <c r="D66" s="174" t="s">
        <v>26</v>
      </c>
      <c r="E66" s="1338" t="s">
        <v>671</v>
      </c>
      <c r="F66" s="1808"/>
      <c r="G66" s="1808"/>
      <c r="H66" s="1810"/>
      <c r="I66" s="129"/>
      <c r="J66" s="3658"/>
      <c r="K66" s="1332" t="s">
        <v>1387</v>
      </c>
      <c r="L66" s="1332">
        <f ca="1">M49*0.5%</f>
        <v>7.4350000000000005</v>
      </c>
      <c r="M66" s="302">
        <f ca="1">IF(L66&gt;0.5,0.5,ROUND(L66,0))</f>
        <v>0.5</v>
      </c>
      <c r="N66" s="2540" t="s">
        <v>1388</v>
      </c>
      <c r="Z66" s="1752"/>
      <c r="AI66" s="1753"/>
    </row>
    <row r="67" spans="1:35" ht="14.25" customHeight="1">
      <c r="A67" s="173" t="s">
        <v>328</v>
      </c>
      <c r="B67" s="174" t="s">
        <v>1389</v>
      </c>
      <c r="C67" s="2564">
        <f ca="1">C63-C66</f>
        <v>1416</v>
      </c>
      <c r="D67" s="170" t="s">
        <v>26</v>
      </c>
      <c r="E67" s="172"/>
      <c r="F67" s="1808"/>
      <c r="G67" s="1808"/>
      <c r="H67" s="1810"/>
      <c r="I67" s="129"/>
      <c r="J67" s="3658"/>
      <c r="K67" s="1332" t="s">
        <v>1390</v>
      </c>
      <c r="L67" s="1332">
        <f ca="1">IF(M49&gt;=10000,(8.25+(M49-10000)*0.01%),IF(AND(M49&gt;=8000,M49&lt;10000),(7.85+(M49-8000)*0.02%),IF(AND(M49&gt;=5000,M49&lt;8000),(6.65+(M49-5000)*0.04%),IF(AND(M49&gt;=2000,M49&lt;5000),(4.25+(PM49-2000)*0.08%),IF(AND(M49&gt;=1000,M49&lt;2000),(2.75+(M49-1000)*0.15%),IF(AND(M49&gt;=100,M49&lt;1000),(0.5+(M49-100)*0.25%),IF(AND(M49&gt;0,M49&lt;100),M49*0.5%)))))))</f>
        <v>3.4805000000000001</v>
      </c>
      <c r="M67" s="302">
        <f ca="1">ROUND(L67*0.9,1)</f>
        <v>3.1</v>
      </c>
      <c r="N67" s="2539"/>
      <c r="Z67" s="1752"/>
      <c r="AI67" s="1753"/>
    </row>
    <row r="68" spans="1:35" ht="14.25" customHeight="1" thickBot="1">
      <c r="A68" s="176" t="s">
        <v>329</v>
      </c>
      <c r="B68" s="177" t="s">
        <v>1391</v>
      </c>
      <c r="C68" s="2565">
        <f ca="1">IF(C67&lt;=0,0,ROUND(C67*D68,0))</f>
        <v>78</v>
      </c>
      <c r="D68" s="2566">
        <f>'数据-取费表'!B41</f>
        <v>5.5000000000000007E-2</v>
      </c>
      <c r="E68" s="178"/>
      <c r="F68" s="1808"/>
      <c r="G68" s="1808"/>
      <c r="H68" s="1810"/>
      <c r="I68" s="129"/>
      <c r="J68" s="3658"/>
      <c r="K68" s="1332" t="s">
        <v>1392</v>
      </c>
      <c r="L68" s="1332">
        <f ca="1">IF(M49&gt;10000,M49*0.5%,IF(AND(M49&gt;5000,M49&lt;=10000),M49*1%,IF(AND(M49&gt;1000,M49&lt;=5000),M49*2%,IF(AND(M49&gt;200,M49&lt;=1000),M49*3%,M49*5%))))</f>
        <v>29.740000000000002</v>
      </c>
      <c r="M68" s="302">
        <f ca="1">ROUND(L68,1)</f>
        <v>29.7</v>
      </c>
      <c r="N68" s="2539"/>
      <c r="Z68" s="1752"/>
      <c r="AI68" s="1753"/>
    </row>
    <row r="69" spans="1:35" s="1772" customFormat="1" ht="16.5" customHeight="1">
      <c r="A69" s="1811"/>
      <c r="B69" s="1812"/>
      <c r="C69" s="1813"/>
      <c r="D69" s="1814"/>
      <c r="E69" s="1815"/>
      <c r="F69" s="1578"/>
      <c r="G69" s="1578"/>
      <c r="H69" s="1577"/>
      <c r="I69" s="1747"/>
      <c r="J69" s="3658"/>
      <c r="K69" s="1332" t="s">
        <v>1393</v>
      </c>
      <c r="L69" s="1332"/>
      <c r="M69" s="302">
        <f ca="1">ROUND(SUM(M63:M68),0)</f>
        <v>59</v>
      </c>
      <c r="N69" s="2541">
        <f ca="1">M69/M49</f>
        <v>3.9677202420981841E-2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0" t="s">
        <v>1394</v>
      </c>
      <c r="B70" s="3621"/>
      <c r="C70" s="3621"/>
      <c r="D70" s="3621"/>
      <c r="E70" s="3621"/>
      <c r="F70" s="3621"/>
      <c r="G70" s="3621"/>
      <c r="H70" s="3621"/>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f ca="1">ROUND(D45/(1+'数据-取费表'!C42),0)</f>
        <v>1416</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594" t="s">
        <v>1402</v>
      </c>
      <c r="F76" s="3568"/>
      <c r="G76" s="3568"/>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f ca="1">ROUND(D45*D78/(1+'数据-取费表'!C42),0)</f>
        <v>7</v>
      </c>
      <c r="D78" s="2573">
        <f>'数据-取费表'!B43</f>
        <v>5.000000000000001E-3</v>
      </c>
      <c r="E78" s="3578" t="s">
        <v>1406</v>
      </c>
      <c r="F78" s="3579"/>
      <c r="G78" s="3579"/>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f ca="1">C72-C73</f>
        <v>1409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f ca="1">IF(C79&lt;=0,0,C79/C73)</f>
        <v>201.28571428571428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f ca="1">ROUND(IF(C79&lt;=0,0,IF(C80&gt;=200%,C79*60%-C73*35%,IF(C80&gt;=100%,C79*50%-C73*15%,IF(C80&gt;=50%,C79*40%-C73*5%,IF(C80&lt;50%,C79*30%,0))))),0)</f>
        <v>843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0" t="s">
        <v>1410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f ca="1">ROUND(D45/(1+'数据-取费表'!C42),0)</f>
        <v>1416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f ca="1">IF(H88="仅含出让金",C87+C90+C91+C92+C93+C94,C87+C91+C92+C93+C94)</f>
        <v>7</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7"/>
      <c r="G90" s="3660" t="s">
        <v>2129</v>
      </c>
      <c r="H90" s="3661"/>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578" t="s">
        <v>1419</v>
      </c>
      <c r="F91" s="3579"/>
      <c r="G91" s="35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578" t="s">
        <v>1422</v>
      </c>
      <c r="F92" s="3579"/>
      <c r="G92" s="3579"/>
      <c r="H92" s="3588"/>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f ca="1">ROUND(D45*D93/(1+'数据-取费表'!C42),0)</f>
        <v>7</v>
      </c>
      <c r="D93" s="2573">
        <f>'数据-取费表'!B43</f>
        <v>5.000000000000001E-3</v>
      </c>
      <c r="E93" s="3578" t="s">
        <v>1406</v>
      </c>
      <c r="F93" s="3579"/>
      <c r="G93" s="3579"/>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589" t="s">
        <v>1426</v>
      </c>
      <c r="F94" s="3590"/>
      <c r="G94" s="3590"/>
      <c r="H94" s="359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f ca="1">ROUND(C85-C86,0)</f>
        <v>1409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f ca="1">IF(C95&lt;=0,0,C95/C86)</f>
        <v>201.28571428571428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f ca="1">ROUND(IF(C95&lt;=0,0,IF(C96&gt;=200%,C95*60%-C86*35%,IF(C96&gt;=100%,C95*50%-C86*15%,IF(C96&gt;=50%,C95*40%-C86*5%,IF(C96&lt;50%,C95*30%,0))))),0)</f>
        <v>843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80"/>
      <c r="E100" s="3563" t="s">
        <v>1429</v>
      </c>
      <c r="F100" s="3563"/>
      <c r="G100" s="3563"/>
      <c r="H100" s="3580"/>
      <c r="I100" s="129"/>
    </row>
    <row r="101" spans="1:35" ht="18.75" customHeight="1">
      <c r="A101" s="3641" t="s">
        <v>1430</v>
      </c>
      <c r="B101" s="3642"/>
      <c r="C101" s="2581" t="str">
        <f>C4</f>
        <v>收益法 (元)</v>
      </c>
      <c r="D101" s="2582" t="str">
        <f>D4</f>
        <v>比较法-商业</v>
      </c>
      <c r="E101" s="3655" t="s">
        <v>1431</v>
      </c>
      <c r="F101" s="3612"/>
      <c r="G101" s="1827" t="s">
        <v>1432</v>
      </c>
      <c r="H101" s="2591">
        <f ca="1">H118</f>
        <v>1487</v>
      </c>
      <c r="I101" s="129"/>
    </row>
    <row r="102" spans="1:35" ht="18.75" customHeight="1">
      <c r="A102" s="3614" t="s">
        <v>1433</v>
      </c>
      <c r="B102" s="2580" t="s">
        <v>1432</v>
      </c>
      <c r="C102" s="2581">
        <f ca="1">IF(D32="楼面单价",ROUND(C19,0),C19)</f>
        <v>1215</v>
      </c>
      <c r="D102" s="2582">
        <f ca="1">IF(D32="楼面单价",ROUND(D19,0),D19)</f>
        <v>1604</v>
      </c>
      <c r="E102" s="3655"/>
      <c r="F102" s="3612"/>
      <c r="G102" s="1827" t="s">
        <v>1434</v>
      </c>
      <c r="H102" s="2551">
        <f ca="1">I118</f>
        <v>17623</v>
      </c>
      <c r="I102" s="129"/>
    </row>
    <row r="103" spans="1:35" ht="42.75" customHeight="1">
      <c r="A103" s="3614"/>
      <c r="B103" s="2580" t="s">
        <v>1434</v>
      </c>
      <c r="C103" s="2583">
        <f ca="1">C20</f>
        <v>14396</v>
      </c>
      <c r="D103" s="2584">
        <f ca="1">D20</f>
        <v>19006</v>
      </c>
      <c r="E103" s="3649" t="s">
        <v>1435</v>
      </c>
      <c r="F103" s="3650"/>
      <c r="G103" s="1828" t="s">
        <v>1436</v>
      </c>
      <c r="H103" s="2591">
        <f>IF(D36="正常操作",H104+H105+H106,H105+H106)</f>
        <v>0</v>
      </c>
      <c r="I103" s="129"/>
    </row>
    <row r="104" spans="1:35" ht="18.75" customHeight="1">
      <c r="A104" s="3614" t="s">
        <v>1437</v>
      </c>
      <c r="B104" s="2585" t="s">
        <v>1432</v>
      </c>
      <c r="C104" s="2586">
        <f ca="1">H118</f>
        <v>1487</v>
      </c>
      <c r="D104" s="2587"/>
      <c r="E104" s="1674" t="s">
        <v>1438</v>
      </c>
      <c r="F104" s="1666"/>
      <c r="G104" s="1828" t="s">
        <v>1436</v>
      </c>
      <c r="H104" s="2592">
        <f>IF(D36="同一抵押权人同一抵押物续贷",C36&amp;"（续贷，未扣减，详见特别提示）",C36)</f>
        <v>0</v>
      </c>
      <c r="I104" s="129"/>
    </row>
    <row r="105" spans="1:35" ht="18.75" customHeight="1" thickBot="1">
      <c r="A105" s="3615"/>
      <c r="B105" s="2588" t="s">
        <v>1434</v>
      </c>
      <c r="C105" s="2589">
        <f ca="1">I118</f>
        <v>17623</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11" t="str">
        <f>IF(项目基本情况!E8="已注销","——","3.房地产抵押价值")</f>
        <v>——</v>
      </c>
      <c r="F107" s="3612"/>
      <c r="G107" s="1827" t="s">
        <v>1432</v>
      </c>
      <c r="H107" s="2591" t="str">
        <f>IF(E107="——","——",H101-H103)</f>
        <v>——</v>
      </c>
      <c r="I107" s="129"/>
    </row>
    <row r="108" spans="1:35" ht="18.75" customHeight="1">
      <c r="A108" s="129"/>
      <c r="B108" s="129"/>
      <c r="C108" s="129"/>
      <c r="D108" s="129"/>
      <c r="E108" s="3611"/>
      <c r="F108" s="3612"/>
      <c r="G108" s="1827" t="s">
        <v>1434</v>
      </c>
      <c r="H108" s="2551" t="e">
        <f ca="1">IF(H107=H101,H102,ROUND(H107*10000/'数据-汇总表'!E3,0))</f>
        <v>#VALUE!</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3.抵押担保权已注销时的房地产抵押价值</v>
      </c>
      <c r="F109" s="3612"/>
      <c r="G109" s="1827" t="s">
        <v>1432</v>
      </c>
      <c r="H109" s="2594">
        <f ca="1">IF(E109="——","——",H101-H105-H106)</f>
        <v>1487</v>
      </c>
      <c r="I109" s="129"/>
    </row>
    <row r="110" spans="1:35" ht="18.75" customHeight="1">
      <c r="A110" s="129"/>
      <c r="B110" s="129"/>
      <c r="C110" s="129"/>
      <c r="D110" s="129"/>
      <c r="E110" s="3611"/>
      <c r="F110" s="3612"/>
      <c r="G110" s="1827" t="s">
        <v>1434</v>
      </c>
      <c r="H110" s="2551">
        <f ca="1">IF(H109="——","——",ROUND(H109*10000/'数据-汇总表'!E3,0))</f>
        <v>17623</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13"/>
      <c r="G111" s="1827" t="s">
        <v>1432</v>
      </c>
      <c r="H111" s="2591" t="str">
        <f>IF(E111="——","——",N59)</f>
        <v>——</v>
      </c>
      <c r="I111" s="129"/>
    </row>
    <row r="112" spans="1:35" ht="18.75" customHeight="1" thickBot="1">
      <c r="A112" s="129"/>
      <c r="B112" s="129"/>
      <c r="C112" s="129"/>
      <c r="D112" s="129"/>
      <c r="E112" s="3644"/>
      <c r="F112" s="3645"/>
      <c r="G112" s="1830" t="s">
        <v>1434</v>
      </c>
      <c r="H112" s="2595" t="str">
        <f>IF(E111="——","——",N61)</f>
        <v>——</v>
      </c>
      <c r="I112" s="129"/>
    </row>
    <row r="113" spans="1:27" ht="18.75" customHeight="1">
      <c r="A113" s="129"/>
      <c r="B113" s="129"/>
      <c r="C113" s="129"/>
      <c r="D113" s="129"/>
      <c r="E113" s="3616" t="s">
        <v>1440</v>
      </c>
      <c r="F113" s="3616"/>
      <c r="G113" s="3616"/>
      <c r="H113" s="3616"/>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2" t="s">
        <v>1443</v>
      </c>
      <c r="B116" s="3617" t="s">
        <v>1444</v>
      </c>
      <c r="C116" s="3617" t="s">
        <v>1445</v>
      </c>
      <c r="D116" s="3630" t="s">
        <v>1446</v>
      </c>
      <c r="E116" s="3631"/>
      <c r="F116" s="3625" t="s">
        <v>1447</v>
      </c>
      <c r="G116" s="3625"/>
      <c r="H116" s="3582" t="s">
        <v>1448</v>
      </c>
      <c r="I116" s="3582"/>
    </row>
    <row r="117" spans="1:27" ht="18.75" customHeight="1">
      <c r="A117" s="3582"/>
      <c r="B117" s="3618"/>
      <c r="C117" s="3618"/>
      <c r="D117" s="2329" t="s">
        <v>1449</v>
      </c>
      <c r="E117" s="2329" t="s">
        <v>1450</v>
      </c>
      <c r="F117" s="2329" t="s">
        <v>1449</v>
      </c>
      <c r="G117" s="2329" t="s">
        <v>1451</v>
      </c>
      <c r="H117" s="2329" t="s">
        <v>1449</v>
      </c>
      <c r="I117" s="2329" t="s">
        <v>1451</v>
      </c>
    </row>
    <row r="118" spans="1:27" ht="24.75" customHeight="1">
      <c r="A118" s="2596" t="str">
        <f>项目基本情况!S2</f>
        <v>北京市昌平区东小口镇天通苑西苑2号楼商业用房房地产</v>
      </c>
      <c r="B118" s="2329">
        <f>M18</f>
        <v>843.77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1487</v>
      </c>
      <c r="I118" s="2329">
        <f ca="1">ROUND(IF(D32="楼面单价",C32,H118*10000/B118),0)</f>
        <v>17623</v>
      </c>
      <c r="J118" s="725">
        <f ca="1">I118*B118</f>
        <v>14869758.709999999</v>
      </c>
    </row>
    <row r="119" spans="1:27" ht="18.75" customHeight="1">
      <c r="A119" s="3582" t="s">
        <v>1452</v>
      </c>
      <c r="B119" s="3582"/>
      <c r="C119" s="3582"/>
      <c r="D119" s="3622" t="str">
        <f>NUMBERSTRING(INT(D118*10000),2)&amp;"元整"</f>
        <v>零元整</v>
      </c>
      <c r="E119" s="3624"/>
      <c r="F119" s="3622" t="str">
        <f>NUMBERSTRING(INT(F118*10000),2)&amp;"元整"</f>
        <v>零元整</v>
      </c>
      <c r="G119" s="3624"/>
      <c r="H119" s="3622" t="str">
        <f ca="1">NUMBERSTRING(INT(H118*10000),2)&amp;"元整"</f>
        <v>壹仟肆佰捌拾柒万元整</v>
      </c>
      <c r="I119" s="3624"/>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2" t="s">
        <v>1452</v>
      </c>
      <c r="B121" s="3623"/>
      <c r="C121" s="3624"/>
      <c r="D121" s="3622" t="str">
        <f>IF(D120=0,"零元整",NUMBERSTRING(INT(D120*10000),2)&amp;"元整")</f>
        <v>零元整</v>
      </c>
      <c r="E121" s="3623"/>
      <c r="F121" s="3623"/>
      <c r="G121" s="3623"/>
      <c r="H121" s="3623"/>
      <c r="I121" s="3624"/>
      <c r="AA121" s="725"/>
    </row>
    <row r="122" spans="1:27" ht="18.75" customHeight="1">
      <c r="A122" s="3613" t="str">
        <f>IF(项目基本情况!B9="房地产市场价值","",MID(E107,3,LEN(E107)-2))</f>
        <v/>
      </c>
      <c r="B122" s="3613"/>
      <c r="C122" s="3613"/>
      <c r="D122" s="3646" t="str">
        <f>H107</f>
        <v>——</v>
      </c>
      <c r="E122" s="3647"/>
      <c r="F122" s="3647"/>
      <c r="G122" s="3647"/>
      <c r="H122" s="3647"/>
      <c r="I122" s="3648"/>
      <c r="AA122" s="725"/>
    </row>
    <row r="123" spans="1:27" ht="18.75" customHeight="1">
      <c r="A123" s="3582" t="s">
        <v>1452</v>
      </c>
      <c r="B123" s="3582"/>
      <c r="C123" s="3582"/>
      <c r="D123" s="3622" t="e">
        <f>NUMBERSTRING(INT(D122*10000),2)&amp;"元整"</f>
        <v>#VALUE!</v>
      </c>
      <c r="E123" s="3623"/>
      <c r="F123" s="3623"/>
      <c r="G123" s="3623"/>
      <c r="H123" s="3623"/>
      <c r="I123" s="3624"/>
      <c r="AA123" s="725"/>
    </row>
    <row r="124" spans="1:27" ht="18.75" customHeight="1">
      <c r="A124" s="3613" t="str">
        <f>IF(项目基本情况!B9="房地产市场价值","",MID(E109,3,LEN(E109)-2))</f>
        <v>抵押担保权已注销时的房地产抵押价值</v>
      </c>
      <c r="B124" s="3613"/>
      <c r="C124" s="3613"/>
      <c r="D124" s="3646">
        <f ca="1">H109</f>
        <v>1487</v>
      </c>
      <c r="E124" s="3647"/>
      <c r="F124" s="3647"/>
      <c r="G124" s="3647"/>
      <c r="H124" s="3647"/>
      <c r="I124" s="3648"/>
      <c r="AA124" s="725"/>
    </row>
    <row r="125" spans="1:27" ht="18.75" customHeight="1">
      <c r="A125" s="3582" t="s">
        <v>1452</v>
      </c>
      <c r="B125" s="3582"/>
      <c r="C125" s="3582"/>
      <c r="D125" s="3622" t="str">
        <f ca="1">NUMBERSTRING(INT(D124*10000),2)&amp;"元整"</f>
        <v>壹仟肆佰捌拾柒万元整</v>
      </c>
      <c r="E125" s="3623"/>
      <c r="F125" s="3623"/>
      <c r="G125" s="3623"/>
      <c r="H125" s="3623"/>
      <c r="I125" s="3624"/>
      <c r="AA125" s="725"/>
    </row>
    <row r="126" spans="1:27" ht="18.75" customHeight="1">
      <c r="A126" s="3613" t="str">
        <f>IF(项目基本情况!B9="房地产市场价值","",MID(E111,3,LEN(E111)-2))</f>
        <v/>
      </c>
      <c r="B126" s="3613"/>
      <c r="C126" s="3613"/>
      <c r="D126" s="3646" t="str">
        <f>H111</f>
        <v>——</v>
      </c>
      <c r="E126" s="3647"/>
      <c r="F126" s="3647"/>
      <c r="G126" s="3647"/>
      <c r="H126" s="3647"/>
      <c r="I126" s="3648"/>
      <c r="AA126" s="725"/>
    </row>
    <row r="127" spans="1:27" ht="18.75" customHeight="1">
      <c r="A127" s="3582" t="s">
        <v>1452</v>
      </c>
      <c r="B127" s="3582"/>
      <c r="C127" s="3582"/>
      <c r="D127" s="3622" t="e">
        <f>NUMBERSTRING(INT(D126*10000),2)&amp;"元整"</f>
        <v>#VALUE!</v>
      </c>
      <c r="E127" s="3623"/>
      <c r="F127" s="3623"/>
      <c r="G127" s="3623"/>
      <c r="H127" s="3623"/>
      <c r="I127" s="3624"/>
      <c r="AA127" s="725"/>
    </row>
    <row r="128" spans="1:27" ht="21.75" customHeight="1">
      <c r="A128" s="3629" t="s">
        <v>1453</v>
      </c>
      <c r="B128" s="3629"/>
      <c r="C128" s="3629"/>
      <c r="D128" s="3629"/>
      <c r="E128" s="3629"/>
      <c r="F128" s="3629"/>
      <c r="G128" s="3629"/>
      <c r="H128" s="3629"/>
      <c r="I128" s="362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16.875399999999999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16.875399999999999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843.77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17</v>
      </c>
      <c r="D19" s="849">
        <f ca="1">D9+D10</f>
        <v>843.77</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295</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843.77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2" t="s">
        <v>1544</v>
      </c>
    </row>
    <row r="43" spans="1:7" ht="13.5" customHeight="1">
      <c r="A43" s="780" t="s">
        <v>347</v>
      </c>
      <c r="B43" s="215" t="s">
        <v>1545</v>
      </c>
      <c r="C43" s="238">
        <f ca="1">ROUND(IF('数据-取费表'!B22&lt;=1,C39*F22*'数据-取费表'!B21/2,C39*(POWER((1+F22),'数据-取费表'!B21/2)-1)),0)</f>
        <v>0</v>
      </c>
      <c r="D43" s="238"/>
      <c r="E43" s="238"/>
      <c r="F43" s="239"/>
      <c r="G43" s="3663"/>
    </row>
    <row r="44" spans="1:7" ht="13.5" customHeight="1">
      <c r="A44" s="780" t="s">
        <v>348</v>
      </c>
      <c r="B44" s="215" t="s">
        <v>1546</v>
      </c>
      <c r="C44" s="238">
        <f ca="1">ROUND(IF('数据-取费表'!B22&lt;=1,C40*F22*'数据-取费表'!B21/2,C40*(POWER((1+F22),'数据-取费表'!B21/2)-1)),4)</f>
        <v>5.0000000000000001E-4</v>
      </c>
      <c r="D44" s="238"/>
      <c r="E44" s="238"/>
      <c r="F44" s="239"/>
      <c r="G44" s="3664"/>
    </row>
    <row r="45" spans="1:7" s="214" customFormat="1" ht="13.5" customHeight="1">
      <c r="A45" s="255" t="s">
        <v>1547</v>
      </c>
      <c r="B45" s="244" t="s">
        <v>1513</v>
      </c>
      <c r="C45" s="245">
        <f ca="1">C46</f>
        <v>50</v>
      </c>
      <c r="D45" s="235">
        <f ca="1">C47</f>
        <v>3.0000000000000001E-3</v>
      </c>
      <c r="E45" s="236" t="s">
        <v>1539</v>
      </c>
      <c r="F45" s="246">
        <f ca="1">F27</f>
        <v>0.15</v>
      </c>
      <c r="G45" s="247" t="s">
        <v>1548</v>
      </c>
    </row>
    <row r="46" spans="1:7" s="214" customFormat="1" ht="13.5" customHeight="1">
      <c r="A46" s="780" t="s">
        <v>346</v>
      </c>
      <c r="B46" s="248" t="s">
        <v>1549</v>
      </c>
      <c r="C46" s="249">
        <f ca="1">ROUND((C33+C39)*F27,0)</f>
        <v>50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424</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314</v>
      </c>
      <c r="D51" s="232"/>
      <c r="E51" s="232"/>
      <c r="F51" s="264"/>
      <c r="G51" s="234" t="s">
        <v>1560</v>
      </c>
    </row>
    <row r="52" spans="1:7" s="208" customFormat="1" ht="16.5" thickBot="1">
      <c r="A52" s="265" t="s">
        <v>1561</v>
      </c>
      <c r="B52" s="266"/>
      <c r="C52" s="267">
        <f ca="1">C31+C51</f>
        <v>359</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北京市昌平区东小口镇天通苑西苑2号楼商业用房房地产抵押价值预评估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t="str">
        <f>项目基本情况!B5</f>
        <v>中国农业银行股份有限公司北京西城支行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4" zoomScale="85" zoomScaleNormal="70" zoomScaleSheetLayoutView="85"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358.76620000000003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168754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168754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168754</v>
      </c>
      <c r="D10" s="845">
        <f ca="1">IF(B1="",'数据-汇总表'!E6,IF(INDIRECT("'数据-取费表'!c"&amp;$G$1)="住宅",INDIRECT("'数据-取费表'!s"&amp;$G$1),INDIRECT("'数据-取费表'!k"&amp;$G$1)+INDIRECT("'数据-取费表'!s"&amp;$G$1)))</f>
        <v>843.77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168754</v>
      </c>
      <c r="D19" s="849">
        <f ca="1">D9+D10</f>
        <v>843.77</v>
      </c>
      <c r="E19" s="211">
        <f>'数据-取费表'!B31</f>
        <v>200</v>
      </c>
      <c r="F19" s="231"/>
      <c r="G19" s="1856"/>
    </row>
    <row r="20" spans="1:7" s="214" customFormat="1" ht="13.5" customHeight="1">
      <c r="A20" s="255" t="s">
        <v>1574</v>
      </c>
      <c r="B20" s="210" t="s">
        <v>1575</v>
      </c>
      <c r="C20" s="232">
        <f ca="1">ROUND((C5+C19)*F20,0)</f>
        <v>6750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17790</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8808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8808</v>
      </c>
      <c r="D24" s="238"/>
      <c r="E24" s="238"/>
      <c r="F24" s="239"/>
      <c r="G24" s="240" t="s">
        <v>1586</v>
      </c>
    </row>
    <row r="25" spans="1:7" s="214" customFormat="1" ht="24">
      <c r="A25" s="780" t="s">
        <v>1476</v>
      </c>
      <c r="B25" s="215" t="s">
        <v>1587</v>
      </c>
      <c r="C25" s="1128">
        <f ca="1">ROUND(IF('数据-取费表'!B22&lt;=1,C20*F22*'数据-取费表'!B22/2,C20*(POWER((1+F22),'数据-取费表'!B22/2)-1)),0)</f>
        <v>174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51639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51639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447665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3269609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2953195</v>
      </c>
      <c r="D34" s="217"/>
      <c r="E34" s="220"/>
      <c r="F34" s="257"/>
      <c r="G34" s="219"/>
    </row>
    <row r="35" spans="1:7" ht="13.5" customHeight="1">
      <c r="A35" s="780" t="s">
        <v>351</v>
      </c>
      <c r="B35" s="215" t="s">
        <v>1527</v>
      </c>
      <c r="C35" s="220">
        <f ca="1">ROUND(C34*F35,0)</f>
        <v>88596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168754</v>
      </c>
      <c r="D37" s="217">
        <f ca="1">D19</f>
        <v>843.77</v>
      </c>
      <c r="E37" s="249">
        <f>'数据-取费表'!B35</f>
        <v>200</v>
      </c>
      <c r="F37" s="259"/>
      <c r="G37" s="261"/>
    </row>
    <row r="38" spans="1:7" ht="13.5" customHeight="1">
      <c r="A38" s="780" t="s">
        <v>354</v>
      </c>
      <c r="B38" s="215" t="s">
        <v>1533</v>
      </c>
      <c r="C38" s="220">
        <f ca="1">ROUND(C34*F38,0)</f>
        <v>59064</v>
      </c>
      <c r="D38" s="220"/>
      <c r="E38" s="220"/>
      <c r="F38" s="259">
        <f>'数据-取费表'!B36</f>
        <v>0.02</v>
      </c>
      <c r="G38" s="219" t="s">
        <v>1528</v>
      </c>
    </row>
    <row r="39" spans="1:7" s="214" customFormat="1" ht="13.5" customHeight="1">
      <c r="A39" s="255" t="s">
        <v>1534</v>
      </c>
      <c r="B39" s="210" t="s">
        <v>1535</v>
      </c>
      <c r="C39" s="232">
        <f ca="1">ROUND(C33*F20,0)</f>
        <v>65392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85926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84241</v>
      </c>
      <c r="D42" s="238"/>
      <c r="E42" s="238"/>
      <c r="F42" s="239"/>
      <c r="G42" s="3662" t="s">
        <v>1591</v>
      </c>
    </row>
    <row r="43" spans="1:7" ht="13.5" customHeight="1">
      <c r="A43" s="780" t="s">
        <v>347</v>
      </c>
      <c r="B43" s="215" t="s">
        <v>1545</v>
      </c>
      <c r="C43" s="238">
        <f ca="1">ROUND(IF('数据-取费表'!B22&lt;=1,C39*F22*'数据-取费表'!B20/2,C39*(POWER((1+F22),'数据-取费表'!B20/2)-1)),0)</f>
        <v>1685</v>
      </c>
      <c r="D43" s="238"/>
      <c r="E43" s="238"/>
      <c r="F43" s="239"/>
      <c r="G43" s="3663"/>
    </row>
    <row r="44" spans="1:7" ht="13.5" customHeight="1">
      <c r="A44" s="780" t="s">
        <v>348</v>
      </c>
      <c r="B44" s="215" t="s">
        <v>1546</v>
      </c>
      <c r="C44" s="238">
        <f ca="1">ROUND(IF('数据-取费表'!B22&lt;=1,C40*F22*'数据-取费表'!B20/2,C40*(POWER((1+F22),'数据-取费表'!B20/2)-1)),4)</f>
        <v>5.0000000000000001E-4</v>
      </c>
      <c r="D44" s="238"/>
      <c r="E44" s="238"/>
      <c r="F44" s="239"/>
      <c r="G44" s="3664"/>
    </row>
    <row r="45" spans="1:7" s="214" customFormat="1" ht="13.5" customHeight="1">
      <c r="A45" s="255" t="s">
        <v>1547</v>
      </c>
      <c r="B45" s="244" t="s">
        <v>1513</v>
      </c>
      <c r="C45" s="245">
        <f ca="1">C46</f>
        <v>500250</v>
      </c>
      <c r="D45" s="235">
        <f ca="1">C47</f>
        <v>3.0000000000000001E-3</v>
      </c>
      <c r="E45" s="236" t="s">
        <v>1539</v>
      </c>
      <c r="F45" s="246">
        <f ca="1">F27</f>
        <v>0.15</v>
      </c>
      <c r="G45" s="247" t="s">
        <v>1548</v>
      </c>
    </row>
    <row r="46" spans="1:7" s="214" customFormat="1" ht="13.5" customHeight="1">
      <c r="A46" s="780" t="s">
        <v>346</v>
      </c>
      <c r="B46" s="248" t="s">
        <v>1549</v>
      </c>
      <c r="C46" s="249">
        <f ca="1">ROUND((C33+C39)*F27,0)</f>
        <v>500250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4243239</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3139997</v>
      </c>
      <c r="D51" s="232"/>
      <c r="E51" s="232"/>
      <c r="F51" s="264"/>
      <c r="G51" s="234" t="s">
        <v>1560</v>
      </c>
    </row>
    <row r="52" spans="1:7" s="208" customFormat="1" ht="16.5" thickBot="1">
      <c r="A52" s="265" t="s">
        <v>1561</v>
      </c>
      <c r="B52" s="266"/>
      <c r="C52" s="267">
        <f ca="1">C31+C51</f>
        <v>3587662</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843.77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843.77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0.12460000000000093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843.77</v>
      </c>
      <c r="E20" s="21">
        <f>'数据-取费表'!B28</f>
        <v>200</v>
      </c>
      <c r="F20" s="804"/>
      <c r="G20" s="12"/>
      <c r="H20" s="809"/>
      <c r="I20" s="809"/>
      <c r="J20" s="809"/>
      <c r="K20" s="810"/>
    </row>
    <row r="21" spans="1:33" s="803" customFormat="1" ht="13.5" customHeight="1">
      <c r="A21" s="790" t="s">
        <v>357</v>
      </c>
      <c r="B21" s="813" t="s">
        <v>1628</v>
      </c>
      <c r="C21" s="814">
        <f ca="1">C16+C17+C18</f>
        <v>0.12460000000000093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0</v>
      </c>
      <c r="D6" s="155" t="s">
        <v>2109</v>
      </c>
      <c r="E6" s="302" t="s">
        <v>696</v>
      </c>
      <c r="F6" s="303">
        <f ca="1">INDIRECT("'数据-取费表'!u"&amp;$G$1)</f>
        <v>0</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5" t="s">
        <v>837</v>
      </c>
      <c r="L53" s="366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1214.6533999999999</v>
      </c>
      <c r="C2" s="1387" t="s">
        <v>879</v>
      </c>
      <c r="D2" s="1471">
        <f ca="1">C40+J29+L46</f>
        <v>12146534</v>
      </c>
      <c r="E2" s="1388" t="s">
        <v>880</v>
      </c>
      <c r="F2" s="1389"/>
      <c r="G2" s="2702"/>
      <c r="H2" s="2691"/>
      <c r="I2" s="2691"/>
      <c r="J2" s="2691"/>
      <c r="K2" s="2692"/>
      <c r="L2" s="2691"/>
      <c r="M2" s="2691"/>
    </row>
    <row r="3" spans="1:37" ht="18" customHeight="1" thickBot="1">
      <c r="A3" s="1390" t="s">
        <v>881</v>
      </c>
      <c r="B3" s="1391">
        <f ca="1">IF(ISERROR(D2/F43),0,ROUND(D2/F43,0))</f>
        <v>14396</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999089</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997842</v>
      </c>
      <c r="D6" s="155" t="s">
        <v>2106</v>
      </c>
      <c r="E6" s="302" t="s">
        <v>696</v>
      </c>
      <c r="F6" s="303">
        <f ca="1">INDIRECT("'数据-取费表'!u"&amp;$G$1)</f>
        <v>3.6</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843.77</v>
      </c>
      <c r="G7" s="1384"/>
      <c r="H7" s="304"/>
      <c r="I7" s="3668"/>
      <c r="J7" s="306"/>
      <c r="K7" s="307"/>
      <c r="L7" s="302" t="s">
        <v>697</v>
      </c>
      <c r="M7" s="303">
        <f ca="1">F7</f>
        <v>843.77</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1247</v>
      </c>
      <c r="D10" s="1366" t="s">
        <v>2116</v>
      </c>
      <c r="E10" s="313" t="s">
        <v>701</v>
      </c>
      <c r="F10" s="1116" t="s">
        <v>3466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3139997</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2953195</v>
      </c>
      <c r="D14" s="1345" t="s">
        <v>708</v>
      </c>
      <c r="E14" s="1342"/>
      <c r="F14" s="319"/>
      <c r="G14" s="1384"/>
      <c r="H14" s="982" t="s">
        <v>398</v>
      </c>
      <c r="I14" s="302" t="s">
        <v>709</v>
      </c>
      <c r="J14" s="21">
        <f ca="1">C29</f>
        <v>4243239</v>
      </c>
      <c r="K14" s="12"/>
      <c r="L14" s="807"/>
      <c r="M14" s="808"/>
    </row>
    <row r="15" spans="1:37" s="1397" customFormat="1" ht="18" customHeight="1" thickBot="1">
      <c r="A15" s="982" t="s">
        <v>399</v>
      </c>
      <c r="B15" s="302" t="s">
        <v>710</v>
      </c>
      <c r="C15" s="21">
        <f ca="1">ROUND(C14*F15,0)</f>
        <v>88596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21216</v>
      </c>
      <c r="K16" s="1087" t="s">
        <v>715</v>
      </c>
      <c r="L16" s="1088"/>
      <c r="M16" s="1072"/>
    </row>
    <row r="17" spans="1:37" s="1397" customFormat="1" ht="18" customHeight="1">
      <c r="A17" s="982" t="s">
        <v>681</v>
      </c>
      <c r="B17" s="302" t="s">
        <v>716</v>
      </c>
      <c r="C17" s="21">
        <f ca="1">ROUND(F17*(F43+INDIRECT("'数据-取费表'!S"&amp;$G$1)),0)</f>
        <v>168754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59064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3269609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65392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21216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85926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-21216</v>
      </c>
      <c r="K25" s="1095" t="s">
        <v>753</v>
      </c>
      <c r="L25" s="1096"/>
      <c r="M25" s="1097"/>
    </row>
    <row r="26" spans="1:37" ht="18" customHeight="1">
      <c r="A26" s="982" t="s">
        <v>397</v>
      </c>
      <c r="B26" s="302" t="s">
        <v>754</v>
      </c>
      <c r="C26" s="21">
        <f ca="1">ROUND((C19+C20)*F26,0)</f>
        <v>500250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4243239</v>
      </c>
      <c r="D29" s="1092"/>
      <c r="E29" s="1090"/>
      <c r="F29" s="1093"/>
      <c r="G29" s="1396"/>
      <c r="H29" s="334" t="s">
        <v>396</v>
      </c>
      <c r="I29" s="335" t="s">
        <v>768</v>
      </c>
      <c r="J29" s="336">
        <f ca="1">ROUND(J26/(1+F40)^F41,0)</f>
        <v>0</v>
      </c>
      <c r="K29" s="337" t="s">
        <v>769</v>
      </c>
      <c r="L29" s="338"/>
      <c r="M29" s="339">
        <f ca="1">INDIRECT("'数据-取费表'!k"&amp;$G$1)</f>
        <v>843.77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97444</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66523</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21216</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ROUND(C13*F37,0)</f>
        <v>4710</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4995</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901645</v>
      </c>
      <c r="D39" s="1095" t="s">
        <v>773</v>
      </c>
      <c r="E39" s="1096"/>
      <c r="F39" s="1097"/>
      <c r="G39" s="1384"/>
      <c r="H39" s="2696">
        <f ca="1">C39/C5</f>
        <v>0.90246714757143753</v>
      </c>
      <c r="I39" s="1398"/>
      <c r="J39" s="1399"/>
      <c r="K39" s="2700"/>
      <c r="L39" s="2696"/>
      <c r="M39" s="2696"/>
    </row>
    <row r="40" spans="1:18" ht="18" customHeight="1">
      <c r="A40" s="299" t="s">
        <v>395</v>
      </c>
      <c r="B40" s="300" t="s">
        <v>774</v>
      </c>
      <c r="C40" s="301">
        <f ca="1">ROUND(C39*(1-((1+F42)/(1+F40))^F41)/(F40-F42),0)</f>
        <v>11650155</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13807</v>
      </c>
      <c r="D43" s="337" t="s">
        <v>777</v>
      </c>
      <c r="E43" s="338" t="s">
        <v>778</v>
      </c>
      <c r="F43" s="339">
        <f ca="1">INDIRECT("'数据-取费表'!k"&amp;$G$1)</f>
        <v>843.77</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-1193.1831</v>
      </c>
      <c r="D45" s="3428" t="s">
        <v>3353</v>
      </c>
      <c r="E45" s="1400"/>
      <c r="F45" s="1400"/>
      <c r="O45" s="1403" t="s">
        <v>808</v>
      </c>
      <c r="P45" s="1461"/>
      <c r="Q45" s="1461"/>
      <c r="R45" s="1461"/>
    </row>
    <row r="46" spans="1:18" s="1384" customFormat="1" ht="13.5" thickBot="1">
      <c r="A46" s="1404" t="s">
        <v>809</v>
      </c>
      <c r="C46" s="1405">
        <f ca="1">ROUND(C45,0)</f>
        <v>-1193</v>
      </c>
      <c r="D46" s="1406" t="str">
        <f>C2</f>
        <v>万元</v>
      </c>
      <c r="I46" s="1407" t="s">
        <v>810</v>
      </c>
      <c r="J46" s="1408"/>
      <c r="K46" s="1409"/>
      <c r="L46" s="1410">
        <f ca="1">IF(M47="住宅",0,IF(L48&gt;J51,L60,J60))</f>
        <v>496379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11650155</v>
      </c>
      <c r="R47" s="1420" t="s">
        <v>818</v>
      </c>
    </row>
    <row r="48" spans="1:18" s="1384" customFormat="1" ht="28.5" thickBot="1">
      <c r="A48" s="1110" t="s">
        <v>438</v>
      </c>
      <c r="B48" s="300" t="s">
        <v>692</v>
      </c>
      <c r="C48" s="1359">
        <f ca="1">C49+C53+C55</f>
        <v>0</v>
      </c>
      <c r="D48" s="1112"/>
      <c r="E48" s="1113"/>
      <c r="F48" s="962"/>
      <c r="G48" s="722"/>
      <c r="H48" s="723"/>
      <c r="I48" s="1421" t="s">
        <v>819</v>
      </c>
      <c r="J48" s="1422" t="s">
        <v>3467</v>
      </c>
      <c r="K48" s="1423" t="s">
        <v>820</v>
      </c>
      <c r="L48" s="1424">
        <f ca="1">INDIRECT("'数据-取费表'!f"&amp;$G$1)</f>
        <v>17</v>
      </c>
      <c r="O48" s="1418" t="s">
        <v>404</v>
      </c>
      <c r="P48" s="1419" t="s">
        <v>821</v>
      </c>
      <c r="Q48" s="1420">
        <f ca="1">J60</f>
        <v>496379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4243239</v>
      </c>
      <c r="R49" s="1420" t="s">
        <v>818</v>
      </c>
    </row>
    <row r="50" spans="1:18" s="1384" customFormat="1" ht="13.5" thickBot="1">
      <c r="A50" s="976"/>
      <c r="B50" s="979"/>
      <c r="C50" s="980"/>
      <c r="D50" s="953"/>
      <c r="E50" s="1056" t="s">
        <v>697</v>
      </c>
      <c r="F50" s="1057">
        <f ca="1">F7</f>
        <v>843.77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10323868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65" t="s">
        <v>837</v>
      </c>
      <c r="L53" s="3666"/>
      <c r="O53" s="1418" t="s">
        <v>409</v>
      </c>
      <c r="P53" s="1419" t="s">
        <v>838</v>
      </c>
      <c r="Q53" s="1420">
        <f ca="1">Q47+Q48</f>
        <v>12146534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3139997</v>
      </c>
      <c r="D56" s="1447"/>
      <c r="E56" s="1448"/>
      <c r="F56" s="1440"/>
      <c r="I56" s="1449" t="s">
        <v>842</v>
      </c>
      <c r="J56" s="1450" t="s">
        <v>3468</v>
      </c>
      <c r="K56" s="1421" t="s">
        <v>843</v>
      </c>
      <c r="L56" s="1424" t="str">
        <f ca="1">IF(L48&lt;J51,"——",L48-J51)</f>
        <v>——</v>
      </c>
      <c r="O56" s="1418" t="s">
        <v>403</v>
      </c>
      <c r="P56" s="1419" t="s">
        <v>817</v>
      </c>
      <c r="Q56" s="1420">
        <f ca="1">C40+J29</f>
        <v>11650155</v>
      </c>
      <c r="R56" s="1420" t="s">
        <v>818</v>
      </c>
    </row>
    <row r="57" spans="1:18" s="1384" customFormat="1" ht="24.75" thickBot="1">
      <c r="A57" s="1451"/>
      <c r="B57" s="950" t="s">
        <v>767</v>
      </c>
      <c r="C57" s="238">
        <f ca="1">C29</f>
        <v>4243239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25926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1697296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496379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11650155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21216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4710</v>
      </c>
      <c r="D65" s="964" t="s">
        <v>743</v>
      </c>
      <c r="E65" s="950" t="s">
        <v>744</v>
      </c>
      <c r="F65" s="330">
        <f t="shared" ca="1" si="0"/>
        <v>1.5E-3</v>
      </c>
      <c r="I65" s="1462" t="s">
        <v>867</v>
      </c>
      <c r="J65" s="1463">
        <v>40</v>
      </c>
      <c r="K65" s="1463">
        <v>30</v>
      </c>
      <c r="L65" s="1463">
        <v>50</v>
      </c>
      <c r="M65" s="1465">
        <v>0.02</v>
      </c>
      <c r="O65" s="1418" t="s">
        <v>403</v>
      </c>
      <c r="P65" s="1419" t="s">
        <v>868</v>
      </c>
      <c r="Q65" s="1420">
        <f ca="1">C40+J29</f>
        <v>11650155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-25926</v>
      </c>
      <c r="D67" s="963" t="s">
        <v>753</v>
      </c>
      <c r="E67" s="968"/>
      <c r="F67" s="969"/>
      <c r="O67" s="1428" t="s">
        <v>405</v>
      </c>
      <c r="P67" s="1419" t="s">
        <v>850</v>
      </c>
      <c r="Q67" s="1466">
        <f ca="1">L51</f>
        <v>10323868</v>
      </c>
      <c r="R67" s="1420" t="s">
        <v>870</v>
      </c>
    </row>
    <row r="68" spans="1:18" s="1384" customFormat="1" ht="16.5" thickBot="1">
      <c r="A68" s="947" t="s">
        <v>395</v>
      </c>
      <c r="B68" s="948" t="s">
        <v>774</v>
      </c>
      <c r="C68" s="301">
        <f ca="1">ROUND(C67*(1-((1+F70)/(1+F68))^F69)/(F68-F70),0)</f>
        <v>-281676</v>
      </c>
      <c r="D68" s="965" t="s">
        <v>758</v>
      </c>
      <c r="E68" s="950" t="s">
        <v>759</v>
      </c>
      <c r="F68" s="312">
        <f ca="1">F40</f>
        <v>5.5E-2</v>
      </c>
      <c r="O68" s="1428" t="s">
        <v>406</v>
      </c>
      <c r="P68" s="1467" t="s">
        <v>871</v>
      </c>
      <c r="Q68" s="1420">
        <f ca="1">ROUND(Q69-Q70*Q71,0)</f>
        <v>681845</v>
      </c>
      <c r="R68" s="1420" t="s">
        <v>414</v>
      </c>
    </row>
    <row r="69" spans="1:18" s="1384" customFormat="1" ht="13.5" thickBot="1">
      <c r="A69" s="951"/>
      <c r="B69" s="952"/>
      <c r="C69" s="306"/>
      <c r="D69" s="970" t="s">
        <v>762</v>
      </c>
      <c r="E69" s="950" t="s">
        <v>763</v>
      </c>
      <c r="F69" s="333">
        <f ca="1">F41</f>
        <v>17</v>
      </c>
      <c r="O69" s="1428" t="s">
        <v>411</v>
      </c>
      <c r="P69" s="1467" t="s">
        <v>872</v>
      </c>
      <c r="Q69" s="1420">
        <f ca="1">C39</f>
        <v>901645</v>
      </c>
      <c r="R69" s="1420" t="s">
        <v>818</v>
      </c>
    </row>
    <row r="70" spans="1:18" s="1384" customFormat="1" ht="13.5" thickBot="1">
      <c r="A70" s="954"/>
      <c r="B70" s="955"/>
      <c r="C70" s="310"/>
      <c r="D70" s="966"/>
      <c r="E70" s="950" t="s">
        <v>766</v>
      </c>
      <c r="F70" s="1054"/>
      <c r="O70" s="1428" t="s">
        <v>412</v>
      </c>
      <c r="P70" s="1467" t="s">
        <v>873</v>
      </c>
      <c r="Q70" s="1420">
        <f ca="1">C13</f>
        <v>3139997</v>
      </c>
      <c r="R70" s="1420" t="s">
        <v>818</v>
      </c>
    </row>
    <row r="71" spans="1:18" s="1384" customFormat="1" ht="13.5" thickBot="1">
      <c r="A71" s="971" t="s">
        <v>396</v>
      </c>
      <c r="B71" s="972" t="s">
        <v>776</v>
      </c>
      <c r="C71" s="336">
        <f ca="1">ROUND(C68/F71,0)</f>
        <v>-334</v>
      </c>
      <c r="D71" s="973" t="s">
        <v>777</v>
      </c>
      <c r="E71" s="974" t="s">
        <v>778</v>
      </c>
      <c r="F71" s="339">
        <f ca="1">F43</f>
        <v>843.77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219800</v>
      </c>
      <c r="D75" s="1384"/>
      <c r="E75" s="1384"/>
      <c r="F75" s="1384"/>
      <c r="K75" s="1402"/>
      <c r="L75" s="1384"/>
      <c r="O75" s="1418" t="s">
        <v>409</v>
      </c>
      <c r="P75" s="1419" t="s">
        <v>838</v>
      </c>
      <c r="Q75" s="1420">
        <f ca="1">Q65+Q66</f>
        <v>11650155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0.75600000000000001</v>
      </c>
    </row>
    <row r="80" spans="1:18">
      <c r="B80" s="340" t="s">
        <v>800</v>
      </c>
      <c r="C80" s="274">
        <f ca="1">ROUND(C75/C39,3)</f>
        <v>0.24399999999999999</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676" t="s">
        <v>2317</v>
      </c>
      <c r="K2" s="3677"/>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78" t="s">
        <v>2327</v>
      </c>
      <c r="K3" s="3679"/>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78" t="s">
        <v>2329</v>
      </c>
      <c r="K4" s="3679"/>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84" t="s">
        <v>2333</v>
      </c>
      <c r="B6" s="3685"/>
      <c r="C6" s="3686"/>
      <c r="D6" s="2866"/>
      <c r="E6" s="2867"/>
      <c r="F6" s="2868"/>
      <c r="G6" s="2869"/>
      <c r="H6" s="2844"/>
      <c r="I6" s="2845"/>
      <c r="J6" s="3670">
        <v>1</v>
      </c>
      <c r="K6" s="3671"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0"/>
      <c r="K7" s="3672"/>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7" t="s">
        <v>2347</v>
      </c>
      <c r="C8" s="3688"/>
      <c r="D8" s="2885" t="s">
        <v>2348</v>
      </c>
      <c r="E8" s="2886" t="s">
        <v>2349</v>
      </c>
      <c r="F8" s="2887" t="s">
        <v>2350</v>
      </c>
      <c r="G8" s="2888"/>
      <c r="H8" s="2844"/>
      <c r="I8" s="2845"/>
      <c r="J8" s="3670"/>
      <c r="K8" s="3672"/>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7" t="s">
        <v>2353</v>
      </c>
      <c r="C9" s="3688"/>
      <c r="D9" s="2885">
        <f>ROUND(D6*E9,0)</f>
        <v>0</v>
      </c>
      <c r="E9" s="2889"/>
      <c r="F9" s="2890" t="s">
        <v>2354</v>
      </c>
      <c r="G9" s="2869"/>
      <c r="H9" s="2844"/>
      <c r="I9" s="2845"/>
      <c r="J9" s="3670"/>
      <c r="K9" s="3672"/>
      <c r="L9" s="2879" t="s">
        <v>2355</v>
      </c>
      <c r="M9" s="2880"/>
      <c r="N9" s="2856"/>
      <c r="O9" s="2881"/>
      <c r="P9" s="2881"/>
      <c r="Q9" s="2882">
        <v>365</v>
      </c>
      <c r="R9" s="2883">
        <f t="shared" si="0"/>
        <v>0</v>
      </c>
      <c r="S9" s="2837"/>
      <c r="T9" s="2837"/>
      <c r="U9" s="2837"/>
      <c r="V9" s="2845"/>
    </row>
    <row r="10" spans="1:22" s="2849" customFormat="1" ht="13.15" customHeight="1">
      <c r="A10" s="2884">
        <v>2</v>
      </c>
      <c r="B10" s="3687" t="s">
        <v>2356</v>
      </c>
      <c r="C10" s="3688"/>
      <c r="D10" s="2885">
        <f>ROUND(D6*E10,0)</f>
        <v>0</v>
      </c>
      <c r="E10" s="2889"/>
      <c r="F10" s="2890" t="s">
        <v>2357</v>
      </c>
      <c r="G10" s="2869"/>
      <c r="H10" s="2844"/>
      <c r="I10" s="2845"/>
      <c r="J10" s="3670"/>
      <c r="K10" s="3672"/>
      <c r="L10" s="2879" t="s">
        <v>2358</v>
      </c>
      <c r="M10" s="2880"/>
      <c r="N10" s="2856"/>
      <c r="O10" s="2881"/>
      <c r="P10" s="2881"/>
      <c r="Q10" s="2882">
        <v>365</v>
      </c>
      <c r="R10" s="2883">
        <f t="shared" si="0"/>
        <v>0</v>
      </c>
      <c r="S10" s="2837"/>
      <c r="T10" s="2837"/>
      <c r="U10" s="2837"/>
      <c r="V10" s="2845"/>
    </row>
    <row r="11" spans="1:22" s="2849" customFormat="1" ht="13.15" customHeight="1">
      <c r="A11" s="2884">
        <v>3</v>
      </c>
      <c r="B11" s="3687" t="s">
        <v>2359</v>
      </c>
      <c r="C11" s="3688"/>
      <c r="D11" s="2885">
        <f>D12+D14+D15+D16</f>
        <v>0</v>
      </c>
      <c r="E11" s="2891" t="e">
        <f>D11/D6</f>
        <v>#DIV/0!</v>
      </c>
      <c r="F11" s="2887"/>
      <c r="G11" s="2888"/>
      <c r="H11" s="2844"/>
      <c r="I11" s="2845"/>
      <c r="J11" s="3670"/>
      <c r="K11" s="3672"/>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0" t="s">
        <v>2362</v>
      </c>
      <c r="C12" s="3681"/>
      <c r="D12" s="2893">
        <f>ROUND(D13*1.2%*(1-30%),0)</f>
        <v>0</v>
      </c>
      <c r="E12" s="2894">
        <v>1.2E-2</v>
      </c>
      <c r="F12" s="2887" t="s">
        <v>2363</v>
      </c>
      <c r="G12" s="2888"/>
      <c r="H12" s="2844"/>
      <c r="I12" s="2845"/>
      <c r="J12" s="3670"/>
      <c r="K12" s="3672"/>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0"/>
      <c r="K13" s="3672"/>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0" t="s">
        <v>2368</v>
      </c>
      <c r="C14" s="3681"/>
      <c r="D14" s="2893">
        <f>ROUND(E14*B5/10000,0)</f>
        <v>0</v>
      </c>
      <c r="E14" s="2882"/>
      <c r="F14" s="2887" t="s">
        <v>2369</v>
      </c>
      <c r="G14" s="2888"/>
      <c r="H14" s="2844"/>
      <c r="I14" s="2845"/>
      <c r="J14" s="3670"/>
      <c r="K14" s="3673"/>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0" t="s">
        <v>2372</v>
      </c>
      <c r="C15" s="3681"/>
      <c r="D15" s="2893">
        <f>ROUND(D6*E15,0)</f>
        <v>0</v>
      </c>
      <c r="E15" s="2894">
        <v>5.5E-2</v>
      </c>
      <c r="F15" s="2887" t="s">
        <v>2373</v>
      </c>
      <c r="G15" s="2869"/>
      <c r="H15" s="2844"/>
      <c r="I15" s="2845"/>
      <c r="J15" s="3670">
        <v>2</v>
      </c>
      <c r="K15" s="3671"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0" t="s">
        <v>2381</v>
      </c>
      <c r="C16" s="3681"/>
      <c r="D16" s="2904">
        <f>D6*E16</f>
        <v>0</v>
      </c>
      <c r="E16" s="2905"/>
      <c r="F16" s="2890" t="s">
        <v>2382</v>
      </c>
      <c r="G16" s="2869"/>
      <c r="H16" s="2844"/>
      <c r="I16" s="2845"/>
      <c r="J16" s="3670"/>
      <c r="K16" s="3672"/>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82" t="s">
        <v>2384</v>
      </c>
      <c r="C17" s="3683"/>
      <c r="D17" s="2907">
        <f>ROUND(D6*E17,0)</f>
        <v>0</v>
      </c>
      <c r="E17" s="2908"/>
      <c r="F17" s="2909" t="s">
        <v>2385</v>
      </c>
      <c r="G17" s="2869"/>
      <c r="H17" s="2844"/>
      <c r="I17" s="2845"/>
      <c r="J17" s="3670"/>
      <c r="K17" s="3672"/>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0"/>
      <c r="K18" s="3672"/>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0"/>
      <c r="K19" s="3673"/>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0">
        <v>3</v>
      </c>
      <c r="K20" s="3671"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0"/>
      <c r="K21" s="3672"/>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0"/>
      <c r="K22" s="3672"/>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0"/>
      <c r="K23" s="3672"/>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0"/>
      <c r="K24" s="3673"/>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74">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6" t="s">
        <v>2317</v>
      </c>
      <c r="K32" s="3677"/>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78" t="s">
        <v>2327</v>
      </c>
      <c r="K33" s="3679"/>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78" t="s">
        <v>2329</v>
      </c>
      <c r="K34" s="367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0">
        <v>1</v>
      </c>
      <c r="K36" s="3671"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0"/>
      <c r="K37" s="3672"/>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0"/>
      <c r="K38" s="3672"/>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0"/>
      <c r="K39" s="3672"/>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0"/>
      <c r="K40" s="3673"/>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4">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1214.6533999999999</v>
      </c>
      <c r="C2" s="1872" t="s">
        <v>1651</v>
      </c>
      <c r="D2" s="1873" t="s">
        <v>1652</v>
      </c>
      <c r="E2" s="2603">
        <f>SUM(E6:E13)</f>
        <v>843.77</v>
      </c>
      <c r="F2" s="2703"/>
      <c r="G2" s="1489"/>
      <c r="H2" s="1489"/>
      <c r="I2" s="1489"/>
      <c r="J2" s="1489"/>
      <c r="K2" s="1489"/>
      <c r="L2" s="1489"/>
      <c r="M2" s="1489"/>
      <c r="N2" s="1489"/>
      <c r="O2" s="1489"/>
      <c r="P2" s="1489"/>
      <c r="Q2" s="1489"/>
      <c r="R2" s="1489"/>
      <c r="S2" s="1489"/>
    </row>
    <row r="3" spans="1:22" ht="15.75">
      <c r="A3" s="1870" t="s">
        <v>686</v>
      </c>
      <c r="B3" s="2597">
        <f ca="1">ROUND(B2*10000/E2,0)</f>
        <v>14396</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689" t="s">
        <v>1654</v>
      </c>
      <c r="C5" s="3690"/>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1214.6533999999999</v>
      </c>
      <c r="C6" s="1872" t="s">
        <v>1651</v>
      </c>
      <c r="D6" s="2705"/>
      <c r="E6" s="2602">
        <f>IF(OR(A6=0,F6="否"),0,'数据-取费表'!K6+'数据-取费表'!S6)</f>
        <v>843.77</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843.77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1"/>
      <c r="M4" s="2712"/>
      <c r="N4" s="2712"/>
      <c r="O4" s="2712"/>
      <c r="P4" s="3713" t="s">
        <v>1672</v>
      </c>
      <c r="Q4" s="3714"/>
      <c r="R4" s="3719" t="s">
        <v>1668</v>
      </c>
      <c r="S4" s="3720"/>
      <c r="T4" s="3719" t="s">
        <v>1669</v>
      </c>
      <c r="U4" s="3720"/>
      <c r="V4" s="3725" t="s">
        <v>1670</v>
      </c>
      <c r="W4" s="3725"/>
      <c r="X4" s="1355"/>
      <c r="Y4" s="3719" t="s">
        <v>1672</v>
      </c>
      <c r="Z4" s="3720"/>
      <c r="AA4" s="3706" t="s">
        <v>1668</v>
      </c>
      <c r="AB4" s="3706" t="s">
        <v>1669</v>
      </c>
      <c r="AC4" s="3706" t="s">
        <v>1670</v>
      </c>
    </row>
    <row r="5" spans="1:29" ht="15">
      <c r="A5" s="358"/>
      <c r="B5" s="359"/>
      <c r="C5" s="3728" t="s">
        <v>1673</v>
      </c>
      <c r="D5" s="3729"/>
      <c r="E5" s="3735" t="s">
        <v>1674</v>
      </c>
      <c r="F5" s="3736"/>
      <c r="G5" s="3728" t="s">
        <v>1675</v>
      </c>
      <c r="H5" s="3729"/>
      <c r="I5" s="3728" t="s">
        <v>1676</v>
      </c>
      <c r="J5" s="3729"/>
      <c r="K5" s="1890"/>
      <c r="L5" s="2711"/>
      <c r="M5" s="2712"/>
      <c r="N5" s="2712"/>
      <c r="O5" s="2712"/>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1890" t="s">
        <v>1678</v>
      </c>
      <c r="L6" s="2711"/>
      <c r="M6" s="2712"/>
      <c r="N6" s="2712"/>
      <c r="O6" s="2712"/>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30" t="s">
        <v>1680</v>
      </c>
      <c r="Q7" s="3732"/>
      <c r="R7" s="701" t="s">
        <v>20</v>
      </c>
      <c r="S7" s="702">
        <f t="shared" ref="S7:S15" si="0">F7</f>
        <v>0</v>
      </c>
      <c r="T7" s="701" t="s">
        <v>20</v>
      </c>
      <c r="U7" s="702">
        <f t="shared" ref="U7:U15" si="1">H7</f>
        <v>0</v>
      </c>
      <c r="V7" s="701" t="s">
        <v>20</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5"/>
      <c r="Q11" s="1343" t="str">
        <f t="shared" si="6"/>
        <v>容积率</v>
      </c>
      <c r="R11" s="701" t="s">
        <v>18</v>
      </c>
      <c r="S11" s="702" t="e">
        <f t="shared" si="0"/>
        <v>#N/A</v>
      </c>
      <c r="T11" s="701" t="s">
        <v>18</v>
      </c>
      <c r="U11" s="702" t="e">
        <f t="shared" si="1"/>
        <v>#N/A</v>
      </c>
      <c r="V11" s="701" t="s">
        <v>18</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05"/>
      <c r="Q12" s="1343">
        <f t="shared" si="6"/>
        <v>111</v>
      </c>
      <c r="R12" s="701" t="s">
        <v>18</v>
      </c>
      <c r="S12" s="702">
        <f t="shared" si="0"/>
        <v>100</v>
      </c>
      <c r="T12" s="701" t="s">
        <v>18</v>
      </c>
      <c r="U12" s="702">
        <f t="shared" si="1"/>
        <v>100</v>
      </c>
      <c r="V12" s="701" t="s">
        <v>18</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05"/>
      <c r="Q13" s="1343">
        <f t="shared" si="6"/>
        <v>111</v>
      </c>
      <c r="R13" s="701" t="s">
        <v>18</v>
      </c>
      <c r="S13" s="702">
        <f t="shared" si="0"/>
        <v>100</v>
      </c>
      <c r="T13" s="701" t="s">
        <v>18</v>
      </c>
      <c r="U13" s="702">
        <f t="shared" si="1"/>
        <v>100</v>
      </c>
      <c r="V13" s="701" t="s">
        <v>18</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05"/>
      <c r="Q14" s="1343">
        <f t="shared" si="6"/>
        <v>111</v>
      </c>
      <c r="R14" s="701" t="s">
        <v>18</v>
      </c>
      <c r="S14" s="702">
        <f t="shared" si="0"/>
        <v>100</v>
      </c>
      <c r="T14" s="701" t="s">
        <v>18</v>
      </c>
      <c r="U14" s="702">
        <f t="shared" si="1"/>
        <v>100</v>
      </c>
      <c r="V14" s="701" t="s">
        <v>18</v>
      </c>
      <c r="W14" s="702">
        <f t="shared" si="2"/>
        <v>100</v>
      </c>
      <c r="X14" s="703"/>
      <c r="Y14" s="356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3"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4"/>
      <c r="Q16" s="1352"/>
      <c r="R16" s="705"/>
      <c r="S16" s="706"/>
      <c r="T16" s="705"/>
      <c r="U16" s="706"/>
      <c r="V16" s="705"/>
      <c r="W16" s="706"/>
      <c r="X16" s="1355"/>
      <c r="Y16" s="369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4"/>
      <c r="Q18" s="1352"/>
      <c r="R18" s="705"/>
      <c r="S18" s="706"/>
      <c r="T18" s="705"/>
      <c r="U18" s="706"/>
      <c r="V18" s="705"/>
      <c r="W18" s="706"/>
      <c r="X18" s="1355"/>
      <c r="Y18" s="369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4"/>
      <c r="Q20" s="1352"/>
      <c r="R20" s="705"/>
      <c r="S20" s="706"/>
      <c r="T20" s="705"/>
      <c r="U20" s="706"/>
      <c r="V20" s="705"/>
      <c r="W20" s="706"/>
      <c r="X20" s="1355"/>
      <c r="Y20" s="369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4"/>
      <c r="Q22" s="1352"/>
      <c r="R22" s="705"/>
      <c r="S22" s="706"/>
      <c r="T22" s="705"/>
      <c r="U22" s="706"/>
      <c r="V22" s="705"/>
      <c r="W22" s="706"/>
      <c r="X22" s="1355"/>
      <c r="Y22" s="369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4"/>
      <c r="Q24" s="1352"/>
      <c r="R24" s="705"/>
      <c r="S24" s="706"/>
      <c r="T24" s="705"/>
      <c r="U24" s="706"/>
      <c r="V24" s="705"/>
      <c r="W24" s="706"/>
      <c r="X24" s="1355"/>
      <c r="Y24" s="369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4"/>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4"/>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2"/>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t="s">
        <v>3465</v>
      </c>
      <c r="F1" s="1879" t="s">
        <v>3403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1603.6693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19006</v>
      </c>
      <c r="C3" s="354" t="s">
        <v>1768</v>
      </c>
      <c r="D3" s="353">
        <f>IF(D1="",'数据-汇总表'!E3,SUMIF('数据-汇总表'!$C19:$C33,D1,'数据-汇总表'!$E19:$E33))</f>
        <v>843.77</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1"/>
      <c r="M4" s="2712"/>
      <c r="N4" s="2712"/>
      <c r="O4" s="2712"/>
      <c r="P4" s="3713" t="s">
        <v>1775</v>
      </c>
      <c r="Q4" s="3714"/>
      <c r="R4" s="3719" t="s">
        <v>1771</v>
      </c>
      <c r="S4" s="3720"/>
      <c r="T4" s="3719" t="s">
        <v>1772</v>
      </c>
      <c r="U4" s="3720"/>
      <c r="V4" s="3725" t="s">
        <v>1773</v>
      </c>
      <c r="W4" s="3725"/>
      <c r="X4" s="1355"/>
      <c r="Y4" s="3719" t="s">
        <v>1775</v>
      </c>
      <c r="Z4" s="3720"/>
      <c r="AA4" s="3706" t="s">
        <v>1771</v>
      </c>
      <c r="AB4" s="3725" t="s">
        <v>1772</v>
      </c>
      <c r="AC4" s="3706" t="s">
        <v>1773</v>
      </c>
    </row>
    <row r="5" spans="1:29" ht="15">
      <c r="A5" s="358"/>
      <c r="B5" s="359"/>
      <c r="C5" s="3737" t="s">
        <v>3460</v>
      </c>
      <c r="D5" s="3729"/>
      <c r="E5" s="3735" t="str">
        <f>案例!A2</f>
        <v>天通西苑一区</v>
      </c>
      <c r="F5" s="3736"/>
      <c r="G5" s="3728" t="str">
        <f>案例!A3</f>
        <v>天通苑东一区</v>
      </c>
      <c r="H5" s="3729"/>
      <c r="I5" s="3728" t="str">
        <f>案例!A4</f>
        <v>天通东苑一区</v>
      </c>
      <c r="J5" s="3729"/>
      <c r="K5" s="559"/>
      <c r="L5" s="2711"/>
      <c r="M5" s="2712"/>
      <c r="N5" s="2712"/>
      <c r="O5" s="2712"/>
      <c r="P5" s="3715"/>
      <c r="Q5" s="3716"/>
      <c r="R5" s="3721"/>
      <c r="S5" s="3722"/>
      <c r="T5" s="3721"/>
      <c r="U5" s="3722"/>
      <c r="V5" s="3725"/>
      <c r="W5" s="3725"/>
      <c r="X5" s="1355"/>
      <c r="Y5" s="3721"/>
      <c r="Z5" s="3722"/>
      <c r="AA5" s="3707"/>
      <c r="AB5" s="3725"/>
      <c r="AC5" s="3707"/>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7"/>
      <c r="Q6" s="3718"/>
      <c r="R6" s="3721"/>
      <c r="S6" s="3722"/>
      <c r="T6" s="3723"/>
      <c r="U6" s="3724"/>
      <c r="V6" s="3725"/>
      <c r="W6" s="3725"/>
      <c r="X6" s="1355"/>
      <c r="Y6" s="3723"/>
      <c r="Z6" s="3724"/>
      <c r="AA6" s="3708"/>
      <c r="AB6" s="3725"/>
      <c r="AC6" s="3708"/>
    </row>
    <row r="7" spans="1:29" s="108" customFormat="1" ht="15.75" thickBot="1">
      <c r="A7" s="362" t="s">
        <v>1679</v>
      </c>
      <c r="B7" s="363"/>
      <c r="C7" s="364">
        <f>'数据-取费表'!B2</f>
        <v>45469</v>
      </c>
      <c r="D7" s="365">
        <v>100</v>
      </c>
      <c r="E7" s="366">
        <v>45469</v>
      </c>
      <c r="F7" s="367">
        <f>SUMIF(58:58,YEAR(E7)&amp;"-"&amp;MONTH(E7),59:59)</f>
        <v>100</v>
      </c>
      <c r="G7" s="366">
        <v>45469</v>
      </c>
      <c r="H7" s="365">
        <f>SUMIF(58:58,YEAR(G7)&amp;"-"&amp;MONTH(G7),59:59)</f>
        <v>100</v>
      </c>
      <c r="I7" s="366">
        <v>45469</v>
      </c>
      <c r="J7" s="365">
        <f>SUMIF(58:58,YEAR(I7)&amp;"-"&amp;MONTH(I7),59:59)</f>
        <v>100</v>
      </c>
      <c r="K7" s="560"/>
      <c r="L7" s="2713"/>
      <c r="M7" s="2714"/>
      <c r="N7" s="2714"/>
      <c r="O7" s="2714"/>
      <c r="P7" s="3730" t="s">
        <v>1680</v>
      </c>
      <c r="Q7" s="3732"/>
      <c r="R7" s="701" t="s">
        <v>14</v>
      </c>
      <c r="S7" s="702">
        <f t="shared" ref="S7:S15" si="0">F7</f>
        <v>100</v>
      </c>
      <c r="T7" s="701" t="s">
        <v>14</v>
      </c>
      <c r="U7" s="702">
        <f t="shared" ref="U7:U15" si="1">H7</f>
        <v>100</v>
      </c>
      <c r="V7" s="701" t="s">
        <v>14</v>
      </c>
      <c r="W7" s="702">
        <f t="shared" ref="W7:W15" si="2">J7</f>
        <v>100</v>
      </c>
      <c r="X7" s="703"/>
      <c r="Y7" s="3730" t="s">
        <v>1680</v>
      </c>
      <c r="Z7" s="3731"/>
      <c r="AA7" s="704">
        <f t="shared" ref="AA7:AA15" si="3">D7/F7</f>
        <v>1</v>
      </c>
      <c r="AB7" s="704">
        <f t="shared" ref="AB7:AB15" si="4">D7/H7</f>
        <v>1</v>
      </c>
      <c r="AC7" s="704">
        <f t="shared" ref="AC7:AC15" si="5">D7/J7</f>
        <v>1</v>
      </c>
    </row>
    <row r="8" spans="1:29" s="108" customFormat="1" ht="15.75" thickBot="1">
      <c r="A8" s="362" t="s">
        <v>1681</v>
      </c>
      <c r="B8" s="363"/>
      <c r="C8" s="368" t="s">
        <v>3404</v>
      </c>
      <c r="D8" s="365">
        <v>100</v>
      </c>
      <c r="E8" s="368" t="s">
        <v>3405</v>
      </c>
      <c r="F8" s="367">
        <f>SUMIF(61:61,E8,62:62)-SUMIF(61:61,C8,62:62)+100</f>
        <v>103</v>
      </c>
      <c r="G8" s="368" t="s">
        <v>3405</v>
      </c>
      <c r="H8" s="365">
        <f>SUMIF(61:61,G8,62:62)-SUMIF(61:61,C8,62:62)+100</f>
        <v>103</v>
      </c>
      <c r="I8" s="368" t="s">
        <v>3405</v>
      </c>
      <c r="J8" s="365">
        <f>SUMIF(61:61,I8,62:62)-SUMIF(61:61,C8,62:62)+100</f>
        <v>103</v>
      </c>
      <c r="K8" s="560"/>
      <c r="L8" s="2713"/>
      <c r="M8" s="2714"/>
      <c r="N8" s="2714"/>
      <c r="O8" s="2714"/>
      <c r="P8" s="3730" t="s">
        <v>1683</v>
      </c>
      <c r="Q8" s="3731"/>
      <c r="R8" s="701" t="s">
        <v>14</v>
      </c>
      <c r="S8" s="702">
        <f t="shared" si="0"/>
        <v>103</v>
      </c>
      <c r="T8" s="701" t="s">
        <v>14</v>
      </c>
      <c r="U8" s="702">
        <f t="shared" si="1"/>
        <v>103</v>
      </c>
      <c r="V8" s="701" t="s">
        <v>14</v>
      </c>
      <c r="W8" s="702">
        <f t="shared" si="2"/>
        <v>103</v>
      </c>
      <c r="X8" s="703"/>
      <c r="Y8" s="3730" t="s">
        <v>1683</v>
      </c>
      <c r="Z8" s="3731"/>
      <c r="AA8" s="704">
        <f t="shared" si="3"/>
        <v>0.970873786407767</v>
      </c>
      <c r="AB8" s="704">
        <f t="shared" si="4"/>
        <v>0.970873786407767</v>
      </c>
      <c r="AC8" s="704">
        <f t="shared" si="5"/>
        <v>0.970873786407767</v>
      </c>
    </row>
    <row r="9" spans="1:29" s="108" customFormat="1" ht="15" thickBot="1">
      <c r="A9" s="369" t="s">
        <v>1684</v>
      </c>
      <c r="B9" s="63" t="s">
        <v>1685</v>
      </c>
      <c r="C9" s="3462" t="s">
        <v>3453</v>
      </c>
      <c r="D9" s="126">
        <v>100</v>
      </c>
      <c r="E9" s="371" t="s">
        <v>673</v>
      </c>
      <c r="F9" s="126">
        <f>SUMIF(63:63,E9,64:64)-SUMIF(63:63,C9,64:64)+100</f>
        <v>100</v>
      </c>
      <c r="G9" s="371" t="s">
        <v>673</v>
      </c>
      <c r="H9" s="126">
        <f>SUMIF(63:63,G9,64:64)-SUMIF(63:63,C9,64:64)+100</f>
        <v>100</v>
      </c>
      <c r="I9" s="371" t="s">
        <v>673</v>
      </c>
      <c r="J9" s="126">
        <f>SUMIF(63:63,I9,64:64)-SUMIF(63:63,C9,64:64)+100</f>
        <v>100</v>
      </c>
      <c r="K9" s="560"/>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75" hidden="1" thickBot="1">
      <c r="A10" s="374"/>
      <c r="B10" s="375" t="s">
        <v>1688</v>
      </c>
      <c r="C10" s="3430"/>
      <c r="D10" s="127">
        <v>100</v>
      </c>
      <c r="E10" s="3431"/>
      <c r="F10" s="127">
        <f>SUMIF(65:65,E10,66:66)-SUMIF(65:65,C10,66:66)+100</f>
        <v>100</v>
      </c>
      <c r="G10" s="3431"/>
      <c r="H10" s="127">
        <f>SUMIF(65:65,G10,66:66)-SUMIF(65:65,C10,66:66)+100</f>
        <v>100</v>
      </c>
      <c r="I10" s="3431"/>
      <c r="J10" s="127">
        <f>SUMIF(65:65,I10,66:66)-SUMIF(65:65,C10,66:66)+100</f>
        <v>100</v>
      </c>
      <c r="K10" s="560"/>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127">
        <f>LOOKUP(E11,68:68,69:69)-LOOKUP(C11,68:68,69:69)+100</f>
        <v>100</v>
      </c>
      <c r="G11" s="381"/>
      <c r="H11" s="127">
        <f>LOOKUP(G11,68:68,69:69)-LOOKUP(C11,68:68,69:69)+100</f>
        <v>100</v>
      </c>
      <c r="I11" s="381"/>
      <c r="J11" s="127">
        <f>LOOKUP(I11,68:68,69:69)-LOOKUP(C11,68:68,69:69)+100</f>
        <v>100</v>
      </c>
      <c r="K11" s="561"/>
      <c r="L11" s="2717"/>
      <c r="M11" s="2712"/>
      <c r="N11" s="2712"/>
      <c r="O11" s="2712"/>
      <c r="P11" s="3705"/>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127">
        <f>SUMIF(70:70,E12,71:71)-SUMIF(70:70,C12,71:71)+100</f>
        <v>100</v>
      </c>
      <c r="G12" s="1908"/>
      <c r="H12" s="127">
        <f>SUMIF(70:70,G12,71:71)-SUMIF(70:70,C12,71:71)+100</f>
        <v>100</v>
      </c>
      <c r="I12" s="385"/>
      <c r="J12" s="127">
        <f>SUMIF(70:70,I12,71:71)-SUMIF(70:70,C12,71:71)+100</f>
        <v>100</v>
      </c>
      <c r="K12" s="562"/>
      <c r="L12" s="2713"/>
      <c r="M12" s="2714"/>
      <c r="N12" s="2714"/>
      <c r="O12" s="2714"/>
      <c r="P12" s="3705"/>
      <c r="Q12" s="1343">
        <f t="shared" si="6"/>
        <v>111</v>
      </c>
      <c r="R12" s="701" t="s">
        <v>14</v>
      </c>
      <c r="S12" s="702">
        <f t="shared" si="0"/>
        <v>100</v>
      </c>
      <c r="T12" s="701" t="s">
        <v>14</v>
      </c>
      <c r="U12" s="702">
        <f t="shared" si="1"/>
        <v>100</v>
      </c>
      <c r="V12" s="701" t="s">
        <v>14</v>
      </c>
      <c r="W12" s="702">
        <f t="shared" si="2"/>
        <v>100</v>
      </c>
      <c r="X12" s="703"/>
      <c r="Y12" s="3569"/>
      <c r="Z12" s="52">
        <f t="shared" si="7"/>
        <v>111</v>
      </c>
      <c r="AA12" s="704">
        <f t="shared" si="3"/>
        <v>1</v>
      </c>
      <c r="AB12" s="704">
        <f t="shared" si="4"/>
        <v>1</v>
      </c>
      <c r="AC12" s="704">
        <f t="shared" si="5"/>
        <v>1</v>
      </c>
    </row>
    <row r="13" spans="1:29" ht="15.75" hidden="1" thickBot="1">
      <c r="A13" s="379"/>
      <c r="B13" s="1893">
        <v>111</v>
      </c>
      <c r="C13" s="385"/>
      <c r="D13" s="386">
        <v>100</v>
      </c>
      <c r="E13" s="385"/>
      <c r="F13" s="127">
        <f>SUMIF(72:72,E13,73:73)-SUMIF(72:72,C13,73:73)+100</f>
        <v>100</v>
      </c>
      <c r="G13" s="1908"/>
      <c r="H13" s="386">
        <f>SUMIF(72:72,G13,73:73)-SUMIF(72:72,C13,73:73)+100</f>
        <v>100</v>
      </c>
      <c r="I13" s="385"/>
      <c r="J13" s="386">
        <f>SUMIF(72:72,I13,73:73)-SUMIF(72:72,C13,73:73)+100</f>
        <v>100</v>
      </c>
      <c r="K13" s="562"/>
      <c r="L13" s="2718"/>
      <c r="M13" s="2712"/>
      <c r="N13" s="2712"/>
      <c r="O13" s="2712"/>
      <c r="P13" s="3705"/>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hidden="1" thickBot="1">
      <c r="A14" s="387"/>
      <c r="B14" s="1895">
        <v>111</v>
      </c>
      <c r="C14" s="388"/>
      <c r="D14" s="389">
        <v>100</v>
      </c>
      <c r="E14" s="385"/>
      <c r="F14" s="389">
        <f>SUMIF(74:74,E14,75:75)-SUMIF(74:74,C14,75:75)+100</f>
        <v>100</v>
      </c>
      <c r="G14" s="1908"/>
      <c r="H14" s="389">
        <f>SUMIF(74:74,G14,75:75)-SUMIF(74:74,C14,75:75)+100</f>
        <v>100</v>
      </c>
      <c r="I14" s="385"/>
      <c r="J14" s="389">
        <f>SUMIF(74:74,I14,75:75)-SUMIF(74:74,C14,75:75)+100</f>
        <v>100</v>
      </c>
      <c r="K14" s="562"/>
      <c r="L14" s="2718"/>
      <c r="M14" s="2712"/>
      <c r="N14" s="2712"/>
      <c r="O14" s="2712"/>
      <c r="P14" s="3705"/>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2">
        <f>SUMIF(76:76,E16,77:77)-SUMIF(76:76,C16,77:77)+100</f>
        <v>100</v>
      </c>
      <c r="G15" s="393"/>
      <c r="H15" s="392">
        <f>SUMIF(76:76,G16,77:77)-SUMIF(76:76,C16,77:77)+100</f>
        <v>100</v>
      </c>
      <c r="I15" s="393"/>
      <c r="J15" s="392">
        <f>SUMIF(76:76,I16,77:77)-SUMIF(76:76,C16,77:77)+100</f>
        <v>100</v>
      </c>
      <c r="K15" s="563">
        <v>2</v>
      </c>
      <c r="L15" s="2718"/>
      <c r="M15" s="2712"/>
      <c r="N15" s="2712"/>
      <c r="O15" s="2712"/>
      <c r="P15" s="3703"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t="s">
        <v>3398</v>
      </c>
      <c r="D16" s="399"/>
      <c r="E16" s="398" t="s">
        <v>3398</v>
      </c>
      <c r="F16" s="399"/>
      <c r="G16" s="1904" t="s">
        <v>3398</v>
      </c>
      <c r="H16" s="401"/>
      <c r="I16" s="398" t="s">
        <v>3398</v>
      </c>
      <c r="J16" s="399"/>
      <c r="K16" s="564"/>
      <c r="L16" s="2718"/>
      <c r="M16" s="2712"/>
      <c r="N16" s="2712"/>
      <c r="O16" s="2712"/>
      <c r="P16" s="3704"/>
      <c r="Q16" s="1352"/>
      <c r="R16" s="705"/>
      <c r="S16" s="706"/>
      <c r="T16" s="705"/>
      <c r="U16" s="706"/>
      <c r="V16" s="705"/>
      <c r="W16" s="706"/>
      <c r="X16" s="1355"/>
      <c r="Y16" s="3697"/>
      <c r="Z16" s="1356"/>
      <c r="AA16" s="1353">
        <v>1</v>
      </c>
      <c r="AB16" s="1353">
        <v>1</v>
      </c>
      <c r="AC16" s="1353">
        <v>1</v>
      </c>
    </row>
    <row r="17" spans="1:29" ht="15">
      <c r="A17" s="379"/>
      <c r="B17" s="402" t="s">
        <v>1259</v>
      </c>
      <c r="C17" s="1900" t="str">
        <f>估价对象房地状况!C6</f>
        <v>较好</v>
      </c>
      <c r="D17" s="401">
        <v>100</v>
      </c>
      <c r="E17" s="403"/>
      <c r="F17" s="401">
        <f>SUMIF(78:78,E18,79:79)-SUMIF(78:78,C18,79:79)+100</f>
        <v>100</v>
      </c>
      <c r="G17" s="403"/>
      <c r="H17" s="406">
        <f>SUMIF(78:78,G18,79:79)-SUMIF(78:78,C18,79:79)+100</f>
        <v>100</v>
      </c>
      <c r="I17" s="403"/>
      <c r="J17" s="406">
        <f>SUMIF(78:78,I18,79:79)-SUMIF(78:78,C18,79:79)+100</f>
        <v>100</v>
      </c>
      <c r="K17" s="563">
        <v>2</v>
      </c>
      <c r="L17" s="2718"/>
      <c r="M17" s="2712"/>
      <c r="N17" s="2712"/>
      <c r="O17" s="2712"/>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D17/F17</f>
        <v>1</v>
      </c>
      <c r="AB17" s="1353">
        <f>D17/H17</f>
        <v>1</v>
      </c>
      <c r="AC17" s="1353">
        <f>D17/J17</f>
        <v>1</v>
      </c>
    </row>
    <row r="18" spans="1:29" ht="15">
      <c r="A18" s="379"/>
      <c r="B18" s="407"/>
      <c r="C18" s="1901" t="s">
        <v>3398</v>
      </c>
      <c r="D18" s="401"/>
      <c r="E18" s="1903" t="s">
        <v>3398</v>
      </c>
      <c r="F18" s="401"/>
      <c r="G18" s="1903" t="s">
        <v>3398</v>
      </c>
      <c r="H18" s="399"/>
      <c r="I18" s="1903" t="s">
        <v>3398</v>
      </c>
      <c r="J18" s="399"/>
      <c r="K18" s="564"/>
      <c r="L18" s="2718"/>
      <c r="M18" s="2712"/>
      <c r="N18" s="2712"/>
      <c r="O18" s="2712"/>
      <c r="P18" s="3704"/>
      <c r="Q18" s="1352"/>
      <c r="R18" s="705"/>
      <c r="S18" s="706"/>
      <c r="T18" s="705"/>
      <c r="U18" s="706"/>
      <c r="V18" s="705"/>
      <c r="W18" s="706"/>
      <c r="X18" s="1355"/>
      <c r="Y18" s="3697"/>
      <c r="Z18" s="1356"/>
      <c r="AA18" s="1353">
        <v>1</v>
      </c>
      <c r="AB18" s="1353">
        <v>1</v>
      </c>
      <c r="AC18" s="1353">
        <v>1</v>
      </c>
    </row>
    <row r="19" spans="1:29" ht="15">
      <c r="A19" s="379"/>
      <c r="B19" s="402" t="s">
        <v>1778</v>
      </c>
      <c r="C19" s="1900" t="str">
        <f>估价对象房地状况!C7</f>
        <v>较好</v>
      </c>
      <c r="D19" s="406">
        <v>100</v>
      </c>
      <c r="E19" s="408"/>
      <c r="F19" s="406">
        <f>SUMIF(80:80,E20,81:81)-SUMIF(80:80,C20,81:81)+100</f>
        <v>100</v>
      </c>
      <c r="G19" s="408"/>
      <c r="H19" s="401">
        <f>SUMIF(80:80,G20,81:81)-SUMIF(80:80,C20,81:81)+100</f>
        <v>100</v>
      </c>
      <c r="I19" s="408"/>
      <c r="J19" s="401">
        <f>SUMIF(80:80,I20,81:81)-SUMIF(80:80,C20,81:81)+100</f>
        <v>100</v>
      </c>
      <c r="K19" s="563">
        <v>2</v>
      </c>
      <c r="L19" s="2718"/>
      <c r="M19" s="2712"/>
      <c r="N19" s="2712"/>
      <c r="O19" s="2712"/>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D19/F19</f>
        <v>1</v>
      </c>
      <c r="AB19" s="1353">
        <f>D19/H19</f>
        <v>1</v>
      </c>
      <c r="AC19" s="1353">
        <f>D19/J19</f>
        <v>1</v>
      </c>
    </row>
    <row r="20" spans="1:29" ht="15">
      <c r="A20" s="379"/>
      <c r="B20" s="407"/>
      <c r="C20" s="398" t="s">
        <v>3398</v>
      </c>
      <c r="D20" s="399"/>
      <c r="E20" s="1898" t="s">
        <v>3398</v>
      </c>
      <c r="F20" s="399"/>
      <c r="G20" s="1898" t="s">
        <v>3398</v>
      </c>
      <c r="H20" s="399"/>
      <c r="I20" s="1898" t="s">
        <v>3398</v>
      </c>
      <c r="J20" s="399"/>
      <c r="K20" s="564"/>
      <c r="L20" s="2718"/>
      <c r="M20" s="2712"/>
      <c r="N20" s="2712"/>
      <c r="O20" s="2712"/>
      <c r="P20" s="3704"/>
      <c r="Q20" s="1352"/>
      <c r="R20" s="705"/>
      <c r="S20" s="706"/>
      <c r="T20" s="705"/>
      <c r="U20" s="706"/>
      <c r="V20" s="705"/>
      <c r="W20" s="706"/>
      <c r="X20" s="1355"/>
      <c r="Y20" s="3697"/>
      <c r="Z20" s="1356"/>
      <c r="AA20" s="1353">
        <v>1</v>
      </c>
      <c r="AB20" s="1353">
        <v>1</v>
      </c>
      <c r="AC20" s="1353">
        <v>1</v>
      </c>
    </row>
    <row r="21" spans="1:29" ht="15">
      <c r="A21" s="379"/>
      <c r="B21" s="1131" t="s">
        <v>1779</v>
      </c>
      <c r="C21" s="1900" t="str">
        <f>估价对象房地状况!C8</f>
        <v>七通</v>
      </c>
      <c r="D21" s="406">
        <v>100</v>
      </c>
      <c r="E21" s="408"/>
      <c r="F21" s="406">
        <f>SUMIF(82:82,E22,83:83)-SUMIF(82:82,C22,83:83)+100</f>
        <v>100</v>
      </c>
      <c r="G21" s="408"/>
      <c r="H21" s="401">
        <f>SUMIF(82:82,G22,83:83)-SUMIF(82:82,C22,83:83)+100</f>
        <v>100</v>
      </c>
      <c r="I21" s="408"/>
      <c r="J21" s="401">
        <f>SUMIF(82:82,I22,83:83)-SUMIF(82:82,C22,83:83)+100</f>
        <v>100</v>
      </c>
      <c r="K21" s="563">
        <v>1</v>
      </c>
      <c r="L21" s="2718"/>
      <c r="M21" s="2712"/>
      <c r="N21" s="2712"/>
      <c r="O21" s="2712"/>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D21/F21</f>
        <v>1</v>
      </c>
      <c r="AB21" s="1353">
        <f>D21/H21</f>
        <v>1</v>
      </c>
      <c r="AC21" s="1353">
        <f>D21/J21</f>
        <v>1</v>
      </c>
    </row>
    <row r="22" spans="1:29" ht="15">
      <c r="A22" s="379"/>
      <c r="B22" s="1131"/>
      <c r="C22" s="1901" t="s">
        <v>3401</v>
      </c>
      <c r="D22" s="399"/>
      <c r="E22" s="398" t="s">
        <v>3401</v>
      </c>
      <c r="F22" s="399"/>
      <c r="G22" s="1904" t="s">
        <v>3401</v>
      </c>
      <c r="H22" s="399"/>
      <c r="I22" s="398" t="s">
        <v>3401</v>
      </c>
      <c r="J22" s="399"/>
      <c r="K22" s="1130"/>
      <c r="L22" s="2718"/>
      <c r="M22" s="2712"/>
      <c r="N22" s="2712"/>
      <c r="O22" s="2712"/>
      <c r="P22" s="3704"/>
      <c r="Q22" s="1352"/>
      <c r="R22" s="705"/>
      <c r="S22" s="706"/>
      <c r="T22" s="705"/>
      <c r="U22" s="706"/>
      <c r="V22" s="705"/>
      <c r="W22" s="706"/>
      <c r="X22" s="1355"/>
      <c r="Y22" s="3697"/>
      <c r="Z22" s="1356"/>
      <c r="AA22" s="1353">
        <v>1</v>
      </c>
      <c r="AB22" s="1353">
        <v>1</v>
      </c>
      <c r="AC22" s="1353">
        <v>1</v>
      </c>
    </row>
    <row r="23" spans="1:29" ht="15">
      <c r="A23" s="379"/>
      <c r="B23" s="402" t="s">
        <v>1261</v>
      </c>
      <c r="C23" s="1955" t="str">
        <f>估价对象房地状况!C9</f>
        <v>较好</v>
      </c>
      <c r="D23" s="401">
        <v>100</v>
      </c>
      <c r="E23" s="403"/>
      <c r="F23" s="401">
        <f>SUMIF(84:84,E24,85:85)-SUMIF(84:84,C24,85:85)+100</f>
        <v>100</v>
      </c>
      <c r="G23" s="403"/>
      <c r="H23" s="401">
        <f>SUMIF(84:84,G24,85:85)-SUMIF(84:84,C24,85:85)+100</f>
        <v>100</v>
      </c>
      <c r="I23" s="403"/>
      <c r="J23" s="401">
        <f>SUMIF(84:84,I24,85:85)-SUMIF(84:84,C24,85:85)+100</f>
        <v>100</v>
      </c>
      <c r="K23" s="563">
        <v>1</v>
      </c>
      <c r="L23" s="2718"/>
      <c r="M23" s="2712"/>
      <c r="N23" s="2712"/>
      <c r="O23" s="2712"/>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D23/F23</f>
        <v>1</v>
      </c>
      <c r="AB23" s="1353">
        <f>D23/H23</f>
        <v>1</v>
      </c>
      <c r="AC23" s="1353">
        <f>D23/J23</f>
        <v>1</v>
      </c>
    </row>
    <row r="24" spans="1:29" ht="15">
      <c r="A24" s="379"/>
      <c r="B24" s="407"/>
      <c r="C24" s="398" t="s">
        <v>3398</v>
      </c>
      <c r="D24" s="399"/>
      <c r="E24" s="1898" t="s">
        <v>3398</v>
      </c>
      <c r="F24" s="399"/>
      <c r="G24" s="1898" t="s">
        <v>3398</v>
      </c>
      <c r="H24" s="399"/>
      <c r="I24" s="1898" t="s">
        <v>3398</v>
      </c>
      <c r="J24" s="399"/>
      <c r="K24" s="564"/>
      <c r="L24" s="2718"/>
      <c r="M24" s="2712"/>
      <c r="N24" s="2712"/>
      <c r="O24" s="2712"/>
      <c r="P24" s="3704"/>
      <c r="Q24" s="1352"/>
      <c r="R24" s="705"/>
      <c r="S24" s="706"/>
      <c r="T24" s="705"/>
      <c r="U24" s="706"/>
      <c r="V24" s="705"/>
      <c r="W24" s="706"/>
      <c r="X24" s="1355"/>
      <c r="Y24" s="3697"/>
      <c r="Z24" s="1356"/>
      <c r="AA24" s="1353">
        <v>1</v>
      </c>
      <c r="AB24" s="1353">
        <v>1</v>
      </c>
      <c r="AC24" s="1353">
        <v>1</v>
      </c>
    </row>
    <row r="25" spans="1:29" ht="15">
      <c r="A25" s="379"/>
      <c r="B25" s="375" t="s">
        <v>1780</v>
      </c>
      <c r="C25" s="565" t="s">
        <v>3409</v>
      </c>
      <c r="D25" s="386">
        <v>100</v>
      </c>
      <c r="E25" s="565" t="s">
        <v>3409</v>
      </c>
      <c r="F25" s="386">
        <f>SUMIF(86:86,E25,87:87)-SUMIF(86:86,C25,87:87)+100</f>
        <v>100</v>
      </c>
      <c r="G25" s="3477" t="s">
        <v>3410</v>
      </c>
      <c r="H25" s="386">
        <f>SUMIF(86:86,G25,87:87)-SUMIF(86:86,C25,87:87)+100</f>
        <v>100</v>
      </c>
      <c r="I25" s="565" t="s">
        <v>3484</v>
      </c>
      <c r="J25" s="386">
        <f>SUMIF(86:86,I25,87:87)-SUMIF(86:86,C25,87:87)+100</f>
        <v>103</v>
      </c>
      <c r="K25" s="561">
        <v>3</v>
      </c>
      <c r="L25" s="2718"/>
      <c r="M25" s="2712"/>
      <c r="N25" s="2712"/>
      <c r="O25" s="2712"/>
      <c r="P25" s="3704"/>
      <c r="Q25" s="1352" t="str">
        <f t="shared" ref="Q25:Q46" si="8">B25</f>
        <v>临街状况</v>
      </c>
      <c r="R25" s="705" t="s">
        <v>14</v>
      </c>
      <c r="S25" s="706">
        <f t="shared" ref="S25:S46" si="9">F25</f>
        <v>100</v>
      </c>
      <c r="T25" s="705" t="s">
        <v>14</v>
      </c>
      <c r="U25" s="706">
        <f t="shared" ref="U25:U46" si="10">H25</f>
        <v>100</v>
      </c>
      <c r="V25" s="705" t="s">
        <v>14</v>
      </c>
      <c r="W25" s="706">
        <f t="shared" ref="W25:W46" si="11">J25</f>
        <v>103</v>
      </c>
      <c r="X25" s="1355"/>
      <c r="Y25" s="3697"/>
      <c r="Z25" s="1356" t="str">
        <f t="shared" ref="Z25:Z46" si="12">Q25</f>
        <v>临街状况</v>
      </c>
      <c r="AA25" s="1353">
        <f t="shared" ref="AA25:AA46" si="13">D25/F25</f>
        <v>1</v>
      </c>
      <c r="AB25" s="1353">
        <f t="shared" ref="AB25:AB46" si="14">D25/H25</f>
        <v>1</v>
      </c>
      <c r="AC25" s="1353">
        <f t="shared" ref="AC25:AC46" si="15">D25/J25</f>
        <v>0.970873786407767</v>
      </c>
    </row>
    <row r="26" spans="1:29" ht="15">
      <c r="A26" s="379"/>
      <c r="B26" s="1133" t="s">
        <v>1781</v>
      </c>
      <c r="C26" s="3463" t="s">
        <v>3413</v>
      </c>
      <c r="D26" s="386">
        <v>100</v>
      </c>
      <c r="E26" s="3463" t="s">
        <v>3413</v>
      </c>
      <c r="F26" s="386">
        <f>SUMIF(88:88,E26,89:89)-SUMIF(88:88,C26,89:89)+100</f>
        <v>100</v>
      </c>
      <c r="G26" s="3478" t="s">
        <v>3413</v>
      </c>
      <c r="H26" s="386">
        <f>SUMIF(88:88,G26,89:89)-SUMIF(88:88,C26,89:89)+100</f>
        <v>100</v>
      </c>
      <c r="I26" s="3463" t="s">
        <v>3485</v>
      </c>
      <c r="J26" s="386">
        <f>SUMIF(88:88,I26,89:89)-SUMIF(88:88,C26,89:89)+100</f>
        <v>100</v>
      </c>
      <c r="K26" s="562"/>
      <c r="L26" s="2718"/>
      <c r="M26" s="2712"/>
      <c r="N26" s="2712"/>
      <c r="O26" s="2712"/>
      <c r="P26" s="3704"/>
      <c r="Q26" s="1352" t="str">
        <f t="shared" si="8"/>
        <v>平面位置/可视性</v>
      </c>
      <c r="R26" s="705" t="s">
        <v>14</v>
      </c>
      <c r="S26" s="706">
        <f t="shared" si="9"/>
        <v>100</v>
      </c>
      <c r="T26" s="705" t="s">
        <v>14</v>
      </c>
      <c r="U26" s="706">
        <f t="shared" si="10"/>
        <v>100</v>
      </c>
      <c r="V26" s="705" t="s">
        <v>14</v>
      </c>
      <c r="W26" s="706">
        <f t="shared" si="11"/>
        <v>100</v>
      </c>
      <c r="X26" s="1355"/>
      <c r="Y26" s="3697"/>
      <c r="Z26" s="1356" t="str">
        <f t="shared" si="12"/>
        <v>平面位置/可视性</v>
      </c>
      <c r="AA26" s="1353">
        <f t="shared" si="13"/>
        <v>1</v>
      </c>
      <c r="AB26" s="1353">
        <f t="shared" si="14"/>
        <v>1</v>
      </c>
      <c r="AC26" s="1353">
        <f t="shared" si="15"/>
        <v>1</v>
      </c>
    </row>
    <row r="27" spans="1:29" s="108" customFormat="1" ht="15">
      <c r="A27" s="382"/>
      <c r="B27" s="402" t="s">
        <v>1782</v>
      </c>
      <c r="C27" s="3464" t="s">
        <v>3414</v>
      </c>
      <c r="D27" s="413">
        <v>100</v>
      </c>
      <c r="E27" s="3464" t="s">
        <v>3414</v>
      </c>
      <c r="F27" s="413">
        <f>SUMIF(90:90,E27,91:91)-SUMIF(90:90,C27,91:91)+100</f>
        <v>100</v>
      </c>
      <c r="G27" s="1965" t="s">
        <v>3419</v>
      </c>
      <c r="H27" s="413">
        <f>SUMIF(90:90,G27,91:91)-SUMIF(90:90,C27,91:91)+100</f>
        <v>104</v>
      </c>
      <c r="I27" s="1956" t="s">
        <v>3419</v>
      </c>
      <c r="J27" s="413">
        <f>SUMIF(90:90,I27,91:91)-SUMIF(90:90,C27,91:91)+100</f>
        <v>104</v>
      </c>
      <c r="K27" s="561">
        <v>4</v>
      </c>
      <c r="L27" s="2713"/>
      <c r="M27" s="2714"/>
      <c r="N27" s="2714"/>
      <c r="O27" s="2714"/>
      <c r="P27" s="3704"/>
      <c r="Q27" s="1343" t="str">
        <f t="shared" si="8"/>
        <v>人流量</v>
      </c>
      <c r="R27" s="701" t="s">
        <v>14</v>
      </c>
      <c r="S27" s="702">
        <f t="shared" si="9"/>
        <v>100</v>
      </c>
      <c r="T27" s="701" t="s">
        <v>14</v>
      </c>
      <c r="U27" s="702">
        <f t="shared" si="10"/>
        <v>104</v>
      </c>
      <c r="V27" s="701" t="s">
        <v>14</v>
      </c>
      <c r="W27" s="702">
        <f t="shared" si="11"/>
        <v>104</v>
      </c>
      <c r="X27" s="703"/>
      <c r="Y27" s="3697"/>
      <c r="Z27" s="52" t="str">
        <f t="shared" si="12"/>
        <v>人流量</v>
      </c>
      <c r="AA27" s="1353">
        <f t="shared" si="13"/>
        <v>1</v>
      </c>
      <c r="AB27" s="1353">
        <f t="shared" si="14"/>
        <v>0.96153846153846156</v>
      </c>
      <c r="AC27" s="1353">
        <f t="shared" si="15"/>
        <v>0.96153846153846156</v>
      </c>
    </row>
    <row r="28" spans="1:29" ht="15.75" thickBot="1">
      <c r="A28" s="379"/>
      <c r="B28" s="375" t="s">
        <v>1783</v>
      </c>
      <c r="C28" s="3465" t="s">
        <v>3425</v>
      </c>
      <c r="D28" s="386">
        <v>100</v>
      </c>
      <c r="E28" s="565" t="str">
        <f>案例!D2</f>
        <v>一拖三</v>
      </c>
      <c r="F28" s="386">
        <f>SUMIF(92:92,E28,93:93)-SUMIF(92:92,C28,93:93)+100</f>
        <v>100</v>
      </c>
      <c r="G28" s="582" t="str">
        <f>案例!D3</f>
        <v>一拖四</v>
      </c>
      <c r="H28" s="386">
        <f>SUMIF(92:92,G28,93:93)-SUMIF(92:92,C28,93:93)+100</f>
        <v>93.3</v>
      </c>
      <c r="I28" s="565" t="str">
        <f>案例!D4</f>
        <v>一拖三</v>
      </c>
      <c r="J28" s="386">
        <f>SUMIF(92:92,I28,93:93)-SUMIF(92:92,C28,93:93)+100</f>
        <v>100</v>
      </c>
      <c r="K28" s="562"/>
      <c r="L28" s="2718"/>
      <c r="M28" s="2712"/>
      <c r="N28" s="2712"/>
      <c r="O28" s="2712"/>
      <c r="P28" s="3704"/>
      <c r="Q28" s="1352" t="str">
        <f t="shared" si="8"/>
        <v>楼层</v>
      </c>
      <c r="R28" s="705" t="s">
        <v>14</v>
      </c>
      <c r="S28" s="706">
        <f t="shared" si="9"/>
        <v>100</v>
      </c>
      <c r="T28" s="705" t="s">
        <v>14</v>
      </c>
      <c r="U28" s="706">
        <f t="shared" si="10"/>
        <v>93.3</v>
      </c>
      <c r="V28" s="705" t="s">
        <v>14</v>
      </c>
      <c r="W28" s="706">
        <f t="shared" si="11"/>
        <v>100</v>
      </c>
      <c r="X28" s="1355"/>
      <c r="Y28" s="3697"/>
      <c r="Z28" s="1356" t="str">
        <f t="shared" si="12"/>
        <v>楼层</v>
      </c>
      <c r="AA28" s="1353">
        <f t="shared" si="13"/>
        <v>1</v>
      </c>
      <c r="AB28" s="1353">
        <f t="shared" si="14"/>
        <v>1.0718113612004287</v>
      </c>
      <c r="AC28" s="1353">
        <f t="shared" si="1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4"/>
      <c r="Q29" s="1352">
        <f t="shared" si="8"/>
        <v>111</v>
      </c>
      <c r="R29" s="705" t="s">
        <v>14</v>
      </c>
      <c r="S29" s="706">
        <f t="shared" si="9"/>
        <v>100</v>
      </c>
      <c r="T29" s="705" t="s">
        <v>14</v>
      </c>
      <c r="U29" s="706">
        <f t="shared" si="10"/>
        <v>100</v>
      </c>
      <c r="V29" s="705" t="s">
        <v>14</v>
      </c>
      <c r="W29" s="706">
        <f t="shared" si="11"/>
        <v>100</v>
      </c>
      <c r="X29" s="1355"/>
      <c r="Y29" s="3697"/>
      <c r="Z29" s="1356">
        <f t="shared" si="12"/>
        <v>111</v>
      </c>
      <c r="AA29" s="1353">
        <f t="shared" si="13"/>
        <v>1</v>
      </c>
      <c r="AB29" s="1353">
        <f t="shared" si="14"/>
        <v>1</v>
      </c>
      <c r="AC29" s="1353">
        <f t="shared" si="1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4"/>
      <c r="Q30" s="1352">
        <f t="shared" si="8"/>
        <v>111</v>
      </c>
      <c r="R30" s="705" t="s">
        <v>14</v>
      </c>
      <c r="S30" s="706">
        <f t="shared" si="9"/>
        <v>100</v>
      </c>
      <c r="T30" s="705" t="s">
        <v>14</v>
      </c>
      <c r="U30" s="706">
        <f t="shared" si="10"/>
        <v>100</v>
      </c>
      <c r="V30" s="705" t="s">
        <v>14</v>
      </c>
      <c r="W30" s="706">
        <f t="shared" si="11"/>
        <v>100</v>
      </c>
      <c r="X30" s="1355"/>
      <c r="Y30" s="3697"/>
      <c r="Z30" s="1356">
        <f t="shared" si="12"/>
        <v>111</v>
      </c>
      <c r="AA30" s="1353">
        <f t="shared" si="13"/>
        <v>1</v>
      </c>
      <c r="AB30" s="1353">
        <f t="shared" si="14"/>
        <v>1</v>
      </c>
      <c r="AC30" s="1353">
        <f t="shared" si="1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4"/>
      <c r="Q31" s="1352">
        <f t="shared" si="8"/>
        <v>111</v>
      </c>
      <c r="R31" s="705" t="s">
        <v>14</v>
      </c>
      <c r="S31" s="706">
        <f t="shared" si="9"/>
        <v>100</v>
      </c>
      <c r="T31" s="705" t="s">
        <v>14</v>
      </c>
      <c r="U31" s="706">
        <f t="shared" si="10"/>
        <v>100</v>
      </c>
      <c r="V31" s="705" t="s">
        <v>14</v>
      </c>
      <c r="W31" s="706">
        <f t="shared" si="11"/>
        <v>100</v>
      </c>
      <c r="X31" s="1355"/>
      <c r="Y31" s="3697"/>
      <c r="Z31" s="1356">
        <f t="shared" si="12"/>
        <v>111</v>
      </c>
      <c r="AA31" s="1353">
        <f t="shared" si="13"/>
        <v>1</v>
      </c>
      <c r="AB31" s="1353">
        <f t="shared" si="14"/>
        <v>1</v>
      </c>
      <c r="AC31" s="1353">
        <f t="shared" si="15"/>
        <v>1</v>
      </c>
    </row>
    <row r="32" spans="1:29" ht="15">
      <c r="A32" s="391" t="s">
        <v>1694</v>
      </c>
      <c r="B32" s="63" t="s">
        <v>1784</v>
      </c>
      <c r="C32" s="1910" t="s">
        <v>3428</v>
      </c>
      <c r="D32" s="418">
        <v>100</v>
      </c>
      <c r="E32" s="1910" t="s">
        <v>3428</v>
      </c>
      <c r="F32" s="412">
        <f>SUMIF(100:100,E32,101:101)-SUMIF(100:100,C32,101:101)+100</f>
        <v>100</v>
      </c>
      <c r="G32" s="1910" t="s">
        <v>3428</v>
      </c>
      <c r="H32" s="386">
        <f>SUMIF(100:100,G32,101:101)-SUMIF(100:100,C32,101:101)+100</f>
        <v>100</v>
      </c>
      <c r="I32" s="1910" t="s">
        <v>3428</v>
      </c>
      <c r="J32" s="418">
        <f>SUMIF(100:100,I32,101:101)-SUMIF(100:100,C32,101:101)+100</f>
        <v>100</v>
      </c>
      <c r="K32" s="561">
        <v>2</v>
      </c>
      <c r="L32" s="2718"/>
      <c r="M32" s="2712"/>
      <c r="N32" s="2712"/>
      <c r="O32" s="2712"/>
      <c r="P32" s="3698" t="s">
        <v>1696</v>
      </c>
      <c r="Q32" s="1352" t="str">
        <f t="shared" si="8"/>
        <v>商业类型</v>
      </c>
      <c r="R32" s="705" t="s">
        <v>14</v>
      </c>
      <c r="S32" s="706">
        <f t="shared" si="9"/>
        <v>100</v>
      </c>
      <c r="T32" s="705" t="s">
        <v>14</v>
      </c>
      <c r="U32" s="706">
        <f t="shared" si="10"/>
        <v>100</v>
      </c>
      <c r="V32" s="705" t="s">
        <v>14</v>
      </c>
      <c r="W32" s="706">
        <f t="shared" si="11"/>
        <v>100</v>
      </c>
      <c r="X32" s="1355"/>
      <c r="Y32" s="3701" t="s">
        <v>1696</v>
      </c>
      <c r="Z32" s="1356" t="str">
        <f t="shared" si="12"/>
        <v>商业类型</v>
      </c>
      <c r="AA32" s="1353">
        <f t="shared" si="13"/>
        <v>1</v>
      </c>
      <c r="AB32" s="1353">
        <f t="shared" si="14"/>
        <v>1</v>
      </c>
      <c r="AC32" s="1353">
        <f t="shared" si="15"/>
        <v>1</v>
      </c>
    </row>
    <row r="33" spans="1:29" s="422" customFormat="1" ht="15">
      <c r="A33" s="419"/>
      <c r="B33" s="375" t="s">
        <v>1697</v>
      </c>
      <c r="C33" s="420">
        <f>'数据-汇总表'!E31</f>
        <v>843.77</v>
      </c>
      <c r="D33" s="127">
        <v>100</v>
      </c>
      <c r="E33" s="381">
        <f>案例!B2</f>
        <v>897.48</v>
      </c>
      <c r="F33" s="376">
        <f>LOOKUP(E33,103:103,104:104)-LOOKUP(C33,103:103,104:104)+100</f>
        <v>100</v>
      </c>
      <c r="G33" s="380">
        <f>案例!B3</f>
        <v>1829.56</v>
      </c>
      <c r="H33" s="127">
        <f>LOOKUP(G33,103:103,104:104)-LOOKUP(C33,103:103,104:104)+100</f>
        <v>98</v>
      </c>
      <c r="I33" s="380">
        <f>案例!B4</f>
        <v>2700</v>
      </c>
      <c r="J33" s="127">
        <f>LOOKUP(I33,103:103,104:104)-LOOKUP(C33,103:103,104:104)+100</f>
        <v>96</v>
      </c>
      <c r="K33" s="562"/>
      <c r="L33" s="2717"/>
      <c r="M33" s="2719"/>
      <c r="N33" s="2719"/>
      <c r="O33" s="2719"/>
      <c r="P33" s="3699"/>
      <c r="Q33" s="707" t="str">
        <f t="shared" si="8"/>
        <v>项目建筑规模</v>
      </c>
      <c r="R33" s="708" t="s">
        <v>14</v>
      </c>
      <c r="S33" s="709">
        <f t="shared" si="9"/>
        <v>100</v>
      </c>
      <c r="T33" s="708" t="s">
        <v>14</v>
      </c>
      <c r="U33" s="709">
        <f t="shared" si="10"/>
        <v>98</v>
      </c>
      <c r="V33" s="708" t="s">
        <v>14</v>
      </c>
      <c r="W33" s="709">
        <f t="shared" si="11"/>
        <v>96</v>
      </c>
      <c r="X33" s="710"/>
      <c r="Y33" s="3701"/>
      <c r="Z33" s="711" t="str">
        <f t="shared" si="12"/>
        <v>项目建筑规模</v>
      </c>
      <c r="AA33" s="1353">
        <f t="shared" si="13"/>
        <v>1</v>
      </c>
      <c r="AB33" s="1353">
        <f t="shared" si="14"/>
        <v>1.0204081632653061</v>
      </c>
      <c r="AC33" s="1353">
        <f t="shared" si="15"/>
        <v>1.0416666666666667</v>
      </c>
    </row>
    <row r="34" spans="1:29" ht="15">
      <c r="A34" s="423"/>
      <c r="B34" s="375" t="s">
        <v>1698</v>
      </c>
      <c r="C34" s="1912" t="s">
        <v>3432</v>
      </c>
      <c r="D34" s="386">
        <v>100</v>
      </c>
      <c r="E34" s="3467" t="s">
        <v>3433</v>
      </c>
      <c r="F34" s="412">
        <f>SUMIF(105:105,E34,106:106)-SUMIF(105:105,C34,106:106)+100</f>
        <v>100</v>
      </c>
      <c r="G34" s="1912" t="s">
        <v>3432</v>
      </c>
      <c r="H34" s="386">
        <f>SUMIF(105:105,G34,106:106)-SUMIF(105:105,C34,106:106)+100</f>
        <v>100</v>
      </c>
      <c r="I34" s="1912" t="s">
        <v>3432</v>
      </c>
      <c r="J34" s="386">
        <f>SUMIF(105:105,I34,106:106)-SUMIF(105:105,C34,106:106)+100</f>
        <v>100</v>
      </c>
      <c r="K34" s="561">
        <v>2</v>
      </c>
      <c r="L34" s="2718"/>
      <c r="M34" s="2712"/>
      <c r="N34" s="2712"/>
      <c r="O34" s="2712"/>
      <c r="P34" s="3699"/>
      <c r="Q34" s="1352" t="str">
        <f t="shared" si="8"/>
        <v>建筑结构</v>
      </c>
      <c r="R34" s="705" t="s">
        <v>14</v>
      </c>
      <c r="S34" s="706">
        <f t="shared" si="9"/>
        <v>100</v>
      </c>
      <c r="T34" s="705" t="s">
        <v>14</v>
      </c>
      <c r="U34" s="706">
        <f t="shared" si="10"/>
        <v>100</v>
      </c>
      <c r="V34" s="705" t="s">
        <v>14</v>
      </c>
      <c r="W34" s="706">
        <f t="shared" si="11"/>
        <v>100</v>
      </c>
      <c r="X34" s="1355"/>
      <c r="Y34" s="3701"/>
      <c r="Z34" s="1356" t="str">
        <f t="shared" si="12"/>
        <v>建筑结构</v>
      </c>
      <c r="AA34" s="1353">
        <f t="shared" si="13"/>
        <v>1</v>
      </c>
      <c r="AB34" s="1353">
        <f t="shared" si="14"/>
        <v>1</v>
      </c>
      <c r="AC34" s="1353">
        <f t="shared" si="15"/>
        <v>1</v>
      </c>
    </row>
    <row r="35" spans="1:29" ht="15">
      <c r="A35" s="423"/>
      <c r="B35" s="375" t="s">
        <v>1785</v>
      </c>
      <c r="C35" s="1906" t="s">
        <v>3434</v>
      </c>
      <c r="D35" s="386">
        <v>100</v>
      </c>
      <c r="E35" s="1906" t="s">
        <v>3434</v>
      </c>
      <c r="F35" s="412">
        <f>SUMIF(107:107,E35,108:108)-SUMIF(107:107,C35,108:108)+100</f>
        <v>100</v>
      </c>
      <c r="G35" s="1906" t="s">
        <v>3434</v>
      </c>
      <c r="H35" s="386">
        <f>SUMIF(107:107,G35,108:108)-SUMIF(107:107,C35,108:108)+100</f>
        <v>100</v>
      </c>
      <c r="I35" s="1906" t="s">
        <v>3434</v>
      </c>
      <c r="J35" s="386">
        <f>SUMIF(107:107,I35,108:108)-SUMIF(107:107,C35,108:108)+100</f>
        <v>100</v>
      </c>
      <c r="K35" s="561">
        <v>1</v>
      </c>
      <c r="L35" s="2718"/>
      <c r="M35" s="2712"/>
      <c r="N35" s="2712"/>
      <c r="O35" s="2712"/>
      <c r="P35" s="3699"/>
      <c r="Q35" s="1352" t="str">
        <f t="shared" si="8"/>
        <v>公共部分装修</v>
      </c>
      <c r="R35" s="705" t="s">
        <v>14</v>
      </c>
      <c r="S35" s="706">
        <f t="shared" si="9"/>
        <v>100</v>
      </c>
      <c r="T35" s="705" t="s">
        <v>14</v>
      </c>
      <c r="U35" s="706">
        <f t="shared" si="10"/>
        <v>100</v>
      </c>
      <c r="V35" s="705" t="s">
        <v>14</v>
      </c>
      <c r="W35" s="706">
        <f t="shared" si="11"/>
        <v>100</v>
      </c>
      <c r="X35" s="1355"/>
      <c r="Y35" s="3701"/>
      <c r="Z35" s="1356" t="str">
        <f t="shared" si="12"/>
        <v>公共部分装修</v>
      </c>
      <c r="AA35" s="1353">
        <f t="shared" si="13"/>
        <v>1</v>
      </c>
      <c r="AB35" s="1353">
        <f t="shared" si="14"/>
        <v>1</v>
      </c>
      <c r="AC35" s="1353">
        <f t="shared" si="15"/>
        <v>1</v>
      </c>
    </row>
    <row r="36" spans="1:29" ht="15">
      <c r="A36" s="423"/>
      <c r="B36" s="375" t="s">
        <v>1786</v>
      </c>
      <c r="C36" s="425">
        <f>'数据-取费表'!N6</f>
        <v>0.74</v>
      </c>
      <c r="D36" s="386">
        <v>100</v>
      </c>
      <c r="E36" s="425">
        <v>0.74</v>
      </c>
      <c r="F36" s="412">
        <f>LOOKUP(E36,110:110,111:111)-LOOKUP(C36,110:110,111:111)+100</f>
        <v>100</v>
      </c>
      <c r="G36" s="425">
        <v>0.72</v>
      </c>
      <c r="H36" s="412">
        <f>LOOKUP(G36,110:110,111:111)-LOOKUP(C36,110:110,111:111)+100</f>
        <v>100</v>
      </c>
      <c r="I36" s="425">
        <v>0.72</v>
      </c>
      <c r="J36" s="386">
        <f>LOOKUP(I36,110:110,111:111)-LOOKUP(C36,110:110,111:111)+100</f>
        <v>100</v>
      </c>
      <c r="K36" s="561">
        <v>1</v>
      </c>
      <c r="L36" s="2718"/>
      <c r="M36" s="2712"/>
      <c r="N36" s="2712"/>
      <c r="O36" s="2712"/>
      <c r="P36" s="3699"/>
      <c r="Q36" s="1352" t="str">
        <f t="shared" si="8"/>
        <v>成新度</v>
      </c>
      <c r="R36" s="705" t="s">
        <v>14</v>
      </c>
      <c r="S36" s="706">
        <f t="shared" si="9"/>
        <v>100</v>
      </c>
      <c r="T36" s="705" t="s">
        <v>14</v>
      </c>
      <c r="U36" s="706">
        <f t="shared" si="10"/>
        <v>100</v>
      </c>
      <c r="V36" s="705" t="s">
        <v>14</v>
      </c>
      <c r="W36" s="706">
        <f t="shared" si="11"/>
        <v>100</v>
      </c>
      <c r="X36" s="1355"/>
      <c r="Y36" s="3701"/>
      <c r="Z36" s="1356" t="str">
        <f t="shared" si="12"/>
        <v>成新度</v>
      </c>
      <c r="AA36" s="1353">
        <f t="shared" si="13"/>
        <v>1</v>
      </c>
      <c r="AB36" s="1353">
        <f t="shared" si="14"/>
        <v>1</v>
      </c>
      <c r="AC36" s="1353">
        <f t="shared" si="15"/>
        <v>1</v>
      </c>
    </row>
    <row r="37" spans="1:29" s="108" customFormat="1" ht="15">
      <c r="A37" s="424"/>
      <c r="B37" s="375" t="s">
        <v>1787</v>
      </c>
      <c r="C37" s="1906" t="s">
        <v>3437</v>
      </c>
      <c r="D37" s="127">
        <v>100</v>
      </c>
      <c r="E37" s="1906" t="s">
        <v>3401</v>
      </c>
      <c r="F37" s="412">
        <f>SUMIF(112:112,E37,113:113)-SUMIF(112:112,C37,113:113)+100</f>
        <v>101</v>
      </c>
      <c r="G37" s="1906" t="s">
        <v>3401</v>
      </c>
      <c r="H37" s="386">
        <f>SUMIF(112:112,G37,113:113)-SUMIF(112:112,C37,113:113)+100</f>
        <v>101</v>
      </c>
      <c r="I37" s="1906" t="s">
        <v>3401</v>
      </c>
      <c r="J37" s="386">
        <f>SUMIF(112:112,I37,113:113)-SUMIF(112:112,C37,113:113)+100</f>
        <v>101</v>
      </c>
      <c r="K37" s="561">
        <v>1</v>
      </c>
      <c r="L37" s="2713"/>
      <c r="M37" s="2714"/>
      <c r="N37" s="2714"/>
      <c r="O37" s="2714"/>
      <c r="P37" s="3699"/>
      <c r="Q37" s="1343" t="str">
        <f t="shared" si="8"/>
        <v>市政基础设施</v>
      </c>
      <c r="R37" s="701" t="s">
        <v>14</v>
      </c>
      <c r="S37" s="702">
        <f t="shared" si="9"/>
        <v>101</v>
      </c>
      <c r="T37" s="701" t="s">
        <v>14</v>
      </c>
      <c r="U37" s="702">
        <f t="shared" si="10"/>
        <v>101</v>
      </c>
      <c r="V37" s="701" t="s">
        <v>14</v>
      </c>
      <c r="W37" s="702">
        <f t="shared" si="11"/>
        <v>101</v>
      </c>
      <c r="X37" s="703"/>
      <c r="Y37" s="3701"/>
      <c r="Z37" s="52" t="str">
        <f t="shared" si="12"/>
        <v>市政基础设施</v>
      </c>
      <c r="AA37" s="704">
        <f t="shared" si="13"/>
        <v>0.99009900990099009</v>
      </c>
      <c r="AB37" s="704">
        <f t="shared" si="14"/>
        <v>0.99009900990099009</v>
      </c>
      <c r="AC37" s="704">
        <f t="shared" si="15"/>
        <v>0.99009900990099009</v>
      </c>
    </row>
    <row r="38" spans="1:29" ht="15">
      <c r="A38" s="423"/>
      <c r="B38" s="375" t="s">
        <v>1788</v>
      </c>
      <c r="C38" s="1906" t="s">
        <v>3441</v>
      </c>
      <c r="D38" s="386">
        <v>100</v>
      </c>
      <c r="E38" s="1906" t="s">
        <v>3439</v>
      </c>
      <c r="F38" s="412">
        <f>SUMIF(114:114,E38,115:115)-SUMIF(114:114,C38,115:115)+100</f>
        <v>103</v>
      </c>
      <c r="G38" s="1906" t="s">
        <v>3439</v>
      </c>
      <c r="H38" s="386">
        <f>SUMIF(114:114,G38,115:115)-SUMIF(114:114,C38,115:115)+100</f>
        <v>103</v>
      </c>
      <c r="I38" s="1906" t="s">
        <v>3439</v>
      </c>
      <c r="J38" s="386">
        <f>SUMIF(114:114,I38,115:115)-SUMIF(114:114,C38,115:115)+100</f>
        <v>103</v>
      </c>
      <c r="K38" s="561">
        <v>3</v>
      </c>
      <c r="L38" s="2718"/>
      <c r="M38" s="2712"/>
      <c r="N38" s="2712"/>
      <c r="O38" s="2712"/>
      <c r="P38" s="3699" t="s">
        <v>1696</v>
      </c>
      <c r="Q38" s="1352" t="str">
        <f t="shared" si="8"/>
        <v>业态</v>
      </c>
      <c r="R38" s="705" t="s">
        <v>14</v>
      </c>
      <c r="S38" s="706">
        <f t="shared" si="9"/>
        <v>103</v>
      </c>
      <c r="T38" s="705" t="s">
        <v>14</v>
      </c>
      <c r="U38" s="706">
        <f t="shared" si="10"/>
        <v>103</v>
      </c>
      <c r="V38" s="705" t="s">
        <v>14</v>
      </c>
      <c r="W38" s="706">
        <f t="shared" si="11"/>
        <v>103</v>
      </c>
      <c r="X38" s="1355"/>
      <c r="Y38" s="3701" t="s">
        <v>1696</v>
      </c>
      <c r="Z38" s="1356" t="str">
        <f t="shared" si="12"/>
        <v>业态</v>
      </c>
      <c r="AA38" s="1353">
        <f t="shared" si="13"/>
        <v>0.970873786407767</v>
      </c>
      <c r="AB38" s="1353">
        <f t="shared" si="14"/>
        <v>0.970873786407767</v>
      </c>
      <c r="AC38" s="1353">
        <f t="shared" si="15"/>
        <v>0.970873786407767</v>
      </c>
    </row>
    <row r="39" spans="1:29" ht="15">
      <c r="A39" s="423"/>
      <c r="B39" s="375" t="s">
        <v>1789</v>
      </c>
      <c r="C39" s="1906" t="s">
        <v>3443</v>
      </c>
      <c r="D39" s="386">
        <v>100</v>
      </c>
      <c r="E39" s="1906" t="s">
        <v>3443</v>
      </c>
      <c r="F39" s="412">
        <f>SUMIF(116:116,E39,117:117)-SUMIF(116:116,C39,117:117)+100</f>
        <v>100</v>
      </c>
      <c r="G39" s="1906" t="s">
        <v>3443</v>
      </c>
      <c r="H39" s="386">
        <f>SUMIF(116:116,G39,117:117)-SUMIF(116:116,C39,117:117)+100</f>
        <v>100</v>
      </c>
      <c r="I39" s="1906" t="s">
        <v>3443</v>
      </c>
      <c r="J39" s="386">
        <f>SUMIF(116:116,I39,117:117)-SUMIF(116:116,C39,117:117)+100</f>
        <v>100</v>
      </c>
      <c r="K39" s="561">
        <v>1</v>
      </c>
      <c r="L39" s="2718"/>
      <c r="M39" s="2712"/>
      <c r="N39" s="2712"/>
      <c r="O39" s="2712"/>
      <c r="P39" s="3699"/>
      <c r="Q39" s="1352" t="str">
        <f t="shared" si="8"/>
        <v>层高</v>
      </c>
      <c r="R39" s="705" t="s">
        <v>14</v>
      </c>
      <c r="S39" s="706">
        <f t="shared" si="9"/>
        <v>100</v>
      </c>
      <c r="T39" s="705" t="s">
        <v>14</v>
      </c>
      <c r="U39" s="706">
        <f t="shared" si="10"/>
        <v>100</v>
      </c>
      <c r="V39" s="705" t="s">
        <v>14</v>
      </c>
      <c r="W39" s="706">
        <f t="shared" si="11"/>
        <v>100</v>
      </c>
      <c r="X39" s="1355"/>
      <c r="Y39" s="3701"/>
      <c r="Z39" s="1356" t="str">
        <f t="shared" si="12"/>
        <v>层高</v>
      </c>
      <c r="AA39" s="1353">
        <f t="shared" si="13"/>
        <v>1</v>
      </c>
      <c r="AB39" s="1353">
        <f t="shared" si="14"/>
        <v>1</v>
      </c>
      <c r="AC39" s="1353">
        <f t="shared" si="1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9"/>
      <c r="Q40" s="1352" t="str">
        <f t="shared" si="8"/>
        <v>单套建筑面积</v>
      </c>
      <c r="R40" s="705" t="s">
        <v>14</v>
      </c>
      <c r="S40" s="706">
        <f t="shared" si="9"/>
        <v>100</v>
      </c>
      <c r="T40" s="705" t="s">
        <v>14</v>
      </c>
      <c r="U40" s="706">
        <f t="shared" si="10"/>
        <v>100</v>
      </c>
      <c r="V40" s="705" t="s">
        <v>14</v>
      </c>
      <c r="W40" s="706">
        <f t="shared" si="11"/>
        <v>100</v>
      </c>
      <c r="X40" s="1355"/>
      <c r="Y40" s="3701"/>
      <c r="Z40" s="1356" t="str">
        <f t="shared" si="12"/>
        <v>单套建筑面积</v>
      </c>
      <c r="AA40" s="1353">
        <f t="shared" si="13"/>
        <v>1</v>
      </c>
      <c r="AB40" s="1353">
        <f t="shared" si="14"/>
        <v>1</v>
      </c>
      <c r="AC40" s="1353">
        <f t="shared" si="15"/>
        <v>1</v>
      </c>
    </row>
    <row r="41" spans="1:29" s="422" customFormat="1" ht="15">
      <c r="A41" s="419"/>
      <c r="B41" s="1354" t="s">
        <v>1791</v>
      </c>
      <c r="C41" s="565" t="s">
        <v>3446</v>
      </c>
      <c r="D41" s="386">
        <v>100</v>
      </c>
      <c r="E41" s="565" t="s">
        <v>3446</v>
      </c>
      <c r="F41" s="412">
        <f>SUMIF(120:120,E41,121:121)-SUMIF(120:120,C41,121:121)+100</f>
        <v>100</v>
      </c>
      <c r="G41" s="565" t="s">
        <v>3446</v>
      </c>
      <c r="H41" s="386">
        <f>SUMIF(120:120,G41,121:121)-SUMIF(120:120,C41,121:121)+100</f>
        <v>100</v>
      </c>
      <c r="I41" s="565" t="s">
        <v>3446</v>
      </c>
      <c r="J41" s="386">
        <f>SUMIF(120:120,I41,121:121)-SUMIF(120:120,C41,121:121)+100</f>
        <v>100</v>
      </c>
      <c r="K41" s="561">
        <v>1</v>
      </c>
      <c r="L41" s="2717"/>
      <c r="M41" s="2719"/>
      <c r="N41" s="2719"/>
      <c r="O41" s="2719"/>
      <c r="P41" s="3699"/>
      <c r="Q41" s="707" t="str">
        <f t="shared" si="8"/>
        <v>进深比</v>
      </c>
      <c r="R41" s="708" t="s">
        <v>14</v>
      </c>
      <c r="S41" s="709">
        <f t="shared" si="9"/>
        <v>100</v>
      </c>
      <c r="T41" s="708" t="s">
        <v>14</v>
      </c>
      <c r="U41" s="709">
        <f t="shared" si="10"/>
        <v>100</v>
      </c>
      <c r="V41" s="708" t="s">
        <v>14</v>
      </c>
      <c r="W41" s="709">
        <f t="shared" si="11"/>
        <v>100</v>
      </c>
      <c r="X41" s="710"/>
      <c r="Y41" s="3701"/>
      <c r="Z41" s="711" t="str">
        <f t="shared" si="12"/>
        <v>进深比</v>
      </c>
      <c r="AA41" s="1353">
        <f t="shared" si="13"/>
        <v>1</v>
      </c>
      <c r="AB41" s="1353">
        <f t="shared" si="14"/>
        <v>1</v>
      </c>
      <c r="AC41" s="1353">
        <f t="shared" si="15"/>
        <v>1</v>
      </c>
    </row>
    <row r="42" spans="1:29" ht="15">
      <c r="A42" s="423"/>
      <c r="B42" s="375" t="s">
        <v>1792</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18"/>
      <c r="M42" s="2712"/>
      <c r="N42" s="2712"/>
      <c r="O42" s="2712"/>
      <c r="P42" s="3699"/>
      <c r="Q42" s="1352" t="str">
        <f t="shared" si="8"/>
        <v>内部装修</v>
      </c>
      <c r="R42" s="705" t="s">
        <v>14</v>
      </c>
      <c r="S42" s="706">
        <f t="shared" si="9"/>
        <v>100</v>
      </c>
      <c r="T42" s="705" t="s">
        <v>14</v>
      </c>
      <c r="U42" s="706">
        <f t="shared" si="10"/>
        <v>100</v>
      </c>
      <c r="V42" s="705" t="s">
        <v>14</v>
      </c>
      <c r="W42" s="706">
        <f t="shared" si="11"/>
        <v>100</v>
      </c>
      <c r="X42" s="1355"/>
      <c r="Y42" s="3701"/>
      <c r="Z42" s="1356" t="str">
        <f t="shared" si="12"/>
        <v>内部装修</v>
      </c>
      <c r="AA42" s="1353">
        <f t="shared" si="13"/>
        <v>1</v>
      </c>
      <c r="AB42" s="1353">
        <f t="shared" si="14"/>
        <v>1</v>
      </c>
      <c r="AC42" s="1353">
        <f t="shared" si="15"/>
        <v>1</v>
      </c>
    </row>
    <row r="43" spans="1:29" ht="15.75" thickBot="1">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1</v>
      </c>
      <c r="L43" s="2718"/>
      <c r="M43" s="2712"/>
      <c r="N43" s="2712"/>
      <c r="O43" s="2712"/>
      <c r="P43" s="3699"/>
      <c r="Q43" s="1352" t="str">
        <f t="shared" si="8"/>
        <v>内部装修维护情况</v>
      </c>
      <c r="R43" s="705" t="s">
        <v>14</v>
      </c>
      <c r="S43" s="706">
        <f t="shared" si="9"/>
        <v>100</v>
      </c>
      <c r="T43" s="705" t="s">
        <v>14</v>
      </c>
      <c r="U43" s="706">
        <f t="shared" si="10"/>
        <v>100</v>
      </c>
      <c r="V43" s="705" t="s">
        <v>14</v>
      </c>
      <c r="W43" s="706">
        <f t="shared" si="11"/>
        <v>100</v>
      </c>
      <c r="X43" s="1355"/>
      <c r="Y43" s="3701"/>
      <c r="Z43" s="1356" t="str">
        <f t="shared" si="12"/>
        <v>内部装修维护情况</v>
      </c>
      <c r="AA43" s="1353">
        <f t="shared" si="13"/>
        <v>1</v>
      </c>
      <c r="AB43" s="1353">
        <f t="shared" si="14"/>
        <v>1</v>
      </c>
      <c r="AC43" s="1353">
        <f t="shared" si="1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9"/>
      <c r="Q44" s="1343">
        <f t="shared" si="8"/>
        <v>111</v>
      </c>
      <c r="R44" s="701" t="s">
        <v>14</v>
      </c>
      <c r="S44" s="702">
        <f t="shared" si="9"/>
        <v>100</v>
      </c>
      <c r="T44" s="701" t="s">
        <v>14</v>
      </c>
      <c r="U44" s="702">
        <f t="shared" si="10"/>
        <v>100</v>
      </c>
      <c r="V44" s="701" t="s">
        <v>14</v>
      </c>
      <c r="W44" s="702">
        <f t="shared" si="11"/>
        <v>100</v>
      </c>
      <c r="X44" s="703"/>
      <c r="Y44" s="3701"/>
      <c r="Z44" s="52">
        <f t="shared" si="12"/>
        <v>111</v>
      </c>
      <c r="AA44" s="704">
        <f t="shared" si="13"/>
        <v>1</v>
      </c>
      <c r="AB44" s="704">
        <f t="shared" si="14"/>
        <v>1</v>
      </c>
      <c r="AC44" s="704">
        <f t="shared" si="1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9"/>
      <c r="Q45" s="1352">
        <f t="shared" si="8"/>
        <v>111</v>
      </c>
      <c r="R45" s="705" t="s">
        <v>14</v>
      </c>
      <c r="S45" s="706">
        <f t="shared" si="9"/>
        <v>100</v>
      </c>
      <c r="T45" s="705" t="s">
        <v>14</v>
      </c>
      <c r="U45" s="706">
        <f t="shared" si="10"/>
        <v>100</v>
      </c>
      <c r="V45" s="705" t="s">
        <v>14</v>
      </c>
      <c r="W45" s="706">
        <f t="shared" si="11"/>
        <v>100</v>
      </c>
      <c r="X45" s="1355"/>
      <c r="Y45" s="3701"/>
      <c r="Z45" s="1356">
        <f t="shared" si="12"/>
        <v>111</v>
      </c>
      <c r="AA45" s="1353">
        <f t="shared" si="13"/>
        <v>1</v>
      </c>
      <c r="AB45" s="1353">
        <f t="shared" si="14"/>
        <v>1</v>
      </c>
      <c r="AC45" s="1353">
        <f t="shared" si="1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0"/>
      <c r="Q46" s="1352">
        <f t="shared" si="8"/>
        <v>111</v>
      </c>
      <c r="R46" s="705" t="s">
        <v>14</v>
      </c>
      <c r="S46" s="706">
        <f t="shared" si="9"/>
        <v>100</v>
      </c>
      <c r="T46" s="705" t="s">
        <v>14</v>
      </c>
      <c r="U46" s="706">
        <f t="shared" si="10"/>
        <v>100</v>
      </c>
      <c r="V46" s="705" t="s">
        <v>14</v>
      </c>
      <c r="W46" s="706">
        <f t="shared" si="11"/>
        <v>100</v>
      </c>
      <c r="X46" s="1355"/>
      <c r="Y46" s="3702"/>
      <c r="Z46" s="1356">
        <f t="shared" si="12"/>
        <v>111</v>
      </c>
      <c r="AA46" s="1353">
        <f t="shared" si="13"/>
        <v>1</v>
      </c>
      <c r="AB46" s="1353">
        <f t="shared" si="14"/>
        <v>1</v>
      </c>
      <c r="AC46" s="1353">
        <f t="shared" si="15"/>
        <v>1</v>
      </c>
    </row>
    <row r="47" spans="1:29" ht="15">
      <c r="A47" s="430" t="s">
        <v>1708</v>
      </c>
      <c r="B47" s="431"/>
      <c r="C47" s="1154" t="s">
        <v>0</v>
      </c>
      <c r="D47" s="1155"/>
      <c r="E47" s="1156">
        <f>案例!C2</f>
        <v>18942</v>
      </c>
      <c r="F47" s="1157"/>
      <c r="G47" s="1158">
        <f>案例!C3</f>
        <v>21590</v>
      </c>
      <c r="H47" s="1159"/>
      <c r="I47" s="1156">
        <f>案例!C4</f>
        <v>20000</v>
      </c>
      <c r="J47" s="1159"/>
      <c r="K47" s="714"/>
      <c r="L47" s="2720"/>
      <c r="M47" s="2721"/>
      <c r="N47" s="2712"/>
      <c r="O47" s="2721"/>
      <c r="P47" s="3694" t="str">
        <f>A47</f>
        <v>成交单价（元/平方米）</v>
      </c>
      <c r="Q47" s="3694"/>
      <c r="R47" s="3725">
        <f>E47</f>
        <v>18942</v>
      </c>
      <c r="S47" s="3725"/>
      <c r="T47" s="3725">
        <f>G47</f>
        <v>21590</v>
      </c>
      <c r="U47" s="3725"/>
      <c r="V47" s="3725">
        <f>I47</f>
        <v>20000</v>
      </c>
      <c r="W47" s="3725"/>
      <c r="X47" s="690"/>
      <c r="Y47" s="712"/>
      <c r="Z47" s="690"/>
      <c r="AA47" s="690"/>
      <c r="AB47" s="690"/>
      <c r="AC47" s="690"/>
    </row>
    <row r="48" spans="1:29" ht="15.75" thickBot="1">
      <c r="A48" s="437" t="s">
        <v>1793</v>
      </c>
      <c r="B48" s="438"/>
      <c r="C48" s="1160">
        <f>R49</f>
        <v>19006</v>
      </c>
      <c r="D48" s="2317" t="s">
        <v>2138</v>
      </c>
      <c r="E48" s="1161">
        <f>R48</f>
        <v>17678</v>
      </c>
      <c r="F48" s="2318"/>
      <c r="G48" s="1160">
        <f>T48</f>
        <v>21189</v>
      </c>
      <c r="H48" s="2318"/>
      <c r="I48" s="1161">
        <f>V48</f>
        <v>18151</v>
      </c>
      <c r="J48" s="2318"/>
      <c r="K48" s="2320">
        <f>F48+H48+J48</f>
        <v>0</v>
      </c>
      <c r="L48" s="2720"/>
      <c r="M48" s="2721"/>
      <c r="N48" s="2712"/>
      <c r="O48" s="2721"/>
      <c r="P48" s="3694" t="str">
        <f>A48</f>
        <v>比较价值（元/平方米）</v>
      </c>
      <c r="Q48" s="3694"/>
      <c r="R48" s="3695">
        <f>IF(F1="售价",ROUND(PRODUCT(R47,AA7:AA46),0),ROUND(PRODUCT(R47,AA7:AA46),1))</f>
        <v>17678</v>
      </c>
      <c r="S48" s="3695"/>
      <c r="T48" s="3695">
        <f>IF(F1="售价",ROUND(PRODUCT(T47,AB7:AB46),0),ROUND(PRODUCT(T47,AB7:AB46),1))</f>
        <v>21189</v>
      </c>
      <c r="U48" s="3695"/>
      <c r="V48" s="3695">
        <f>IF(F1="售价",ROUND(PRODUCT(V47,AC7:AC46),0),ROUND(PRODUCT(V47,AC7:AC46),1))</f>
        <v>18151</v>
      </c>
      <c r="W48" s="3695"/>
      <c r="X48" s="690"/>
      <c r="Y48" s="690"/>
      <c r="Z48" s="690"/>
      <c r="AA48" s="690"/>
      <c r="AB48" s="690"/>
      <c r="AC48" s="690"/>
    </row>
    <row r="49" spans="1:29" ht="15.75" thickBot="1">
      <c r="A49" s="441" t="s">
        <v>1794</v>
      </c>
      <c r="B49" s="442"/>
      <c r="C49" s="1163">
        <f>R49</f>
        <v>19006</v>
      </c>
      <c r="D49" s="1163"/>
      <c r="E49" s="1163"/>
      <c r="F49" s="1163"/>
      <c r="G49" s="1163"/>
      <c r="H49" s="1163"/>
      <c r="I49" s="1163"/>
      <c r="J49" s="1163"/>
      <c r="K49" s="715"/>
      <c r="L49" s="2720"/>
      <c r="M49" s="2721"/>
      <c r="N49" s="2712"/>
      <c r="O49" s="2721"/>
      <c r="P49" s="3691" t="str">
        <f>A49</f>
        <v>估价对象XX用房的比较价值（楼面单价，元/平方米）</v>
      </c>
      <c r="Q49" s="3692"/>
      <c r="R49" s="3693">
        <f>IF(F1="售价",ROUND(IF(D48="简单平均",AVERAGE(R48:V48),R48*F48+T48*H48+V48*J48),0),ROUND(IF(D48="简单平均",AVERAGE(R48:V48),R48*F48+T48*H48+V48*J48),1))</f>
        <v>19006</v>
      </c>
      <c r="S49" s="3693"/>
      <c r="T49" s="3693"/>
      <c r="U49" s="3693"/>
      <c r="V49" s="3693"/>
      <c r="W49" s="369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7.1501301052155242E-2</v>
      </c>
      <c r="F52" s="449" t="str">
        <f>IF(OR(E52&gt;=0.3,E52&lt;=-0.3),"超过30%","")</f>
        <v/>
      </c>
      <c r="G52" s="448">
        <f>IF(G47&lt;G48,G48/G47-1,G47/G48-1)</f>
        <v>1.8924913870404403E-2</v>
      </c>
      <c r="H52" s="449" t="str">
        <f>IF(OR(G52&gt;=0.3,G52&lt;=-0.3),"超过30%","")</f>
        <v/>
      </c>
      <c r="I52" s="448">
        <f>IF(I47&lt;I48,I48/I47-1,I47/I48-1)</f>
        <v>0.10186766569335015</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0.19860843986876353</v>
      </c>
      <c r="F53" s="449" t="str">
        <f>IF(OR(E53&gt;=0.2,E53&lt;=-0.2),"超过20%","")</f>
        <v/>
      </c>
      <c r="G53" s="448">
        <f>IF(G48&lt;I48,I48/G48-1,G48/I48-1)</f>
        <v>0.16737369841881988</v>
      </c>
      <c r="H53" s="449" t="str">
        <f>IF(OR(G53&gt;=0.2,G53&lt;=-0.2),"超过20%","")</f>
        <v/>
      </c>
      <c r="I53" s="448">
        <f>IF(I48&lt;E48,E48/I48-1,I48/E48-1)</f>
        <v>2.6756420409548509E-2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0.13979516418540805</v>
      </c>
      <c r="F54" s="449" t="str">
        <f>IF(OR(E54&gt;=0.3,E54&lt;=-0.3),"超过30%","")</f>
        <v/>
      </c>
      <c r="G54" s="448">
        <f>IF(G47&lt;I47,I47/G47-1,G47/I47-1)</f>
        <v>7.9499999999999904E-2</v>
      </c>
      <c r="H54" s="449" t="str">
        <f>IF(OR(G54&gt;=0.3,G54&lt;=-0.3),"超过30%","")</f>
        <v/>
      </c>
      <c r="I54" s="448">
        <f>IF(I47&lt;E47,E47/I47-1,I47/E47-1)</f>
        <v>5.5854714391299742E-2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57" t="s">
        <v>3406</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103</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hidden="1"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hidden="1"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hidden="1"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hidden="1">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hidden="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hidden="1"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hidden="1"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hidden="1"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hidden="1"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hidden="1"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hidden="1"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99</v>
      </c>
      <c r="E85" s="493">
        <f>D85-$K23</f>
        <v>98</v>
      </c>
      <c r="F85" s="493">
        <f>E85-$K23</f>
        <v>97</v>
      </c>
      <c r="G85" s="493">
        <f>F85-$K23</f>
        <v>96</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58" t="s">
        <v>3407</v>
      </c>
      <c r="D86" s="3458" t="s">
        <v>3408</v>
      </c>
      <c r="E86" s="3458" t="s">
        <v>3410</v>
      </c>
      <c r="F86" s="3458" t="s">
        <v>3411</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58" t="s">
        <v>3412</v>
      </c>
      <c r="D88" s="3458" t="s">
        <v>3413</v>
      </c>
      <c r="E88" s="3458" t="s">
        <v>3415</v>
      </c>
      <c r="F88" s="3459" t="s">
        <v>3416</v>
      </c>
      <c r="G88" s="3458" t="s">
        <v>3417</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58" t="s">
        <v>3418</v>
      </c>
      <c r="D90" s="3458" t="s">
        <v>3420</v>
      </c>
      <c r="E90" s="3458" t="s">
        <v>3415</v>
      </c>
      <c r="F90" s="3458" t="s">
        <v>3421</v>
      </c>
      <c r="G90" s="3458" t="s">
        <v>3422</v>
      </c>
      <c r="H90" s="504"/>
      <c r="I90" s="504"/>
      <c r="J90" s="504"/>
      <c r="K90" s="504"/>
      <c r="L90" s="505"/>
      <c r="M90" s="506"/>
      <c r="N90" s="2751"/>
      <c r="O90" s="3474"/>
      <c r="P90" s="2775"/>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96</v>
      </c>
      <c r="E91" s="493">
        <f t="shared" ref="E91:M91" si="22">D91-$K27</f>
        <v>92</v>
      </c>
      <c r="F91" s="493">
        <f t="shared" si="22"/>
        <v>88</v>
      </c>
      <c r="G91" s="493">
        <f t="shared" si="22"/>
        <v>84</v>
      </c>
      <c r="H91" s="493">
        <f t="shared" si="22"/>
        <v>80</v>
      </c>
      <c r="I91" s="493">
        <f t="shared" si="22"/>
        <v>76</v>
      </c>
      <c r="J91" s="493">
        <f t="shared" si="22"/>
        <v>72</v>
      </c>
      <c r="K91" s="493">
        <f t="shared" si="22"/>
        <v>68</v>
      </c>
      <c r="L91" s="493">
        <f t="shared" si="22"/>
        <v>64</v>
      </c>
      <c r="M91" s="493">
        <f t="shared" si="22"/>
        <v>60</v>
      </c>
      <c r="N91" s="2751"/>
      <c r="O91" s="3474"/>
      <c r="P91" s="2775"/>
      <c r="Q91" s="2742"/>
      <c r="R91" s="2743"/>
      <c r="S91" s="2743"/>
      <c r="T91" s="2743"/>
      <c r="U91" s="2743"/>
      <c r="V91" s="2743"/>
      <c r="W91" s="2743"/>
      <c r="X91" s="2743"/>
      <c r="Y91" s="2743"/>
      <c r="Z91" s="2743"/>
      <c r="AA91" s="2743"/>
      <c r="AB91" s="2743"/>
      <c r="AC91" s="2743"/>
    </row>
    <row r="92" spans="1:29" ht="15.75" thickTop="1">
      <c r="A92" s="483"/>
      <c r="B92" s="487" t="str">
        <f>B28</f>
        <v>楼层</v>
      </c>
      <c r="C92" s="3458" t="s">
        <v>3423</v>
      </c>
      <c r="D92" s="3458" t="s">
        <v>3424</v>
      </c>
      <c r="E92" s="3458" t="s">
        <v>3425</v>
      </c>
      <c r="F92" s="3458" t="s">
        <v>3461</v>
      </c>
      <c r="G92" s="3458"/>
      <c r="H92" s="3458"/>
      <c r="I92" s="503"/>
      <c r="J92" s="503"/>
      <c r="K92" s="503"/>
      <c r="L92" s="529"/>
      <c r="M92" s="530"/>
      <c r="O92" s="3475"/>
      <c r="P92" s="3472"/>
      <c r="Q92" s="3472"/>
      <c r="R92" s="2721"/>
      <c r="S92" s="2721"/>
      <c r="T92" s="2721"/>
      <c r="U92" s="2721"/>
      <c r="V92" s="2721"/>
      <c r="W92" s="2721"/>
      <c r="X92" s="2721"/>
      <c r="Y92" s="2721"/>
      <c r="Z92" s="2721"/>
      <c r="AA92" s="2721"/>
      <c r="AB92" s="2721"/>
      <c r="AC92" s="2721"/>
    </row>
    <row r="93" spans="1:29" ht="15.75" thickBot="1">
      <c r="A93" s="483"/>
      <c r="B93" s="492"/>
      <c r="C93" s="485">
        <f>ROUND(案例!F4,1)</f>
        <v>133.30000000000001</v>
      </c>
      <c r="D93" s="485">
        <f>ROUND(案例!G4,1)</f>
        <v>113.3</v>
      </c>
      <c r="E93" s="485">
        <v>100</v>
      </c>
      <c r="F93" s="485">
        <f>ROUND(案例!G7,1)</f>
        <v>93.3</v>
      </c>
      <c r="G93" s="485"/>
      <c r="H93" s="485"/>
      <c r="I93" s="485"/>
      <c r="J93" s="485"/>
      <c r="K93" s="485"/>
      <c r="L93" s="485"/>
      <c r="M93" s="486"/>
      <c r="O93" s="3475"/>
      <c r="P93" s="2750"/>
      <c r="Q93" s="2750"/>
      <c r="R93" s="2721"/>
      <c r="S93" s="2721"/>
      <c r="T93" s="2721"/>
      <c r="U93" s="2721"/>
      <c r="V93" s="2721"/>
      <c r="W93" s="2721"/>
      <c r="X93" s="2721"/>
      <c r="Y93" s="2721"/>
      <c r="Z93" s="2721"/>
      <c r="AA93" s="2721"/>
      <c r="AB93" s="2721"/>
      <c r="AC93" s="2721"/>
    </row>
    <row r="94" spans="1:29" ht="16.5" hidden="1" thickTop="1" thickBot="1">
      <c r="A94" s="483"/>
      <c r="B94" s="487">
        <f>B29</f>
        <v>111</v>
      </c>
      <c r="C94" s="503"/>
      <c r="D94" s="503"/>
      <c r="E94" s="503"/>
      <c r="F94" s="503"/>
      <c r="G94" s="532"/>
      <c r="H94" s="532"/>
      <c r="I94" s="532"/>
      <c r="J94" s="532"/>
      <c r="K94" s="533"/>
      <c r="L94" s="534"/>
      <c r="M94" s="535"/>
      <c r="O94" s="3475"/>
      <c r="P94" s="2749"/>
      <c r="Q94" s="2749"/>
      <c r="R94" s="2721"/>
      <c r="S94" s="2721"/>
      <c r="T94" s="2721"/>
      <c r="U94" s="2721"/>
      <c r="V94" s="2721"/>
      <c r="W94" s="2721"/>
      <c r="X94" s="2721"/>
      <c r="Y94" s="2721"/>
      <c r="Z94" s="2721"/>
      <c r="AA94" s="2721"/>
      <c r="AB94" s="2721"/>
      <c r="AC94" s="2721"/>
    </row>
    <row r="95" spans="1:29" ht="16.5" hidden="1" thickTop="1" thickBot="1">
      <c r="A95" s="483"/>
      <c r="B95" s="492"/>
      <c r="C95" s="509"/>
      <c r="D95" s="485"/>
      <c r="E95" s="485"/>
      <c r="F95" s="485"/>
      <c r="G95" s="485"/>
      <c r="H95" s="485"/>
      <c r="I95" s="485"/>
      <c r="J95" s="485"/>
      <c r="K95" s="485"/>
      <c r="L95" s="485"/>
      <c r="M95" s="486"/>
      <c r="O95" s="3475"/>
      <c r="P95" s="2750"/>
      <c r="Q95" s="2750"/>
      <c r="R95" s="2721"/>
      <c r="S95" s="2721"/>
      <c r="T95" s="2721"/>
      <c r="U95" s="2721"/>
      <c r="V95" s="2721"/>
      <c r="W95" s="2721"/>
      <c r="X95" s="2721"/>
      <c r="Y95" s="2721"/>
      <c r="Z95" s="2721"/>
      <c r="AA95" s="2721"/>
      <c r="AB95" s="2721"/>
      <c r="AC95" s="2721"/>
    </row>
    <row r="96" spans="1:29" ht="16.5" hidden="1" thickTop="1" thickBot="1">
      <c r="A96" s="483"/>
      <c r="B96" s="487">
        <f>B30</f>
        <v>111</v>
      </c>
      <c r="C96" s="503"/>
      <c r="D96" s="503"/>
      <c r="E96" s="503"/>
      <c r="F96" s="503"/>
      <c r="G96" s="532"/>
      <c r="H96" s="532"/>
      <c r="I96" s="532"/>
      <c r="J96" s="532"/>
      <c r="K96" s="533"/>
      <c r="L96" s="534"/>
      <c r="M96" s="535"/>
      <c r="O96" s="3475"/>
      <c r="P96" s="2749"/>
      <c r="Q96" s="2749"/>
      <c r="R96" s="2721"/>
      <c r="S96" s="2721"/>
      <c r="T96" s="2721"/>
      <c r="U96" s="2721"/>
      <c r="V96" s="2721"/>
      <c r="W96" s="2721"/>
      <c r="X96" s="2721"/>
      <c r="Y96" s="2721"/>
      <c r="Z96" s="2721"/>
      <c r="AA96" s="2721"/>
      <c r="AB96" s="2721"/>
      <c r="AC96" s="2721"/>
    </row>
    <row r="97" spans="1:29" ht="16.5" hidden="1" thickTop="1" thickBot="1">
      <c r="A97" s="483"/>
      <c r="B97" s="492"/>
      <c r="C97" s="509"/>
      <c r="D97" s="485"/>
      <c r="E97" s="485"/>
      <c r="F97" s="485"/>
      <c r="G97" s="485"/>
      <c r="H97" s="485"/>
      <c r="I97" s="485"/>
      <c r="J97" s="485"/>
      <c r="K97" s="485"/>
      <c r="L97" s="485"/>
      <c r="M97" s="486"/>
      <c r="O97" s="3475"/>
      <c r="P97" s="2750"/>
      <c r="Q97" s="2750"/>
      <c r="R97" s="2721"/>
      <c r="S97" s="2721"/>
      <c r="T97" s="2721"/>
      <c r="U97" s="2721"/>
      <c r="V97" s="2721"/>
      <c r="W97" s="2721"/>
      <c r="X97" s="2721"/>
      <c r="Y97" s="2721"/>
      <c r="Z97" s="2721"/>
      <c r="AA97" s="2721"/>
      <c r="AB97" s="2721"/>
      <c r="AC97" s="2721"/>
    </row>
    <row r="98" spans="1:29" ht="16.5" hidden="1" thickTop="1" thickBot="1">
      <c r="A98" s="483"/>
      <c r="B98" s="495">
        <f>B31</f>
        <v>111</v>
      </c>
      <c r="C98" s="503"/>
      <c r="D98" s="503"/>
      <c r="E98" s="503"/>
      <c r="F98" s="503"/>
      <c r="G98" s="536"/>
      <c r="H98" s="536"/>
      <c r="I98" s="536"/>
      <c r="J98" s="536"/>
      <c r="K98" s="537"/>
      <c r="L98" s="538"/>
      <c r="M98" s="539"/>
      <c r="O98" s="3475"/>
      <c r="P98" s="2749"/>
      <c r="Q98" s="2749"/>
      <c r="R98" s="2721"/>
      <c r="S98" s="2721"/>
      <c r="T98" s="2721"/>
      <c r="U98" s="2721"/>
      <c r="V98" s="2721"/>
      <c r="W98" s="2721"/>
      <c r="X98" s="2721"/>
      <c r="Y98" s="2721"/>
      <c r="Z98" s="2721"/>
      <c r="AA98" s="2721"/>
      <c r="AB98" s="2721"/>
      <c r="AC98" s="2721"/>
    </row>
    <row r="99" spans="1:29" ht="16.5" hidden="1" thickTop="1" thickBot="1">
      <c r="A99" s="1928"/>
      <c r="B99" s="518"/>
      <c r="C99" s="519"/>
      <c r="D99" s="519"/>
      <c r="E99" s="519"/>
      <c r="F99" s="519"/>
      <c r="G99" s="540"/>
      <c r="H99" s="540"/>
      <c r="I99" s="540"/>
      <c r="J99" s="540"/>
      <c r="K99" s="540"/>
      <c r="L99" s="540"/>
      <c r="M99" s="541"/>
      <c r="O99" s="3475"/>
      <c r="P99" s="2750"/>
      <c r="Q99" s="2750"/>
      <c r="R99" s="2721"/>
      <c r="S99" s="2721"/>
      <c r="T99" s="2721"/>
      <c r="U99" s="2721"/>
      <c r="V99" s="2721"/>
      <c r="W99" s="2721"/>
      <c r="X99" s="2721"/>
      <c r="Y99" s="2721"/>
      <c r="Z99" s="2721"/>
      <c r="AA99" s="2721"/>
      <c r="AB99" s="2721"/>
      <c r="AC99" s="2721"/>
    </row>
    <row r="100" spans="1:29" ht="15" thickTop="1">
      <c r="A100" s="476" t="s">
        <v>1694</v>
      </c>
      <c r="B100" s="477" t="s">
        <v>1805</v>
      </c>
      <c r="C100" s="3460" t="s">
        <v>3426</v>
      </c>
      <c r="D100" s="3460" t="s">
        <v>3427</v>
      </c>
      <c r="E100" s="3460" t="s">
        <v>3429</v>
      </c>
      <c r="F100" s="479"/>
      <c r="G100" s="479"/>
      <c r="H100" s="479"/>
      <c r="I100" s="479"/>
      <c r="J100" s="479"/>
      <c r="K100" s="480"/>
      <c r="L100" s="481"/>
      <c r="M100" s="482"/>
      <c r="O100" s="3475"/>
      <c r="P100" s="2749"/>
      <c r="Q100" s="2749"/>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O101" s="3475"/>
      <c r="P101" s="3473"/>
      <c r="Q101" s="3473"/>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0(含)-500</v>
      </c>
      <c r="D102" s="527" t="str">
        <f>D103&amp;"(含)"&amp;"-"&amp;E103</f>
        <v>500(含)-1000</v>
      </c>
      <c r="E102" s="527" t="str">
        <f>E103&amp;"(含)"&amp;"-"&amp;F103</f>
        <v>1000(含)-1500</v>
      </c>
      <c r="F102" s="527" t="str">
        <f>F103&amp;"(含)"&amp;"-"&amp;G103</f>
        <v>1500(含)-2000</v>
      </c>
      <c r="G102" s="527" t="str">
        <f>G103&amp;"(含)"&amp;"-"&amp;H103</f>
        <v>2000(含)-2500</v>
      </c>
      <c r="H102" s="527" t="str">
        <f t="shared" ref="H102" si="24">H103&amp;"(含)"&amp;"-"&amp;I103</f>
        <v>2500(含)-3000</v>
      </c>
      <c r="I102" s="527" t="str">
        <f t="shared" ref="I102:L102" si="25">I103&amp;"(含)"&amp;"-"&amp;J103</f>
        <v>3000(含)-</v>
      </c>
      <c r="J102" s="527" t="str">
        <f t="shared" si="25"/>
        <v>(含)-</v>
      </c>
      <c r="K102" s="527" t="str">
        <f t="shared" si="25"/>
        <v>(含)-</v>
      </c>
      <c r="L102" s="527" t="str">
        <f t="shared" si="25"/>
        <v>(含)-</v>
      </c>
      <c r="M102" s="570" t="e">
        <f>M103&amp;"(含)"&amp;"-"&amp;#REF!</f>
        <v>#REF!</v>
      </c>
      <c r="O102" s="3475"/>
      <c r="P102" s="2748"/>
      <c r="Q102" s="2748"/>
      <c r="R102" s="2721"/>
      <c r="S102" s="2721"/>
      <c r="T102" s="2721"/>
      <c r="U102" s="2721"/>
      <c r="V102" s="2721"/>
      <c r="W102" s="2721"/>
      <c r="X102" s="2721"/>
      <c r="Y102" s="2721"/>
      <c r="Z102" s="2721"/>
      <c r="AA102" s="2721"/>
      <c r="AB102" s="2721"/>
      <c r="AC102" s="2721"/>
    </row>
    <row r="103" spans="1:29" s="422" customFormat="1">
      <c r="A103" s="542"/>
      <c r="B103" s="543"/>
      <c r="C103" s="544">
        <v>0</v>
      </c>
      <c r="D103" s="544">
        <v>500</v>
      </c>
      <c r="E103" s="544">
        <v>1000</v>
      </c>
      <c r="F103" s="544">
        <v>1500</v>
      </c>
      <c r="G103" s="544">
        <v>2000</v>
      </c>
      <c r="H103" s="544">
        <v>2500</v>
      </c>
      <c r="I103" s="544">
        <v>3000</v>
      </c>
      <c r="J103" s="545"/>
      <c r="K103" s="545"/>
      <c r="L103" s="546"/>
      <c r="M103" s="547"/>
      <c r="O103" s="3476"/>
      <c r="P103" s="2751"/>
      <c r="Q103" s="2751"/>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I104" si="26">D104-1</f>
        <v>98</v>
      </c>
      <c r="F104" s="485">
        <f t="shared" si="26"/>
        <v>97</v>
      </c>
      <c r="G104" s="485">
        <f t="shared" si="26"/>
        <v>96</v>
      </c>
      <c r="H104" s="485">
        <f t="shared" si="26"/>
        <v>95</v>
      </c>
      <c r="I104" s="485">
        <f t="shared" si="26"/>
        <v>94</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58" t="s">
        <v>3430</v>
      </c>
      <c r="D105" s="3458" t="s">
        <v>3431</v>
      </c>
      <c r="E105" s="3461" t="s">
        <v>3433</v>
      </c>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58" t="s">
        <v>3435</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8">C108-$K35</f>
        <v>99</v>
      </c>
      <c r="E108" s="493">
        <f t="shared" si="28"/>
        <v>98</v>
      </c>
      <c r="F108" s="493">
        <f t="shared" si="28"/>
        <v>97</v>
      </c>
      <c r="G108" s="493">
        <f t="shared" si="28"/>
        <v>96</v>
      </c>
      <c r="H108" s="493">
        <f t="shared" si="28"/>
        <v>95</v>
      </c>
      <c r="I108" s="493">
        <f t="shared" si="28"/>
        <v>94</v>
      </c>
      <c r="J108" s="493">
        <f t="shared" si="28"/>
        <v>93</v>
      </c>
      <c r="K108" s="493">
        <f t="shared" si="28"/>
        <v>92</v>
      </c>
      <c r="L108" s="493">
        <f t="shared" si="28"/>
        <v>91</v>
      </c>
      <c r="M108" s="494">
        <f t="shared" si="28"/>
        <v>90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458" t="s">
        <v>3436</v>
      </c>
      <c r="D112" s="3458" t="s">
        <v>3438</v>
      </c>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58" t="s">
        <v>3440</v>
      </c>
      <c r="D114" s="3458" t="s">
        <v>3442</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58" t="s">
        <v>3444</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hidden="1"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hidden="1"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1" t="s">
        <v>3445</v>
      </c>
      <c r="D120" s="3461" t="s">
        <v>3447</v>
      </c>
      <c r="E120" s="3461" t="s">
        <v>3415</v>
      </c>
      <c r="F120" s="3461" t="s">
        <v>3448</v>
      </c>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99</v>
      </c>
      <c r="E121" s="493">
        <f t="shared" ref="E121:M121" si="32">D121-$K41</f>
        <v>98</v>
      </c>
      <c r="F121" s="493">
        <f t="shared" si="32"/>
        <v>97</v>
      </c>
      <c r="G121" s="493">
        <f t="shared" si="32"/>
        <v>96</v>
      </c>
      <c r="H121" s="493">
        <f t="shared" si="32"/>
        <v>95</v>
      </c>
      <c r="I121" s="493">
        <f t="shared" si="32"/>
        <v>94</v>
      </c>
      <c r="J121" s="493">
        <f t="shared" si="32"/>
        <v>93</v>
      </c>
      <c r="K121" s="493">
        <f t="shared" si="32"/>
        <v>92</v>
      </c>
      <c r="L121" s="493">
        <f t="shared" si="32"/>
        <v>91</v>
      </c>
      <c r="M121" s="494">
        <f t="shared" si="32"/>
        <v>90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58" t="s">
        <v>3450</v>
      </c>
      <c r="D122" s="3458" t="s">
        <v>3435</v>
      </c>
      <c r="E122" s="3458" t="s">
        <v>3452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hidden="1"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hidden="1"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hidden="1"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hidden="1"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hidden="1"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hidden="1"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row r="132"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c r="F1" s="1879" t="s">
        <v>3464</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3.6</v>
      </c>
      <c r="C3" s="354" t="s">
        <v>1665</v>
      </c>
      <c r="D3" s="353">
        <f>IF(D1="",'数据-汇总表'!E3,SUMIF('数据-汇总表'!$C19:$C33,D1,'数据-汇总表'!$E19:$E33))</f>
        <v>843.77</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1666</v>
      </c>
      <c r="B4" s="356"/>
      <c r="C4" s="3709" t="s">
        <v>1667</v>
      </c>
      <c r="D4" s="3710"/>
      <c r="E4" s="3711" t="s">
        <v>1668</v>
      </c>
      <c r="F4" s="3712"/>
      <c r="G4" s="3709" t="s">
        <v>1669</v>
      </c>
      <c r="H4" s="3710"/>
      <c r="I4" s="3709" t="s">
        <v>1670</v>
      </c>
      <c r="J4" s="3710"/>
      <c r="K4" s="559" t="s">
        <v>1671</v>
      </c>
      <c r="L4" s="2711"/>
      <c r="M4" s="2712"/>
      <c r="N4" s="2712"/>
      <c r="O4" s="2712"/>
      <c r="P4" s="3713" t="s">
        <v>1672</v>
      </c>
      <c r="Q4" s="3714"/>
      <c r="R4" s="3719" t="s">
        <v>1668</v>
      </c>
      <c r="S4" s="3720"/>
      <c r="T4" s="3719" t="s">
        <v>1669</v>
      </c>
      <c r="U4" s="3720"/>
      <c r="V4" s="3725" t="s">
        <v>1670</v>
      </c>
      <c r="W4" s="3725"/>
      <c r="X4" s="3447"/>
      <c r="Y4" s="3719" t="s">
        <v>1672</v>
      </c>
      <c r="Z4" s="3720"/>
      <c r="AA4" s="3706" t="s">
        <v>1668</v>
      </c>
      <c r="AB4" s="3725" t="s">
        <v>1669</v>
      </c>
      <c r="AC4" s="3706" t="s">
        <v>1670</v>
      </c>
    </row>
    <row r="5" spans="1:29" ht="15">
      <c r="A5" s="358"/>
      <c r="B5" s="359"/>
      <c r="C5" s="3737" t="s">
        <v>3460</v>
      </c>
      <c r="D5" s="3729"/>
      <c r="E5" s="3735" t="str">
        <f>案例!A7</f>
        <v>天通东苑二区</v>
      </c>
      <c r="F5" s="3736"/>
      <c r="G5" s="3728" t="str">
        <f>案例!A8</f>
        <v>天居园</v>
      </c>
      <c r="H5" s="3729"/>
      <c r="I5" s="3728" t="str">
        <f>案例!A9</f>
        <v>北苑</v>
      </c>
      <c r="J5" s="3729"/>
      <c r="K5" s="559"/>
      <c r="L5" s="2711"/>
      <c r="M5" s="2712"/>
      <c r="N5" s="2712"/>
      <c r="O5" s="2712"/>
      <c r="P5" s="3715"/>
      <c r="Q5" s="3716"/>
      <c r="R5" s="3721"/>
      <c r="S5" s="3722"/>
      <c r="T5" s="3721"/>
      <c r="U5" s="3722"/>
      <c r="V5" s="3725"/>
      <c r="W5" s="3725"/>
      <c r="X5" s="3447"/>
      <c r="Y5" s="3721"/>
      <c r="Z5" s="3722"/>
      <c r="AA5" s="3707"/>
      <c r="AB5" s="3725"/>
      <c r="AC5" s="3707"/>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7"/>
      <c r="Q6" s="3718"/>
      <c r="R6" s="3721"/>
      <c r="S6" s="3722"/>
      <c r="T6" s="3723"/>
      <c r="U6" s="3724"/>
      <c r="V6" s="3725"/>
      <c r="W6" s="3725"/>
      <c r="X6" s="3447"/>
      <c r="Y6" s="3723"/>
      <c r="Z6" s="3724"/>
      <c r="AA6" s="3708"/>
      <c r="AB6" s="3725"/>
      <c r="AC6" s="3708"/>
    </row>
    <row r="7" spans="1:29" s="108" customFormat="1" ht="15.75" thickBot="1">
      <c r="A7" s="362" t="s">
        <v>1679</v>
      </c>
      <c r="B7" s="363"/>
      <c r="C7" s="364">
        <f>'数据-取费表'!B2</f>
        <v>45469</v>
      </c>
      <c r="D7" s="365">
        <v>100</v>
      </c>
      <c r="E7" s="366">
        <v>45469</v>
      </c>
      <c r="F7" s="367">
        <f>SUMIF(58:58,YEAR(E7)&amp;"-"&amp;MONTH(E7),59:59)</f>
        <v>100</v>
      </c>
      <c r="G7" s="366">
        <v>45469</v>
      </c>
      <c r="H7" s="365">
        <f>SUMIF(58:58,YEAR(G7)&amp;"-"&amp;MONTH(G7),59:59)</f>
        <v>100</v>
      </c>
      <c r="I7" s="366">
        <v>45469</v>
      </c>
      <c r="J7" s="365">
        <f>SUMIF(58:58,YEAR(I7)&amp;"-"&amp;MONTH(I7),59:59)</f>
        <v>100</v>
      </c>
      <c r="K7" s="560"/>
      <c r="L7" s="2713"/>
      <c r="M7" s="2714"/>
      <c r="N7" s="2714"/>
      <c r="O7" s="2714"/>
      <c r="P7" s="3730" t="s">
        <v>1680</v>
      </c>
      <c r="Q7" s="3732"/>
      <c r="R7" s="701" t="s">
        <v>14</v>
      </c>
      <c r="S7" s="702">
        <f t="shared" ref="S7:S15" si="0">F7</f>
        <v>100</v>
      </c>
      <c r="T7" s="701" t="s">
        <v>14</v>
      </c>
      <c r="U7" s="702">
        <f t="shared" ref="U7:U15" si="1">H7</f>
        <v>100</v>
      </c>
      <c r="V7" s="701" t="s">
        <v>14</v>
      </c>
      <c r="W7" s="702">
        <f t="shared" ref="W7:W15" si="2">J7</f>
        <v>100</v>
      </c>
      <c r="X7" s="703"/>
      <c r="Y7" s="3730" t="s">
        <v>1680</v>
      </c>
      <c r="Z7" s="3731"/>
      <c r="AA7" s="704">
        <f>D7/F7</f>
        <v>1</v>
      </c>
      <c r="AB7" s="704">
        <f>D7/H7</f>
        <v>1</v>
      </c>
      <c r="AC7" s="704">
        <f>D7/J7</f>
        <v>1</v>
      </c>
    </row>
    <row r="8" spans="1:29" s="108" customFormat="1" ht="15.75" thickBot="1">
      <c r="A8" s="362" t="s">
        <v>1681</v>
      </c>
      <c r="B8" s="363"/>
      <c r="C8" s="368" t="s">
        <v>3404</v>
      </c>
      <c r="D8" s="365">
        <v>100</v>
      </c>
      <c r="E8" s="368" t="s">
        <v>3405</v>
      </c>
      <c r="F8" s="367">
        <f>SUMIF(61:61,E8,62:62)-SUMIF(61:61,C8,62:62)+100</f>
        <v>104</v>
      </c>
      <c r="G8" s="368" t="s">
        <v>3405</v>
      </c>
      <c r="H8" s="365">
        <f>SUMIF(61:61,G8,62:62)-SUMIF(61:61,C8,62:62)+100</f>
        <v>104</v>
      </c>
      <c r="I8" s="368" t="s">
        <v>3405</v>
      </c>
      <c r="J8" s="365">
        <f>SUMIF(61:61,I8,62:62)-SUMIF(61:61,C8,62:62)+100</f>
        <v>104</v>
      </c>
      <c r="K8" s="560"/>
      <c r="L8" s="2713"/>
      <c r="M8" s="2714"/>
      <c r="N8" s="2714"/>
      <c r="O8" s="2714"/>
      <c r="P8" s="3730" t="s">
        <v>1683</v>
      </c>
      <c r="Q8" s="3731"/>
      <c r="R8" s="701" t="s">
        <v>14</v>
      </c>
      <c r="S8" s="702">
        <f t="shared" si="0"/>
        <v>104</v>
      </c>
      <c r="T8" s="701" t="s">
        <v>14</v>
      </c>
      <c r="U8" s="702">
        <f t="shared" si="1"/>
        <v>104</v>
      </c>
      <c r="V8" s="701" t="s">
        <v>14</v>
      </c>
      <c r="W8" s="702">
        <f t="shared" si="2"/>
        <v>104</v>
      </c>
      <c r="X8" s="703"/>
      <c r="Y8" s="3730" t="s">
        <v>1683</v>
      </c>
      <c r="Z8" s="3731"/>
      <c r="AA8" s="704">
        <f t="shared" ref="AA8:AA46" si="3">D8/F8</f>
        <v>0.96153846153846156</v>
      </c>
      <c r="AB8" s="704">
        <f t="shared" ref="AB8:AB46" si="4">D8/H8</f>
        <v>0.96153846153846156</v>
      </c>
      <c r="AC8" s="704">
        <f t="shared" ref="AC8:AC46" si="5">D8/J8</f>
        <v>0.96153846153846156</v>
      </c>
    </row>
    <row r="9" spans="1:29" s="108" customFormat="1" ht="15" thickBot="1">
      <c r="A9" s="369" t="s">
        <v>1684</v>
      </c>
      <c r="B9" s="63" t="s">
        <v>1685</v>
      </c>
      <c r="C9" s="3462" t="s">
        <v>3453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05" t="s">
        <v>1686</v>
      </c>
      <c r="Q9" s="3446" t="str">
        <f t="shared" ref="Q9:Q15" si="6">B9</f>
        <v>用途</v>
      </c>
      <c r="R9" s="701" t="s">
        <v>14</v>
      </c>
      <c r="S9" s="702">
        <f t="shared" si="0"/>
        <v>100</v>
      </c>
      <c r="T9" s="701" t="s">
        <v>14</v>
      </c>
      <c r="U9" s="702">
        <f t="shared" si="1"/>
        <v>100</v>
      </c>
      <c r="V9" s="701" t="s">
        <v>14</v>
      </c>
      <c r="W9" s="702">
        <f t="shared" si="2"/>
        <v>100</v>
      </c>
      <c r="X9" s="703"/>
      <c r="Y9" s="3569" t="s">
        <v>1687</v>
      </c>
      <c r="Z9" s="3445" t="str">
        <f t="shared" ref="Z9:Z15" si="7">Q9</f>
        <v>用途</v>
      </c>
      <c r="AA9" s="704">
        <f t="shared" si="3"/>
        <v>1</v>
      </c>
      <c r="AB9" s="704">
        <f t="shared" si="4"/>
        <v>1</v>
      </c>
      <c r="AC9" s="704">
        <f t="shared" si="5"/>
        <v>1</v>
      </c>
    </row>
    <row r="10" spans="1:29" s="378" customFormat="1" ht="27.75" hidden="1" thickBot="1">
      <c r="A10" s="374"/>
      <c r="B10" s="375" t="s">
        <v>1688</v>
      </c>
      <c r="C10" s="3430"/>
      <c r="D10" s="127">
        <v>100</v>
      </c>
      <c r="E10" s="3431"/>
      <c r="F10" s="376">
        <f>SUMIF(65:65,E10,66:66)-SUMIF(65:65,C10,66:66)+100</f>
        <v>100</v>
      </c>
      <c r="G10" s="3431"/>
      <c r="H10" s="127">
        <f>SUMIF(65:65,G10,66:66)-SUMIF(65:65,C10,66:66)+100</f>
        <v>100</v>
      </c>
      <c r="I10" s="3431"/>
      <c r="J10" s="127">
        <f>SUMIF(65:65,I10,66:66)-SUMIF(65:65,C10,66:66)+100</f>
        <v>100</v>
      </c>
      <c r="K10" s="560"/>
      <c r="L10" s="2715"/>
      <c r="M10" s="2716"/>
      <c r="N10" s="2716"/>
      <c r="O10" s="2716"/>
      <c r="P10" s="3705"/>
      <c r="Q10" s="3446" t="str">
        <f t="shared" si="6"/>
        <v>土地使用年限（年）</v>
      </c>
      <c r="R10" s="701" t="s">
        <v>14</v>
      </c>
      <c r="S10" s="702">
        <f t="shared" si="0"/>
        <v>100</v>
      </c>
      <c r="T10" s="701" t="s">
        <v>14</v>
      </c>
      <c r="U10" s="702">
        <f t="shared" si="1"/>
        <v>100</v>
      </c>
      <c r="V10" s="701" t="s">
        <v>14</v>
      </c>
      <c r="W10" s="702">
        <f t="shared" si="2"/>
        <v>100</v>
      </c>
      <c r="X10" s="703"/>
      <c r="Y10" s="3569"/>
      <c r="Z10" s="3445"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1"/>
      <c r="H11" s="127">
        <f>LOOKUP(G11,68:68,69:69)-LOOKUP(C11,68:68,69:69)+100</f>
        <v>100</v>
      </c>
      <c r="I11" s="381"/>
      <c r="J11" s="127">
        <f>LOOKUP(I11,68:68,69:69)-LOOKUP(C11,68:68,69:69)+100</f>
        <v>100</v>
      </c>
      <c r="K11" s="561"/>
      <c r="L11" s="2717"/>
      <c r="M11" s="2712"/>
      <c r="N11" s="2712"/>
      <c r="O11" s="2712"/>
      <c r="P11" s="3705"/>
      <c r="Q11" s="3446" t="str">
        <f t="shared" si="6"/>
        <v>容积率</v>
      </c>
      <c r="R11" s="701" t="s">
        <v>14</v>
      </c>
      <c r="S11" s="702">
        <f t="shared" si="0"/>
        <v>100</v>
      </c>
      <c r="T11" s="701" t="s">
        <v>14</v>
      </c>
      <c r="U11" s="702">
        <f t="shared" si="1"/>
        <v>100</v>
      </c>
      <c r="V11" s="701" t="s">
        <v>14</v>
      </c>
      <c r="W11" s="702">
        <f t="shared" si="2"/>
        <v>100</v>
      </c>
      <c r="X11" s="703"/>
      <c r="Y11" s="3569"/>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5"/>
      <c r="Q12" s="3446">
        <f t="shared" si="6"/>
        <v>111</v>
      </c>
      <c r="R12" s="701" t="s">
        <v>14</v>
      </c>
      <c r="S12" s="702">
        <f t="shared" si="0"/>
        <v>100</v>
      </c>
      <c r="T12" s="701" t="s">
        <v>14</v>
      </c>
      <c r="U12" s="702">
        <f t="shared" si="1"/>
        <v>100</v>
      </c>
      <c r="V12" s="701" t="s">
        <v>14</v>
      </c>
      <c r="W12" s="702">
        <f t="shared" si="2"/>
        <v>100</v>
      </c>
      <c r="X12" s="703"/>
      <c r="Y12" s="3569"/>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5"/>
      <c r="Q13" s="3446">
        <f t="shared" si="6"/>
        <v>111</v>
      </c>
      <c r="R13" s="701" t="s">
        <v>14</v>
      </c>
      <c r="S13" s="702">
        <f t="shared" si="0"/>
        <v>100</v>
      </c>
      <c r="T13" s="701" t="s">
        <v>14</v>
      </c>
      <c r="U13" s="702">
        <f t="shared" si="1"/>
        <v>100</v>
      </c>
      <c r="V13" s="701" t="s">
        <v>14</v>
      </c>
      <c r="W13" s="702">
        <f t="shared" si="2"/>
        <v>100</v>
      </c>
      <c r="X13" s="703"/>
      <c r="Y13" s="3569"/>
      <c r="Z13" s="3445">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5"/>
      <c r="Q14" s="3446">
        <f t="shared" si="6"/>
        <v>111</v>
      </c>
      <c r="R14" s="701" t="s">
        <v>14</v>
      </c>
      <c r="S14" s="702">
        <f t="shared" si="0"/>
        <v>100</v>
      </c>
      <c r="T14" s="701" t="s">
        <v>14</v>
      </c>
      <c r="U14" s="702">
        <f t="shared" si="1"/>
        <v>100</v>
      </c>
      <c r="V14" s="701" t="s">
        <v>14</v>
      </c>
      <c r="W14" s="702">
        <f t="shared" si="2"/>
        <v>100</v>
      </c>
      <c r="X14" s="703"/>
      <c r="Y14" s="3569"/>
      <c r="Z14" s="3445">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3"/>
      <c r="H15" s="392">
        <f>SUMIF(76:76,G16,77:77)-SUMIF(76:76,C16,77:77)+100</f>
        <v>100</v>
      </c>
      <c r="I15" s="393"/>
      <c r="J15" s="392">
        <f>SUMIF(76:76,I16,77:77)-SUMIF(76:76,C16,77:77)+100</f>
        <v>100</v>
      </c>
      <c r="K15" s="563">
        <v>2</v>
      </c>
      <c r="L15" s="2718"/>
      <c r="M15" s="2712"/>
      <c r="N15" s="2712"/>
      <c r="O15" s="2712"/>
      <c r="P15" s="3703" t="s">
        <v>1691</v>
      </c>
      <c r="Q15" s="3450" t="str">
        <f t="shared" si="6"/>
        <v>商业繁华度</v>
      </c>
      <c r="R15" s="705" t="s">
        <v>14</v>
      </c>
      <c r="S15" s="706">
        <f t="shared" si="0"/>
        <v>100</v>
      </c>
      <c r="T15" s="705" t="s">
        <v>14</v>
      </c>
      <c r="U15" s="706">
        <f t="shared" si="1"/>
        <v>100</v>
      </c>
      <c r="V15" s="705" t="s">
        <v>14</v>
      </c>
      <c r="W15" s="706">
        <f t="shared" si="2"/>
        <v>100</v>
      </c>
      <c r="X15" s="3447"/>
      <c r="Y15" s="3696" t="s">
        <v>1691</v>
      </c>
      <c r="Z15" s="3448" t="str">
        <f t="shared" si="7"/>
        <v>商业繁华度</v>
      </c>
      <c r="AA15" s="3451">
        <f t="shared" si="3"/>
        <v>1</v>
      </c>
      <c r="AB15" s="3451">
        <f t="shared" si="4"/>
        <v>1</v>
      </c>
      <c r="AC15" s="3451">
        <f t="shared" si="5"/>
        <v>1</v>
      </c>
    </row>
    <row r="16" spans="1:29" ht="15">
      <c r="A16" s="379"/>
      <c r="B16" s="397"/>
      <c r="C16" s="398" t="s">
        <v>3398</v>
      </c>
      <c r="D16" s="399"/>
      <c r="E16" s="398" t="s">
        <v>3398</v>
      </c>
      <c r="F16" s="400"/>
      <c r="G16" s="398" t="s">
        <v>3398</v>
      </c>
      <c r="H16" s="401"/>
      <c r="I16" s="398" t="s">
        <v>3398</v>
      </c>
      <c r="J16" s="399"/>
      <c r="K16" s="564"/>
      <c r="L16" s="2718"/>
      <c r="M16" s="2712"/>
      <c r="N16" s="2712"/>
      <c r="O16" s="2712"/>
      <c r="P16" s="3704"/>
      <c r="Q16" s="3450"/>
      <c r="R16" s="705"/>
      <c r="S16" s="706"/>
      <c r="T16" s="705"/>
      <c r="U16" s="706"/>
      <c r="V16" s="705"/>
      <c r="W16" s="706"/>
      <c r="X16" s="3447"/>
      <c r="Y16" s="3697"/>
      <c r="Z16" s="3448"/>
      <c r="AA16" s="3451">
        <v>1</v>
      </c>
      <c r="AB16" s="3451">
        <v>1</v>
      </c>
      <c r="AC16" s="3451">
        <v>1</v>
      </c>
    </row>
    <row r="17" spans="1:29" ht="15">
      <c r="A17" s="379"/>
      <c r="B17" s="402" t="s">
        <v>1259</v>
      </c>
      <c r="C17" s="1900" t="str">
        <f>估价对象房地状况!C6</f>
        <v>较好</v>
      </c>
      <c r="D17" s="401">
        <v>100</v>
      </c>
      <c r="E17" s="403"/>
      <c r="F17" s="404">
        <f>SUMIF(78:78,E18,79:79)-SUMIF(78:78,C18,79:79)+100</f>
        <v>100</v>
      </c>
      <c r="G17" s="403"/>
      <c r="H17" s="406">
        <f>SUMIF(78:78,G18,79:79)-SUMIF(78:78,C18,79:79)+100</f>
        <v>100</v>
      </c>
      <c r="I17" s="403"/>
      <c r="J17" s="406">
        <f>SUMIF(78:78,I18,79:79)-SUMIF(78:78,C18,79:79)+100</f>
        <v>100</v>
      </c>
      <c r="K17" s="563">
        <v>2</v>
      </c>
      <c r="L17" s="2718"/>
      <c r="M17" s="2712"/>
      <c r="N17" s="2712"/>
      <c r="O17" s="2712"/>
      <c r="P17" s="3704"/>
      <c r="Q17" s="3450" t="str">
        <f>B17</f>
        <v>交通便捷度</v>
      </c>
      <c r="R17" s="705" t="s">
        <v>14</v>
      </c>
      <c r="S17" s="706">
        <f>F17</f>
        <v>100</v>
      </c>
      <c r="T17" s="705" t="s">
        <v>14</v>
      </c>
      <c r="U17" s="706">
        <f>H17</f>
        <v>100</v>
      </c>
      <c r="V17" s="705" t="s">
        <v>14</v>
      </c>
      <c r="W17" s="706">
        <f>J17</f>
        <v>100</v>
      </c>
      <c r="X17" s="3447"/>
      <c r="Y17" s="3697"/>
      <c r="Z17" s="3448" t="str">
        <f>Q17</f>
        <v>交通便捷度</v>
      </c>
      <c r="AA17" s="3451">
        <f t="shared" si="3"/>
        <v>1</v>
      </c>
      <c r="AB17" s="3451">
        <f t="shared" si="4"/>
        <v>1</v>
      </c>
      <c r="AC17" s="3451">
        <f t="shared" si="5"/>
        <v>1</v>
      </c>
    </row>
    <row r="18" spans="1:29" ht="15">
      <c r="A18" s="379"/>
      <c r="B18" s="407"/>
      <c r="C18" s="1901" t="s">
        <v>3398</v>
      </c>
      <c r="D18" s="401"/>
      <c r="E18" s="1903" t="s">
        <v>3398</v>
      </c>
      <c r="F18" s="404"/>
      <c r="G18" s="1903" t="s">
        <v>3398</v>
      </c>
      <c r="H18" s="399"/>
      <c r="I18" s="1903" t="s">
        <v>3398</v>
      </c>
      <c r="J18" s="399"/>
      <c r="K18" s="564"/>
      <c r="L18" s="2718"/>
      <c r="M18" s="2712"/>
      <c r="N18" s="2712"/>
      <c r="O18" s="2712"/>
      <c r="P18" s="3704"/>
      <c r="Q18" s="3450"/>
      <c r="R18" s="705"/>
      <c r="S18" s="706"/>
      <c r="T18" s="705"/>
      <c r="U18" s="706"/>
      <c r="V18" s="705"/>
      <c r="W18" s="706"/>
      <c r="X18" s="3447"/>
      <c r="Y18" s="3697"/>
      <c r="Z18" s="3448"/>
      <c r="AA18" s="3451">
        <v>1</v>
      </c>
      <c r="AB18" s="3451">
        <v>1</v>
      </c>
      <c r="AC18" s="3451">
        <v>1</v>
      </c>
    </row>
    <row r="19" spans="1:29" ht="15">
      <c r="A19" s="379"/>
      <c r="B19" s="402" t="s">
        <v>1778</v>
      </c>
      <c r="C19" s="1900" t="str">
        <f>估价对象房地状况!C7</f>
        <v>较好</v>
      </c>
      <c r="D19" s="406">
        <v>100</v>
      </c>
      <c r="E19" s="408"/>
      <c r="F19" s="409">
        <f>SUMIF(80:80,E20,81:81)-SUMIF(80:80,C20,81:81)+100</f>
        <v>100</v>
      </c>
      <c r="G19" s="408"/>
      <c r="H19" s="401">
        <f>SUMIF(80:80,G20,81:81)-SUMIF(80:80,C20,81:81)+100</f>
        <v>100</v>
      </c>
      <c r="I19" s="408"/>
      <c r="J19" s="401">
        <f>SUMIF(80:80,I20,81:81)-SUMIF(80:80,C20,81:81)+100</f>
        <v>100</v>
      </c>
      <c r="K19" s="563">
        <v>2</v>
      </c>
      <c r="L19" s="2718"/>
      <c r="M19" s="2712"/>
      <c r="N19" s="2712"/>
      <c r="O19" s="2712"/>
      <c r="P19" s="3704"/>
      <c r="Q19" s="3450" t="str">
        <f>B19</f>
        <v>公共配套设施</v>
      </c>
      <c r="R19" s="705" t="s">
        <v>14</v>
      </c>
      <c r="S19" s="706">
        <f>F19</f>
        <v>100</v>
      </c>
      <c r="T19" s="705" t="s">
        <v>14</v>
      </c>
      <c r="U19" s="706">
        <f>H19</f>
        <v>100</v>
      </c>
      <c r="V19" s="705" t="s">
        <v>14</v>
      </c>
      <c r="W19" s="706">
        <f>J19</f>
        <v>100</v>
      </c>
      <c r="X19" s="3447"/>
      <c r="Y19" s="3697"/>
      <c r="Z19" s="3448" t="str">
        <f>Q19</f>
        <v>公共配套设施</v>
      </c>
      <c r="AA19" s="3451">
        <f t="shared" si="3"/>
        <v>1</v>
      </c>
      <c r="AB19" s="3451">
        <f t="shared" si="4"/>
        <v>1</v>
      </c>
      <c r="AC19" s="3451">
        <f t="shared" si="5"/>
        <v>1</v>
      </c>
    </row>
    <row r="20" spans="1:29" ht="15">
      <c r="A20" s="379"/>
      <c r="B20" s="407"/>
      <c r="C20" s="398" t="s">
        <v>3398</v>
      </c>
      <c r="D20" s="399"/>
      <c r="E20" s="1898" t="s">
        <v>3398</v>
      </c>
      <c r="F20" s="400"/>
      <c r="G20" s="1898" t="s">
        <v>3398</v>
      </c>
      <c r="H20" s="399"/>
      <c r="I20" s="1898" t="s">
        <v>3398</v>
      </c>
      <c r="J20" s="399"/>
      <c r="K20" s="564"/>
      <c r="L20" s="2718"/>
      <c r="M20" s="2712"/>
      <c r="N20" s="2712"/>
      <c r="O20" s="2712"/>
      <c r="P20" s="3704"/>
      <c r="Q20" s="3450"/>
      <c r="R20" s="705"/>
      <c r="S20" s="706"/>
      <c r="T20" s="705"/>
      <c r="U20" s="706"/>
      <c r="V20" s="705"/>
      <c r="W20" s="706"/>
      <c r="X20" s="3447"/>
      <c r="Y20" s="3697"/>
      <c r="Z20" s="3448"/>
      <c r="AA20" s="3451">
        <v>1</v>
      </c>
      <c r="AB20" s="3451">
        <v>1</v>
      </c>
      <c r="AC20" s="3451">
        <v>1</v>
      </c>
    </row>
    <row r="21" spans="1:29" ht="15">
      <c r="A21" s="379"/>
      <c r="B21" s="1131" t="s">
        <v>1779</v>
      </c>
      <c r="C21" s="1900" t="str">
        <f>估价对象房地状况!C8</f>
        <v>七通</v>
      </c>
      <c r="D21" s="406">
        <v>100</v>
      </c>
      <c r="E21" s="408"/>
      <c r="F21" s="409">
        <f>SUMIF(82:82,E22,83:83)-SUMIF(82:82,C22,83:83)+100</f>
        <v>100</v>
      </c>
      <c r="G21" s="408"/>
      <c r="H21" s="401">
        <f>SUMIF(82:82,G22,83:83)-SUMIF(82:82,C22,83:83)+100</f>
        <v>100</v>
      </c>
      <c r="I21" s="408"/>
      <c r="J21" s="401">
        <f>SUMIF(82:82,I22,83:83)-SUMIF(82:82,C22,83:83)+100</f>
        <v>100</v>
      </c>
      <c r="K21" s="563">
        <v>1</v>
      </c>
      <c r="L21" s="2718"/>
      <c r="M21" s="2712"/>
      <c r="N21" s="2712"/>
      <c r="O21" s="2712"/>
      <c r="P21" s="3704"/>
      <c r="Q21" s="3450" t="str">
        <f>B21</f>
        <v>基础设施水平</v>
      </c>
      <c r="R21" s="705" t="s">
        <v>14</v>
      </c>
      <c r="S21" s="706">
        <f>F21</f>
        <v>100</v>
      </c>
      <c r="T21" s="705" t="s">
        <v>14</v>
      </c>
      <c r="U21" s="706">
        <f>H21</f>
        <v>100</v>
      </c>
      <c r="V21" s="705" t="s">
        <v>14</v>
      </c>
      <c r="W21" s="706">
        <f>J21</f>
        <v>100</v>
      </c>
      <c r="X21" s="3447"/>
      <c r="Y21" s="3697"/>
      <c r="Z21" s="3448" t="str">
        <f>Q21</f>
        <v>基础设施水平</v>
      </c>
      <c r="AA21" s="3451">
        <f t="shared" ref="AA21" si="8">D21/F21</f>
        <v>1</v>
      </c>
      <c r="AB21" s="3451">
        <f t="shared" ref="AB21" si="9">D21/H21</f>
        <v>1</v>
      </c>
      <c r="AC21" s="3451">
        <f t="shared" ref="AC21" si="10">D21/J21</f>
        <v>1</v>
      </c>
    </row>
    <row r="22" spans="1:29" ht="15">
      <c r="A22" s="379"/>
      <c r="B22" s="1131"/>
      <c r="C22" s="1901" t="s">
        <v>3401</v>
      </c>
      <c r="D22" s="399"/>
      <c r="E22" s="398" t="s">
        <v>3401</v>
      </c>
      <c r="F22" s="400"/>
      <c r="G22" s="398" t="s">
        <v>3401</v>
      </c>
      <c r="H22" s="399"/>
      <c r="I22" s="398" t="s">
        <v>3401</v>
      </c>
      <c r="J22" s="399"/>
      <c r="K22" s="1130"/>
      <c r="L22" s="2718"/>
      <c r="M22" s="2712"/>
      <c r="N22" s="2712"/>
      <c r="O22" s="2712"/>
      <c r="P22" s="3704"/>
      <c r="Q22" s="3450"/>
      <c r="R22" s="705"/>
      <c r="S22" s="706"/>
      <c r="T22" s="705"/>
      <c r="U22" s="706"/>
      <c r="V22" s="705"/>
      <c r="W22" s="706"/>
      <c r="X22" s="3447"/>
      <c r="Y22" s="3697"/>
      <c r="Z22" s="3448"/>
      <c r="AA22" s="3451">
        <v>1</v>
      </c>
      <c r="AB22" s="3451">
        <v>1</v>
      </c>
      <c r="AC22" s="3451">
        <v>1</v>
      </c>
    </row>
    <row r="23" spans="1:29" ht="15">
      <c r="A23" s="379"/>
      <c r="B23" s="402" t="s">
        <v>1261</v>
      </c>
      <c r="C23" s="1955" t="str">
        <f>估价对象房地状况!C9</f>
        <v>较好</v>
      </c>
      <c r="D23" s="401">
        <v>100</v>
      </c>
      <c r="E23" s="403"/>
      <c r="F23" s="404">
        <f>SUMIF(84:84,E24,85:85)-SUMIF(84:84,C24,85:85)+100</f>
        <v>100</v>
      </c>
      <c r="G23" s="403"/>
      <c r="H23" s="401">
        <f>SUMIF(84:84,G24,85:85)-SUMIF(84:84,C24,85:85)+100</f>
        <v>100</v>
      </c>
      <c r="I23" s="403"/>
      <c r="J23" s="401">
        <f>SUMIF(84:84,I24,85:85)-SUMIF(84:84,C24,85:85)+100</f>
        <v>100</v>
      </c>
      <c r="K23" s="563">
        <v>1</v>
      </c>
      <c r="L23" s="2718"/>
      <c r="M23" s="2712"/>
      <c r="N23" s="2712"/>
      <c r="O23" s="2712"/>
      <c r="P23" s="3704"/>
      <c r="Q23" s="3450" t="str">
        <f>B23</f>
        <v>自然及人文环境</v>
      </c>
      <c r="R23" s="705" t="s">
        <v>14</v>
      </c>
      <c r="S23" s="706">
        <f>F23</f>
        <v>100</v>
      </c>
      <c r="T23" s="705" t="s">
        <v>14</v>
      </c>
      <c r="U23" s="706">
        <f>H23</f>
        <v>100</v>
      </c>
      <c r="V23" s="705" t="s">
        <v>14</v>
      </c>
      <c r="W23" s="706">
        <f>J23</f>
        <v>100</v>
      </c>
      <c r="X23" s="3447"/>
      <c r="Y23" s="3697"/>
      <c r="Z23" s="3448" t="str">
        <f>Q23</f>
        <v>自然及人文环境</v>
      </c>
      <c r="AA23" s="3451">
        <f t="shared" si="3"/>
        <v>1</v>
      </c>
      <c r="AB23" s="3451">
        <f t="shared" si="4"/>
        <v>1</v>
      </c>
      <c r="AC23" s="3451">
        <f t="shared" si="5"/>
        <v>1</v>
      </c>
    </row>
    <row r="24" spans="1:29" ht="15">
      <c r="A24" s="379"/>
      <c r="B24" s="407"/>
      <c r="C24" s="398" t="s">
        <v>3398</v>
      </c>
      <c r="D24" s="399"/>
      <c r="E24" s="1898" t="s">
        <v>3398</v>
      </c>
      <c r="F24" s="400"/>
      <c r="G24" s="1898" t="s">
        <v>3398</v>
      </c>
      <c r="H24" s="399"/>
      <c r="I24" s="1898" t="s">
        <v>3398</v>
      </c>
      <c r="J24" s="399"/>
      <c r="K24" s="564"/>
      <c r="L24" s="2718"/>
      <c r="M24" s="2712"/>
      <c r="N24" s="2712"/>
      <c r="O24" s="2712"/>
      <c r="P24" s="3704"/>
      <c r="Q24" s="3450"/>
      <c r="R24" s="705"/>
      <c r="S24" s="706"/>
      <c r="T24" s="705"/>
      <c r="U24" s="706"/>
      <c r="V24" s="705"/>
      <c r="W24" s="706"/>
      <c r="X24" s="3447"/>
      <c r="Y24" s="3697"/>
      <c r="Z24" s="3448"/>
      <c r="AA24" s="3451">
        <v>1</v>
      </c>
      <c r="AB24" s="3451">
        <v>1</v>
      </c>
      <c r="AC24" s="3451">
        <v>1</v>
      </c>
    </row>
    <row r="25" spans="1:29" ht="15">
      <c r="A25" s="379"/>
      <c r="B25" s="375" t="s">
        <v>1780</v>
      </c>
      <c r="C25" s="565" t="s">
        <v>3409</v>
      </c>
      <c r="D25" s="386">
        <v>100</v>
      </c>
      <c r="E25" s="565" t="s">
        <v>3409</v>
      </c>
      <c r="F25" s="412">
        <f>SUMIF(86:86,E25,87:87)-SUMIF(86:86,C25,87:87)+100</f>
        <v>100</v>
      </c>
      <c r="G25" s="3465" t="s">
        <v>3410</v>
      </c>
      <c r="H25" s="386">
        <f>SUMIF(86:86,G25,87:87)-SUMIF(86:86,C25,87:87)+100</f>
        <v>100</v>
      </c>
      <c r="I25" s="565" t="s">
        <v>3409</v>
      </c>
      <c r="J25" s="386">
        <f>SUMIF(86:86,I25,87:87)-SUMIF(86:86,C25,87:87)+100</f>
        <v>100</v>
      </c>
      <c r="K25" s="561">
        <v>4</v>
      </c>
      <c r="L25" s="2718"/>
      <c r="M25" s="2712"/>
      <c r="N25" s="2712"/>
      <c r="O25" s="2712"/>
      <c r="P25" s="3704"/>
      <c r="Q25" s="3450" t="str">
        <f t="shared" ref="Q25:Q46" si="11">B25</f>
        <v>临街状况</v>
      </c>
      <c r="R25" s="705" t="s">
        <v>14</v>
      </c>
      <c r="S25" s="706">
        <f>F25</f>
        <v>100</v>
      </c>
      <c r="T25" s="705" t="s">
        <v>14</v>
      </c>
      <c r="U25" s="706">
        <f>H25</f>
        <v>100</v>
      </c>
      <c r="V25" s="705" t="s">
        <v>14</v>
      </c>
      <c r="W25" s="706">
        <f>J25</f>
        <v>100</v>
      </c>
      <c r="X25" s="3447"/>
      <c r="Y25" s="3697"/>
      <c r="Z25" s="3448" t="str">
        <f>Q25</f>
        <v>临街状况</v>
      </c>
      <c r="AA25" s="3451">
        <f t="shared" si="3"/>
        <v>1</v>
      </c>
      <c r="AB25" s="3451">
        <f t="shared" si="4"/>
        <v>1</v>
      </c>
      <c r="AC25" s="3451">
        <f t="shared" si="5"/>
        <v>1</v>
      </c>
    </row>
    <row r="26" spans="1:29" ht="15">
      <c r="A26" s="379"/>
      <c r="B26" s="1133" t="s">
        <v>1781</v>
      </c>
      <c r="C26" s="3463" t="s">
        <v>3413</v>
      </c>
      <c r="D26" s="386">
        <v>100</v>
      </c>
      <c r="E26" s="3463" t="s">
        <v>3413</v>
      </c>
      <c r="F26" s="412">
        <f>SUMIF(88:88,E26,89:89)-SUMIF(88:88,C26,89:89)+100</f>
        <v>100</v>
      </c>
      <c r="G26" s="3463" t="s">
        <v>3413</v>
      </c>
      <c r="H26" s="386">
        <f>SUMIF(88:88,G26,89:89)-SUMIF(88:88,C26,89:89)+100</f>
        <v>100</v>
      </c>
      <c r="I26" s="3463" t="s">
        <v>3413</v>
      </c>
      <c r="J26" s="386">
        <f>SUMIF(88:88,I26,89:89)-SUMIF(88:88,C26,89:89)+100</f>
        <v>100</v>
      </c>
      <c r="K26" s="562"/>
      <c r="L26" s="2718"/>
      <c r="M26" s="2712"/>
      <c r="N26" s="2712"/>
      <c r="O26" s="2712"/>
      <c r="P26" s="3704"/>
      <c r="Q26" s="3450" t="str">
        <f t="shared" si="11"/>
        <v>平面位置/可视性</v>
      </c>
      <c r="R26" s="705" t="s">
        <v>14</v>
      </c>
      <c r="S26" s="706">
        <f>F26</f>
        <v>100</v>
      </c>
      <c r="T26" s="705" t="s">
        <v>14</v>
      </c>
      <c r="U26" s="706">
        <f>H26</f>
        <v>100</v>
      </c>
      <c r="V26" s="705" t="s">
        <v>14</v>
      </c>
      <c r="W26" s="706">
        <f>J26</f>
        <v>100</v>
      </c>
      <c r="X26" s="3447"/>
      <c r="Y26" s="3697"/>
      <c r="Z26" s="3448" t="str">
        <f>Q26</f>
        <v>平面位置/可视性</v>
      </c>
      <c r="AA26" s="3451">
        <f t="shared" si="3"/>
        <v>1</v>
      </c>
      <c r="AB26" s="3451">
        <f t="shared" si="4"/>
        <v>1</v>
      </c>
      <c r="AC26" s="3451">
        <f t="shared" si="5"/>
        <v>1</v>
      </c>
    </row>
    <row r="27" spans="1:29" s="108" customFormat="1" ht="15">
      <c r="A27" s="382"/>
      <c r="B27" s="402" t="s">
        <v>1782</v>
      </c>
      <c r="C27" s="3464" t="s">
        <v>3414</v>
      </c>
      <c r="D27" s="413">
        <v>100</v>
      </c>
      <c r="E27" s="3464" t="s">
        <v>3419</v>
      </c>
      <c r="F27" s="415">
        <f>SUMIF(90:90,E27,91:91)-SUMIF(90:90,C27,91:91)+100</f>
        <v>103</v>
      </c>
      <c r="G27" s="1956" t="s">
        <v>3419</v>
      </c>
      <c r="H27" s="413">
        <f>SUMIF(90:90,G27,91:91)-SUMIF(90:90,C27,91:91)+100</f>
        <v>103</v>
      </c>
      <c r="I27" s="1956" t="s">
        <v>3419</v>
      </c>
      <c r="J27" s="413">
        <f>SUMIF(90:90,I27,91:91)-SUMIF(90:90,C27,91:91)+100</f>
        <v>103</v>
      </c>
      <c r="K27" s="561">
        <v>3</v>
      </c>
      <c r="L27" s="2713"/>
      <c r="M27" s="2714"/>
      <c r="N27" s="2714"/>
      <c r="O27" s="2714"/>
      <c r="P27" s="3704"/>
      <c r="Q27" s="3446" t="str">
        <f t="shared" si="11"/>
        <v>人流量</v>
      </c>
      <c r="R27" s="701" t="s">
        <v>14</v>
      </c>
      <c r="S27" s="702">
        <f>F27</f>
        <v>103</v>
      </c>
      <c r="T27" s="701" t="s">
        <v>14</v>
      </c>
      <c r="U27" s="702">
        <f>H27</f>
        <v>103</v>
      </c>
      <c r="V27" s="701" t="s">
        <v>14</v>
      </c>
      <c r="W27" s="702">
        <f>J27</f>
        <v>103</v>
      </c>
      <c r="X27" s="703"/>
      <c r="Y27" s="3697"/>
      <c r="Z27" s="3445" t="str">
        <f>Q27</f>
        <v>人流量</v>
      </c>
      <c r="AA27" s="3451">
        <f>D27/F27</f>
        <v>0.970873786407767</v>
      </c>
      <c r="AB27" s="3451">
        <f>D27/H27</f>
        <v>0.970873786407767</v>
      </c>
      <c r="AC27" s="3451">
        <f>D27/J27</f>
        <v>0.970873786407767</v>
      </c>
    </row>
    <row r="28" spans="1:29" ht="15.75" thickBot="1">
      <c r="A28" s="379"/>
      <c r="B28" s="375" t="s">
        <v>1783</v>
      </c>
      <c r="C28" s="3465" t="s">
        <v>3425</v>
      </c>
      <c r="D28" s="386">
        <v>100</v>
      </c>
      <c r="E28" s="565" t="str">
        <f>案例!D7</f>
        <v>一拖二</v>
      </c>
      <c r="F28" s="412">
        <f>SUMIF(92:92,E28,93:93)-SUMIF(92:92,C28,93:93)+100</f>
        <v>113.3</v>
      </c>
      <c r="G28" s="565" t="str">
        <f>案例!D8</f>
        <v>一拖二</v>
      </c>
      <c r="H28" s="386">
        <f>SUMIF(92:92,G28,93:93)-SUMIF(92:92,C28,93:93)+100</f>
        <v>113.3</v>
      </c>
      <c r="I28" s="565" t="str">
        <f>案例!D9</f>
        <v>一拖二</v>
      </c>
      <c r="J28" s="386">
        <f>SUMIF(92:92,I28,93:93)-SUMIF(92:92,C28,93:93)+100</f>
        <v>113.3</v>
      </c>
      <c r="K28" s="562"/>
      <c r="L28" s="2718"/>
      <c r="M28" s="2712"/>
      <c r="N28" s="2712"/>
      <c r="O28" s="2712"/>
      <c r="P28" s="3704"/>
      <c r="Q28" s="3450" t="str">
        <f t="shared" si="11"/>
        <v>楼层</v>
      </c>
      <c r="R28" s="705" t="s">
        <v>14</v>
      </c>
      <c r="S28" s="706">
        <f t="shared" ref="S28:S46" si="12">F28</f>
        <v>113.3</v>
      </c>
      <c r="T28" s="705" t="s">
        <v>14</v>
      </c>
      <c r="U28" s="706">
        <f t="shared" ref="U28:U46" si="13">H28</f>
        <v>113.3</v>
      </c>
      <c r="V28" s="705" t="s">
        <v>14</v>
      </c>
      <c r="W28" s="706">
        <f t="shared" ref="W28:W46" si="14">J28</f>
        <v>113.3</v>
      </c>
      <c r="X28" s="3447"/>
      <c r="Y28" s="3697"/>
      <c r="Z28" s="3448" t="str">
        <f t="shared" ref="Z28:Z46" si="15">Q28</f>
        <v>楼层</v>
      </c>
      <c r="AA28" s="3451">
        <f t="shared" si="3"/>
        <v>0.88261253309797005</v>
      </c>
      <c r="AB28" s="3451">
        <f t="shared" si="4"/>
        <v>0.88261253309797005</v>
      </c>
      <c r="AC28" s="3451">
        <f t="shared" si="5"/>
        <v>0.88261253309797005</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4"/>
      <c r="Q29" s="3450">
        <f t="shared" si="11"/>
        <v>111</v>
      </c>
      <c r="R29" s="705" t="s">
        <v>14</v>
      </c>
      <c r="S29" s="706">
        <f t="shared" si="12"/>
        <v>100</v>
      </c>
      <c r="T29" s="705" t="s">
        <v>14</v>
      </c>
      <c r="U29" s="706">
        <f t="shared" si="13"/>
        <v>100</v>
      </c>
      <c r="V29" s="705" t="s">
        <v>14</v>
      </c>
      <c r="W29" s="706">
        <f t="shared" si="14"/>
        <v>100</v>
      </c>
      <c r="X29" s="3447"/>
      <c r="Y29" s="3697"/>
      <c r="Z29" s="3448">
        <f t="shared" si="15"/>
        <v>111</v>
      </c>
      <c r="AA29" s="3451">
        <f t="shared" si="3"/>
        <v>1</v>
      </c>
      <c r="AB29" s="3451">
        <f t="shared" si="4"/>
        <v>1</v>
      </c>
      <c r="AC29" s="345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4"/>
      <c r="Q30" s="3450">
        <f t="shared" si="11"/>
        <v>111</v>
      </c>
      <c r="R30" s="705" t="s">
        <v>14</v>
      </c>
      <c r="S30" s="706">
        <f t="shared" si="12"/>
        <v>100</v>
      </c>
      <c r="T30" s="705" t="s">
        <v>14</v>
      </c>
      <c r="U30" s="706">
        <f t="shared" si="13"/>
        <v>100</v>
      </c>
      <c r="V30" s="705" t="s">
        <v>14</v>
      </c>
      <c r="W30" s="706">
        <f t="shared" si="14"/>
        <v>100</v>
      </c>
      <c r="X30" s="3447"/>
      <c r="Y30" s="3697"/>
      <c r="Z30" s="3448">
        <f t="shared" si="15"/>
        <v>111</v>
      </c>
      <c r="AA30" s="3451">
        <f t="shared" si="3"/>
        <v>1</v>
      </c>
      <c r="AB30" s="3451">
        <f t="shared" si="4"/>
        <v>1</v>
      </c>
      <c r="AC30" s="345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4"/>
      <c r="Q31" s="3450">
        <f t="shared" si="11"/>
        <v>111</v>
      </c>
      <c r="R31" s="705" t="s">
        <v>14</v>
      </c>
      <c r="S31" s="706">
        <f t="shared" si="12"/>
        <v>100</v>
      </c>
      <c r="T31" s="705" t="s">
        <v>14</v>
      </c>
      <c r="U31" s="706">
        <f t="shared" si="13"/>
        <v>100</v>
      </c>
      <c r="V31" s="705" t="s">
        <v>14</v>
      </c>
      <c r="W31" s="706">
        <f t="shared" si="14"/>
        <v>100</v>
      </c>
      <c r="X31" s="3447"/>
      <c r="Y31" s="3697"/>
      <c r="Z31" s="3448">
        <f t="shared" si="15"/>
        <v>111</v>
      </c>
      <c r="AA31" s="3451">
        <f t="shared" si="3"/>
        <v>1</v>
      </c>
      <c r="AB31" s="3451">
        <f t="shared" si="4"/>
        <v>1</v>
      </c>
      <c r="AC31" s="3451">
        <f t="shared" si="5"/>
        <v>1</v>
      </c>
    </row>
    <row r="32" spans="1:29" ht="15">
      <c r="A32" s="391" t="s">
        <v>1694</v>
      </c>
      <c r="B32" s="63" t="s">
        <v>1784</v>
      </c>
      <c r="C32" s="1910" t="s">
        <v>3428</v>
      </c>
      <c r="D32" s="418">
        <v>100</v>
      </c>
      <c r="E32" s="1910" t="s">
        <v>3428</v>
      </c>
      <c r="F32" s="412">
        <f>SUMIF(100:100,E32,101:101)-SUMIF(100:100,C32,101:101)+100</f>
        <v>100</v>
      </c>
      <c r="G32" s="1910" t="s">
        <v>3428</v>
      </c>
      <c r="H32" s="386">
        <f>SUMIF(100:100,G32,101:101)-SUMIF(100:100,C32,101:101)+100</f>
        <v>100</v>
      </c>
      <c r="I32" s="1910" t="s">
        <v>3428</v>
      </c>
      <c r="J32" s="418">
        <f>SUMIF(100:100,I32,101:101)-SUMIF(100:100,C32,101:101)+100</f>
        <v>100</v>
      </c>
      <c r="K32" s="561">
        <v>2</v>
      </c>
      <c r="L32" s="2718"/>
      <c r="M32" s="2712"/>
      <c r="N32" s="2712"/>
      <c r="O32" s="2712"/>
      <c r="P32" s="3698" t="s">
        <v>1696</v>
      </c>
      <c r="Q32" s="3450" t="str">
        <f t="shared" si="11"/>
        <v>商业类型</v>
      </c>
      <c r="R32" s="705" t="s">
        <v>14</v>
      </c>
      <c r="S32" s="706">
        <f t="shared" si="12"/>
        <v>100</v>
      </c>
      <c r="T32" s="705" t="s">
        <v>14</v>
      </c>
      <c r="U32" s="706">
        <f t="shared" si="13"/>
        <v>100</v>
      </c>
      <c r="V32" s="705" t="s">
        <v>14</v>
      </c>
      <c r="W32" s="706">
        <f t="shared" si="14"/>
        <v>100</v>
      </c>
      <c r="X32" s="3447"/>
      <c r="Y32" s="3701" t="s">
        <v>1696</v>
      </c>
      <c r="Z32" s="3448" t="str">
        <f t="shared" si="15"/>
        <v>商业类型</v>
      </c>
      <c r="AA32" s="3451">
        <f t="shared" si="3"/>
        <v>1</v>
      </c>
      <c r="AB32" s="3451">
        <f t="shared" si="4"/>
        <v>1</v>
      </c>
      <c r="AC32" s="3451">
        <f t="shared" si="5"/>
        <v>1</v>
      </c>
    </row>
    <row r="33" spans="1:29" s="422" customFormat="1" ht="15">
      <c r="A33" s="419"/>
      <c r="B33" s="375" t="s">
        <v>1697</v>
      </c>
      <c r="C33" s="420">
        <f>'数据-汇总表'!E31</f>
        <v>843.77</v>
      </c>
      <c r="D33" s="127">
        <v>100</v>
      </c>
      <c r="E33" s="381">
        <f>案例!B7</f>
        <v>230</v>
      </c>
      <c r="F33" s="376">
        <f>LOOKUP(E33,103:103,104:104)-LOOKUP(C33,103:103,104:104)+100</f>
        <v>101</v>
      </c>
      <c r="G33" s="380">
        <f>案例!B8</f>
        <v>200</v>
      </c>
      <c r="H33" s="127">
        <f>LOOKUP(G33,103:103,104:104)-LOOKUP(C33,103:103,104:104)+100</f>
        <v>101</v>
      </c>
      <c r="I33" s="380">
        <f>案例!B9</f>
        <v>490</v>
      </c>
      <c r="J33" s="127">
        <f>LOOKUP(I33,103:103,104:104)-LOOKUP(C33,103:103,104:104)+100</f>
        <v>101</v>
      </c>
      <c r="K33" s="562"/>
      <c r="L33" s="2717"/>
      <c r="M33" s="2719"/>
      <c r="N33" s="2719"/>
      <c r="O33" s="2719"/>
      <c r="P33" s="3699"/>
      <c r="Q33" s="707" t="str">
        <f t="shared" si="11"/>
        <v>项目建筑规模</v>
      </c>
      <c r="R33" s="708" t="s">
        <v>14</v>
      </c>
      <c r="S33" s="709">
        <f t="shared" si="12"/>
        <v>101</v>
      </c>
      <c r="T33" s="708" t="s">
        <v>14</v>
      </c>
      <c r="U33" s="709">
        <f t="shared" si="13"/>
        <v>101</v>
      </c>
      <c r="V33" s="708" t="s">
        <v>14</v>
      </c>
      <c r="W33" s="709">
        <f t="shared" si="14"/>
        <v>101</v>
      </c>
      <c r="X33" s="710"/>
      <c r="Y33" s="3701"/>
      <c r="Z33" s="711" t="str">
        <f t="shared" si="15"/>
        <v>项目建筑规模</v>
      </c>
      <c r="AA33" s="3451">
        <f t="shared" si="3"/>
        <v>0.99009900990099009</v>
      </c>
      <c r="AB33" s="3451">
        <f t="shared" si="4"/>
        <v>0.99009900990099009</v>
      </c>
      <c r="AC33" s="3451">
        <f t="shared" si="5"/>
        <v>0.99009900990099009</v>
      </c>
    </row>
    <row r="34" spans="1:29" ht="15">
      <c r="A34" s="423"/>
      <c r="B34" s="375" t="s">
        <v>1698</v>
      </c>
      <c r="C34" s="1912" t="s">
        <v>3432</v>
      </c>
      <c r="D34" s="386">
        <v>100</v>
      </c>
      <c r="E34" s="3467" t="s">
        <v>3432</v>
      </c>
      <c r="F34" s="412">
        <f>SUMIF(105:105,E34,106:106)-SUMIF(105:105,C34,106:106)+100</f>
        <v>100</v>
      </c>
      <c r="G34" s="1912" t="s">
        <v>3489</v>
      </c>
      <c r="H34" s="386">
        <f>SUMIF(105:105,G34,106:106)-SUMIF(105:105,C34,106:106)+100</f>
        <v>102</v>
      </c>
      <c r="I34" s="1912" t="s">
        <v>3432</v>
      </c>
      <c r="J34" s="386">
        <f>SUMIF(105:105,I34,106:106)-SUMIF(105:105,C34,106:106)+100</f>
        <v>100</v>
      </c>
      <c r="K34" s="561">
        <v>2</v>
      </c>
      <c r="L34" s="2718"/>
      <c r="M34" s="2712"/>
      <c r="N34" s="2712"/>
      <c r="O34" s="2712"/>
      <c r="P34" s="3699"/>
      <c r="Q34" s="3450" t="str">
        <f t="shared" si="11"/>
        <v>建筑结构</v>
      </c>
      <c r="R34" s="705" t="s">
        <v>14</v>
      </c>
      <c r="S34" s="706">
        <f t="shared" si="12"/>
        <v>100</v>
      </c>
      <c r="T34" s="705" t="s">
        <v>14</v>
      </c>
      <c r="U34" s="706">
        <f t="shared" si="13"/>
        <v>102</v>
      </c>
      <c r="V34" s="705" t="s">
        <v>14</v>
      </c>
      <c r="W34" s="706">
        <f t="shared" si="14"/>
        <v>100</v>
      </c>
      <c r="X34" s="3447"/>
      <c r="Y34" s="3701"/>
      <c r="Z34" s="3448" t="str">
        <f t="shared" si="15"/>
        <v>建筑结构</v>
      </c>
      <c r="AA34" s="3451">
        <f t="shared" si="3"/>
        <v>1</v>
      </c>
      <c r="AB34" s="3451">
        <f t="shared" si="4"/>
        <v>0.98039215686274506</v>
      </c>
      <c r="AC34" s="3451">
        <f t="shared" si="5"/>
        <v>1</v>
      </c>
    </row>
    <row r="35" spans="1:29" ht="15">
      <c r="A35" s="423"/>
      <c r="B35" s="375" t="s">
        <v>1785</v>
      </c>
      <c r="C35" s="1906" t="s">
        <v>3434</v>
      </c>
      <c r="D35" s="386">
        <v>100</v>
      </c>
      <c r="E35" s="1906" t="s">
        <v>3434</v>
      </c>
      <c r="F35" s="412">
        <f>SUMIF(107:107,E35,108:108)-SUMIF(107:107,C35,108:108)+100</f>
        <v>100</v>
      </c>
      <c r="G35" s="1906" t="s">
        <v>3434</v>
      </c>
      <c r="H35" s="386">
        <f>SUMIF(107:107,G35,108:108)-SUMIF(107:107,C35,108:108)+100</f>
        <v>100</v>
      </c>
      <c r="I35" s="1906" t="s">
        <v>3434</v>
      </c>
      <c r="J35" s="386">
        <f>SUMIF(107:107,I35,108:108)-SUMIF(107:107,C35,108:108)+100</f>
        <v>100</v>
      </c>
      <c r="K35" s="561">
        <v>1</v>
      </c>
      <c r="L35" s="2718"/>
      <c r="M35" s="2712"/>
      <c r="N35" s="2712"/>
      <c r="O35" s="2712"/>
      <c r="P35" s="3699"/>
      <c r="Q35" s="3450" t="str">
        <f t="shared" si="11"/>
        <v>公共部分装修</v>
      </c>
      <c r="R35" s="705" t="s">
        <v>14</v>
      </c>
      <c r="S35" s="706">
        <f t="shared" si="12"/>
        <v>100</v>
      </c>
      <c r="T35" s="705" t="s">
        <v>14</v>
      </c>
      <c r="U35" s="706">
        <f t="shared" si="13"/>
        <v>100</v>
      </c>
      <c r="V35" s="705" t="s">
        <v>14</v>
      </c>
      <c r="W35" s="706">
        <f t="shared" si="14"/>
        <v>100</v>
      </c>
      <c r="X35" s="3447"/>
      <c r="Y35" s="3701"/>
      <c r="Z35" s="3448" t="str">
        <f t="shared" si="15"/>
        <v>公共部分装修</v>
      </c>
      <c r="AA35" s="3451">
        <f t="shared" si="3"/>
        <v>1</v>
      </c>
      <c r="AB35" s="3451">
        <f t="shared" si="4"/>
        <v>1</v>
      </c>
      <c r="AC35" s="3451">
        <f t="shared" si="5"/>
        <v>1</v>
      </c>
    </row>
    <row r="36" spans="1:29" ht="15">
      <c r="A36" s="423"/>
      <c r="B36" s="375" t="s">
        <v>1786</v>
      </c>
      <c r="C36" s="425">
        <f>'数据-取费表'!N6</f>
        <v>0.74</v>
      </c>
      <c r="D36" s="386">
        <v>100</v>
      </c>
      <c r="E36" s="425">
        <v>0.74</v>
      </c>
      <c r="F36" s="412">
        <f>LOOKUP(E36,110:110,111:111)-LOOKUP(C36,110:110,111:111)+100</f>
        <v>100</v>
      </c>
      <c r="G36" s="425">
        <v>0.78</v>
      </c>
      <c r="H36" s="412">
        <f>LOOKUP(G36,110:110,111:111)-LOOKUP(C36,110:110,111:111)+100</f>
        <v>100</v>
      </c>
      <c r="I36" s="425">
        <v>0.75</v>
      </c>
      <c r="J36" s="386">
        <f>LOOKUP(I36,110:110,111:111)-LOOKUP(C36,110:110,111:111)+100</f>
        <v>100</v>
      </c>
      <c r="K36" s="561">
        <v>1</v>
      </c>
      <c r="L36" s="2718"/>
      <c r="M36" s="2712"/>
      <c r="N36" s="2712"/>
      <c r="O36" s="2712"/>
      <c r="P36" s="3699"/>
      <c r="Q36" s="3450" t="str">
        <f t="shared" si="11"/>
        <v>成新度</v>
      </c>
      <c r="R36" s="705" t="s">
        <v>14</v>
      </c>
      <c r="S36" s="706">
        <f t="shared" si="12"/>
        <v>100</v>
      </c>
      <c r="T36" s="705" t="s">
        <v>14</v>
      </c>
      <c r="U36" s="706">
        <f t="shared" si="13"/>
        <v>100</v>
      </c>
      <c r="V36" s="705" t="s">
        <v>14</v>
      </c>
      <c r="W36" s="706">
        <f t="shared" si="14"/>
        <v>100</v>
      </c>
      <c r="X36" s="3447"/>
      <c r="Y36" s="3701"/>
      <c r="Z36" s="3448" t="str">
        <f t="shared" si="15"/>
        <v>成新度</v>
      </c>
      <c r="AA36" s="3451">
        <f t="shared" si="3"/>
        <v>1</v>
      </c>
      <c r="AB36" s="3451">
        <f t="shared" si="4"/>
        <v>1</v>
      </c>
      <c r="AC36" s="3451">
        <f t="shared" si="5"/>
        <v>1</v>
      </c>
    </row>
    <row r="37" spans="1:29" s="108" customFormat="1" ht="15">
      <c r="A37" s="424"/>
      <c r="B37" s="375" t="s">
        <v>1787</v>
      </c>
      <c r="C37" s="1906" t="s">
        <v>3437</v>
      </c>
      <c r="D37" s="127">
        <v>100</v>
      </c>
      <c r="E37" s="1906" t="s">
        <v>3437</v>
      </c>
      <c r="F37" s="412">
        <f>SUMIF(112:112,E37,113:113)-SUMIF(112:112,C37,113:113)+100</f>
        <v>100</v>
      </c>
      <c r="G37" s="1906" t="s">
        <v>3437</v>
      </c>
      <c r="H37" s="386">
        <f>SUMIF(112:112,G37,113:113)-SUMIF(112:112,C37,113:113)+100</f>
        <v>100</v>
      </c>
      <c r="I37" s="1906" t="s">
        <v>3401</v>
      </c>
      <c r="J37" s="386">
        <f>SUMIF(112:112,I37,113:113)-SUMIF(112:112,C37,113:113)+100</f>
        <v>101</v>
      </c>
      <c r="K37" s="561">
        <v>1</v>
      </c>
      <c r="L37" s="2713"/>
      <c r="M37" s="2714"/>
      <c r="N37" s="2714"/>
      <c r="O37" s="2714"/>
      <c r="P37" s="3699"/>
      <c r="Q37" s="3446" t="str">
        <f t="shared" si="11"/>
        <v>市政基础设施</v>
      </c>
      <c r="R37" s="701" t="s">
        <v>14</v>
      </c>
      <c r="S37" s="702">
        <f t="shared" si="12"/>
        <v>100</v>
      </c>
      <c r="T37" s="701" t="s">
        <v>14</v>
      </c>
      <c r="U37" s="702">
        <f t="shared" si="13"/>
        <v>100</v>
      </c>
      <c r="V37" s="701" t="s">
        <v>14</v>
      </c>
      <c r="W37" s="702">
        <f t="shared" si="14"/>
        <v>101</v>
      </c>
      <c r="X37" s="703"/>
      <c r="Y37" s="3701"/>
      <c r="Z37" s="3445" t="str">
        <f t="shared" si="15"/>
        <v>市政基础设施</v>
      </c>
      <c r="AA37" s="704">
        <f t="shared" si="3"/>
        <v>1</v>
      </c>
      <c r="AB37" s="704">
        <f t="shared" si="4"/>
        <v>1</v>
      </c>
      <c r="AC37" s="704">
        <f t="shared" si="5"/>
        <v>0.99009900990099009</v>
      </c>
    </row>
    <row r="38" spans="1:29" ht="15">
      <c r="A38" s="423"/>
      <c r="B38" s="375" t="s">
        <v>1788</v>
      </c>
      <c r="C38" s="1906" t="s">
        <v>3441</v>
      </c>
      <c r="D38" s="386">
        <v>100</v>
      </c>
      <c r="E38" s="1906" t="s">
        <v>3441</v>
      </c>
      <c r="F38" s="412">
        <f>SUMIF(114:114,E38,115:115)-SUMIF(114:114,C38,115:115)+100</f>
        <v>100</v>
      </c>
      <c r="G38" s="1906" t="s">
        <v>3441</v>
      </c>
      <c r="H38" s="386">
        <f>SUMIF(114:114,G38,115:115)-SUMIF(114:114,C38,115:115)+100</f>
        <v>100</v>
      </c>
      <c r="I38" s="1906" t="s">
        <v>3439</v>
      </c>
      <c r="J38" s="386">
        <f>SUMIF(114:114,I38,115:115)-SUMIF(114:114,C38,115:115)+100</f>
        <v>103</v>
      </c>
      <c r="K38" s="561">
        <v>3</v>
      </c>
      <c r="L38" s="2718"/>
      <c r="M38" s="2712"/>
      <c r="N38" s="2712"/>
      <c r="O38" s="2712"/>
      <c r="P38" s="3699" t="s">
        <v>1696</v>
      </c>
      <c r="Q38" s="3450" t="str">
        <f t="shared" si="11"/>
        <v>业态</v>
      </c>
      <c r="R38" s="705" t="s">
        <v>14</v>
      </c>
      <c r="S38" s="706">
        <f t="shared" si="12"/>
        <v>100</v>
      </c>
      <c r="T38" s="705" t="s">
        <v>14</v>
      </c>
      <c r="U38" s="706">
        <f t="shared" si="13"/>
        <v>100</v>
      </c>
      <c r="V38" s="705" t="s">
        <v>14</v>
      </c>
      <c r="W38" s="706">
        <f t="shared" si="14"/>
        <v>103</v>
      </c>
      <c r="X38" s="3447"/>
      <c r="Y38" s="3701" t="s">
        <v>1696</v>
      </c>
      <c r="Z38" s="3448" t="str">
        <f t="shared" si="15"/>
        <v>业态</v>
      </c>
      <c r="AA38" s="3451">
        <f t="shared" si="3"/>
        <v>1</v>
      </c>
      <c r="AB38" s="3451">
        <f t="shared" si="4"/>
        <v>1</v>
      </c>
      <c r="AC38" s="3451">
        <f t="shared" si="5"/>
        <v>0.970873786407767</v>
      </c>
    </row>
    <row r="39" spans="1:29" ht="15">
      <c r="A39" s="423"/>
      <c r="B39" s="375" t="s">
        <v>1789</v>
      </c>
      <c r="C39" s="1906" t="s">
        <v>3443</v>
      </c>
      <c r="D39" s="386">
        <v>100</v>
      </c>
      <c r="E39" s="1906" t="s">
        <v>3443</v>
      </c>
      <c r="F39" s="412">
        <f>SUMIF(116:116,E39,117:117)-SUMIF(116:116,C39,117:117)+100</f>
        <v>100</v>
      </c>
      <c r="G39" s="1906" t="s">
        <v>3443</v>
      </c>
      <c r="H39" s="386">
        <f>SUMIF(116:116,G39,117:117)-SUMIF(116:116,C39,117:117)+100</f>
        <v>100</v>
      </c>
      <c r="I39" s="1906" t="s">
        <v>3443</v>
      </c>
      <c r="J39" s="386">
        <f>SUMIF(116:116,I39,117:117)-SUMIF(116:116,C39,117:117)+100</f>
        <v>100</v>
      </c>
      <c r="K39" s="561">
        <v>1</v>
      </c>
      <c r="L39" s="2718"/>
      <c r="M39" s="2712"/>
      <c r="N39" s="2712"/>
      <c r="O39" s="2712"/>
      <c r="P39" s="3699"/>
      <c r="Q39" s="3450" t="str">
        <f t="shared" si="11"/>
        <v>层高</v>
      </c>
      <c r="R39" s="705" t="s">
        <v>14</v>
      </c>
      <c r="S39" s="706">
        <f t="shared" si="12"/>
        <v>100</v>
      </c>
      <c r="T39" s="705" t="s">
        <v>14</v>
      </c>
      <c r="U39" s="706">
        <f t="shared" si="13"/>
        <v>100</v>
      </c>
      <c r="V39" s="705" t="s">
        <v>14</v>
      </c>
      <c r="W39" s="706">
        <f t="shared" si="14"/>
        <v>100</v>
      </c>
      <c r="X39" s="3447"/>
      <c r="Y39" s="3701"/>
      <c r="Z39" s="3448" t="str">
        <f t="shared" si="15"/>
        <v>层高</v>
      </c>
      <c r="AA39" s="3451">
        <f t="shared" si="3"/>
        <v>1</v>
      </c>
      <c r="AB39" s="3451">
        <f t="shared" si="4"/>
        <v>1</v>
      </c>
      <c r="AC39" s="3451">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9"/>
      <c r="Q40" s="3450" t="str">
        <f t="shared" si="11"/>
        <v>单套建筑面积</v>
      </c>
      <c r="R40" s="705" t="s">
        <v>14</v>
      </c>
      <c r="S40" s="706">
        <f t="shared" si="12"/>
        <v>100</v>
      </c>
      <c r="T40" s="705" t="s">
        <v>14</v>
      </c>
      <c r="U40" s="706">
        <f t="shared" si="13"/>
        <v>100</v>
      </c>
      <c r="V40" s="705" t="s">
        <v>14</v>
      </c>
      <c r="W40" s="706">
        <f t="shared" si="14"/>
        <v>100</v>
      </c>
      <c r="X40" s="3447"/>
      <c r="Y40" s="3701"/>
      <c r="Z40" s="3448" t="str">
        <f t="shared" si="15"/>
        <v>单套建筑面积</v>
      </c>
      <c r="AA40" s="3451">
        <f t="shared" si="3"/>
        <v>1</v>
      </c>
      <c r="AB40" s="3451">
        <f t="shared" si="4"/>
        <v>1</v>
      </c>
      <c r="AC40" s="3451">
        <f t="shared" si="5"/>
        <v>1</v>
      </c>
    </row>
    <row r="41" spans="1:29" s="422" customFormat="1" ht="15">
      <c r="A41" s="419"/>
      <c r="B41" s="3449" t="s">
        <v>1791</v>
      </c>
      <c r="C41" s="565" t="s">
        <v>3446</v>
      </c>
      <c r="D41" s="386">
        <v>100</v>
      </c>
      <c r="E41" s="565" t="s">
        <v>3446</v>
      </c>
      <c r="F41" s="412">
        <f>SUMIF(120:120,E41,121:121)-SUMIF(120:120,C41,121:121)+100</f>
        <v>100</v>
      </c>
      <c r="G41" s="565" t="s">
        <v>3446</v>
      </c>
      <c r="H41" s="386">
        <f>SUMIF(120:120,G41,121:121)-SUMIF(120:120,C41,121:121)+100</f>
        <v>100</v>
      </c>
      <c r="I41" s="565" t="s">
        <v>3446</v>
      </c>
      <c r="J41" s="386">
        <f>SUMIF(120:120,I41,121:121)-SUMIF(120:120,C41,121:121)+100</f>
        <v>100</v>
      </c>
      <c r="K41" s="561">
        <v>1</v>
      </c>
      <c r="L41" s="2717"/>
      <c r="M41" s="2719"/>
      <c r="N41" s="2719"/>
      <c r="O41" s="2719"/>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3451">
        <f t="shared" si="3"/>
        <v>1</v>
      </c>
      <c r="AB41" s="3451">
        <f t="shared" si="4"/>
        <v>1</v>
      </c>
      <c r="AC41" s="3451">
        <f t="shared" si="5"/>
        <v>1</v>
      </c>
    </row>
    <row r="42" spans="1:29" ht="15">
      <c r="A42" s="423"/>
      <c r="B42" s="375" t="s">
        <v>1792</v>
      </c>
      <c r="C42" s="1906" t="s">
        <v>3434</v>
      </c>
      <c r="D42" s="386">
        <v>100</v>
      </c>
      <c r="E42" s="1906" t="s">
        <v>3451</v>
      </c>
      <c r="F42" s="412">
        <f>SUMIF(122:122,E42,123:123)-SUMIF(122:122,C42,123:123)+100</f>
        <v>98</v>
      </c>
      <c r="G42" s="1906" t="s">
        <v>3434</v>
      </c>
      <c r="H42" s="386">
        <f>SUMIF(122:122,G42,123:123)-SUMIF(122:122,C42,123:123)+100</f>
        <v>100</v>
      </c>
      <c r="I42" s="1906" t="s">
        <v>3449</v>
      </c>
      <c r="J42" s="386">
        <f>SUMIF(122:122,I42,123:123)-SUMIF(122:122,C42,123:123)+100</f>
        <v>102</v>
      </c>
      <c r="K42" s="561">
        <v>2</v>
      </c>
      <c r="L42" s="2718"/>
      <c r="M42" s="2712"/>
      <c r="N42" s="2712"/>
      <c r="O42" s="2712"/>
      <c r="P42" s="3699"/>
      <c r="Q42" s="3450" t="str">
        <f t="shared" si="11"/>
        <v>内部装修</v>
      </c>
      <c r="R42" s="705" t="s">
        <v>14</v>
      </c>
      <c r="S42" s="706">
        <f t="shared" si="12"/>
        <v>98</v>
      </c>
      <c r="T42" s="705" t="s">
        <v>14</v>
      </c>
      <c r="U42" s="706">
        <f t="shared" si="13"/>
        <v>100</v>
      </c>
      <c r="V42" s="705" t="s">
        <v>14</v>
      </c>
      <c r="W42" s="706">
        <f t="shared" si="14"/>
        <v>102</v>
      </c>
      <c r="X42" s="3447"/>
      <c r="Y42" s="3701"/>
      <c r="Z42" s="3448" t="str">
        <f t="shared" si="15"/>
        <v>内部装修</v>
      </c>
      <c r="AA42" s="3451">
        <f t="shared" si="3"/>
        <v>1.0204081632653061</v>
      </c>
      <c r="AB42" s="3451">
        <f t="shared" si="4"/>
        <v>1</v>
      </c>
      <c r="AC42" s="3451">
        <f t="shared" si="5"/>
        <v>0.98039215686274506</v>
      </c>
    </row>
    <row r="43" spans="1:29" ht="15.75" thickBot="1">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1</v>
      </c>
      <c r="L43" s="2718"/>
      <c r="M43" s="2712"/>
      <c r="N43" s="2712"/>
      <c r="O43" s="2712"/>
      <c r="P43" s="3699"/>
      <c r="Q43" s="3450" t="str">
        <f t="shared" si="11"/>
        <v>内部装修维护情况</v>
      </c>
      <c r="R43" s="705" t="s">
        <v>14</v>
      </c>
      <c r="S43" s="706">
        <f t="shared" si="12"/>
        <v>100</v>
      </c>
      <c r="T43" s="705" t="s">
        <v>14</v>
      </c>
      <c r="U43" s="706">
        <f t="shared" si="13"/>
        <v>100</v>
      </c>
      <c r="V43" s="705" t="s">
        <v>14</v>
      </c>
      <c r="W43" s="706">
        <f t="shared" si="14"/>
        <v>100</v>
      </c>
      <c r="X43" s="3447"/>
      <c r="Y43" s="3701"/>
      <c r="Z43" s="3448" t="str">
        <f t="shared" si="15"/>
        <v>内部装修维护情况</v>
      </c>
      <c r="AA43" s="3451">
        <f t="shared" si="3"/>
        <v>1</v>
      </c>
      <c r="AB43" s="3451">
        <f t="shared" si="4"/>
        <v>1</v>
      </c>
      <c r="AC43" s="3451">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9"/>
      <c r="Q44" s="3446">
        <f t="shared" si="11"/>
        <v>111</v>
      </c>
      <c r="R44" s="701" t="s">
        <v>14</v>
      </c>
      <c r="S44" s="702">
        <f t="shared" si="12"/>
        <v>100</v>
      </c>
      <c r="T44" s="701" t="s">
        <v>14</v>
      </c>
      <c r="U44" s="702">
        <f t="shared" si="13"/>
        <v>100</v>
      </c>
      <c r="V44" s="701" t="s">
        <v>14</v>
      </c>
      <c r="W44" s="702">
        <f t="shared" si="14"/>
        <v>100</v>
      </c>
      <c r="X44" s="703"/>
      <c r="Y44" s="3701"/>
      <c r="Z44" s="3445">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9"/>
      <c r="Q45" s="3450">
        <f t="shared" si="11"/>
        <v>111</v>
      </c>
      <c r="R45" s="705" t="s">
        <v>14</v>
      </c>
      <c r="S45" s="706">
        <f t="shared" si="12"/>
        <v>100</v>
      </c>
      <c r="T45" s="705" t="s">
        <v>14</v>
      </c>
      <c r="U45" s="706">
        <f t="shared" si="13"/>
        <v>100</v>
      </c>
      <c r="V45" s="705" t="s">
        <v>14</v>
      </c>
      <c r="W45" s="706">
        <f t="shared" si="14"/>
        <v>100</v>
      </c>
      <c r="X45" s="3447"/>
      <c r="Y45" s="3701"/>
      <c r="Z45" s="3448">
        <f t="shared" si="15"/>
        <v>111</v>
      </c>
      <c r="AA45" s="3451">
        <f t="shared" si="3"/>
        <v>1</v>
      </c>
      <c r="AB45" s="3451">
        <f t="shared" si="4"/>
        <v>1</v>
      </c>
      <c r="AC45" s="3451">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0"/>
      <c r="Q46" s="3450">
        <f t="shared" si="11"/>
        <v>111</v>
      </c>
      <c r="R46" s="705" t="s">
        <v>14</v>
      </c>
      <c r="S46" s="706">
        <f t="shared" si="12"/>
        <v>100</v>
      </c>
      <c r="T46" s="705" t="s">
        <v>14</v>
      </c>
      <c r="U46" s="706">
        <f t="shared" si="13"/>
        <v>100</v>
      </c>
      <c r="V46" s="705" t="s">
        <v>14</v>
      </c>
      <c r="W46" s="706">
        <f t="shared" si="14"/>
        <v>100</v>
      </c>
      <c r="X46" s="3447"/>
      <c r="Y46" s="3702"/>
      <c r="Z46" s="3448">
        <f t="shared" si="15"/>
        <v>111</v>
      </c>
      <c r="AA46" s="3451">
        <f t="shared" si="3"/>
        <v>1</v>
      </c>
      <c r="AB46" s="3451">
        <f t="shared" si="4"/>
        <v>1</v>
      </c>
      <c r="AC46" s="3451">
        <f t="shared" si="5"/>
        <v>1</v>
      </c>
    </row>
    <row r="47" spans="1:29" ht="15">
      <c r="A47" s="430" t="s">
        <v>1708</v>
      </c>
      <c r="B47" s="431"/>
      <c r="C47" s="1154" t="s">
        <v>0</v>
      </c>
      <c r="D47" s="1155"/>
      <c r="E47" s="1156">
        <f>案例!C7</f>
        <v>4.3499999999999996</v>
      </c>
      <c r="F47" s="1157"/>
      <c r="G47" s="1158">
        <f>案例!C8</f>
        <v>4.93</v>
      </c>
      <c r="H47" s="1159"/>
      <c r="I47" s="1156">
        <f>案例!C9</f>
        <v>4.2699999999999996</v>
      </c>
      <c r="J47" s="1159"/>
      <c r="K47" s="714"/>
      <c r="L47" s="2720"/>
      <c r="M47" s="2721"/>
      <c r="N47" s="2712"/>
      <c r="O47" s="2721"/>
      <c r="P47" s="3694" t="str">
        <f>A47</f>
        <v>成交单价（元/平方米）</v>
      </c>
      <c r="Q47" s="3694"/>
      <c r="R47" s="3725">
        <f>E47</f>
        <v>4.3499999999999996</v>
      </c>
      <c r="S47" s="3725"/>
      <c r="T47" s="3725">
        <f>G47</f>
        <v>4.93</v>
      </c>
      <c r="U47" s="3725"/>
      <c r="V47" s="3725">
        <f>I47</f>
        <v>4.2699999999999996</v>
      </c>
      <c r="W47" s="3725"/>
      <c r="X47" s="690"/>
      <c r="Y47" s="712"/>
      <c r="Z47" s="690"/>
      <c r="AA47" s="690"/>
      <c r="AB47" s="690"/>
      <c r="AC47" s="690"/>
    </row>
    <row r="48" spans="1:29" ht="15.75" thickBot="1">
      <c r="A48" s="437" t="s">
        <v>1709</v>
      </c>
      <c r="B48" s="438"/>
      <c r="C48" s="1160">
        <f>R49</f>
        <v>3.6</v>
      </c>
      <c r="D48" s="2317" t="s">
        <v>2138</v>
      </c>
      <c r="E48" s="1161">
        <f>R48</f>
        <v>3.6</v>
      </c>
      <c r="F48" s="2318"/>
      <c r="G48" s="1160">
        <f>T48</f>
        <v>3.9</v>
      </c>
      <c r="H48" s="2318"/>
      <c r="I48" s="1161">
        <f>V48</f>
        <v>3.3</v>
      </c>
      <c r="J48" s="2318"/>
      <c r="K48" s="2320">
        <f>F48+H48+J48</f>
        <v>0</v>
      </c>
      <c r="L48" s="2720"/>
      <c r="M48" s="2721"/>
      <c r="N48" s="2712"/>
      <c r="O48" s="2721"/>
      <c r="P48" s="3694" t="str">
        <f>A48</f>
        <v>比较价值（元/平方米）</v>
      </c>
      <c r="Q48" s="3694"/>
      <c r="R48" s="3695">
        <f>IF(F1="售价",ROUND(PRODUCT(R47,AA7:AA46),0),ROUND(PRODUCT(R47,AA7:AA46),1))</f>
        <v>3.6</v>
      </c>
      <c r="S48" s="3695"/>
      <c r="T48" s="3695">
        <f>IF(F1="售价",ROUND(PRODUCT(T47,AB7:AB46),0),ROUND(PRODUCT(T47,AB7:AB46),1))</f>
        <v>3.9</v>
      </c>
      <c r="U48" s="3695"/>
      <c r="V48" s="3695">
        <f>IF(F1="售价",ROUND(PRODUCT(V47,AC7:AC46),0),ROUND(PRODUCT(V47,AC7:AC46),1))</f>
        <v>3.3</v>
      </c>
      <c r="W48" s="3695"/>
      <c r="X48" s="690"/>
      <c r="Y48" s="690"/>
      <c r="Z48" s="690"/>
      <c r="AA48" s="690"/>
      <c r="AB48" s="690"/>
      <c r="AC48" s="690"/>
    </row>
    <row r="49" spans="1:29" ht="15.75" thickBot="1">
      <c r="A49" s="441" t="s">
        <v>1710</v>
      </c>
      <c r="B49" s="442"/>
      <c r="C49" s="1163">
        <f>R49</f>
        <v>3.6</v>
      </c>
      <c r="D49" s="1163"/>
      <c r="E49" s="1163"/>
      <c r="F49" s="1163"/>
      <c r="G49" s="1163"/>
      <c r="H49" s="1163"/>
      <c r="I49" s="1163"/>
      <c r="J49" s="1163"/>
      <c r="K49" s="715"/>
      <c r="L49" s="2720"/>
      <c r="M49" s="2721"/>
      <c r="N49" s="2712"/>
      <c r="O49" s="2721"/>
      <c r="P49" s="3691" t="str">
        <f>A49</f>
        <v>估价对象XX用房的比较价值（楼面单价，元/平方米）</v>
      </c>
      <c r="Q49" s="3692"/>
      <c r="R49" s="3693">
        <f>IF(F1="售价",ROUND(IF(D48="简单平均",AVERAGE(R48:V48),R48*F48+T48*H48+V48*J48),0),ROUND(IF(D48="简单平均",AVERAGE(R48:V48),R48*F48+T48*H48+V48*J48),1))</f>
        <v>3.6</v>
      </c>
      <c r="S49" s="3693"/>
      <c r="T49" s="3693"/>
      <c r="U49" s="3693"/>
      <c r="V49" s="3693"/>
      <c r="W49" s="369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1711</v>
      </c>
      <c r="D52" s="447"/>
      <c r="E52" s="448">
        <f>IF(E47&lt;E48,E48/E47-1,E47/E48-1)</f>
        <v>0.20833333333333326</v>
      </c>
      <c r="F52" s="449" t="str">
        <f>IF(OR(E52&gt;=0.3,E52&lt;=-0.3),"超过30%","")</f>
        <v/>
      </c>
      <c r="G52" s="448">
        <f>IF(G47&lt;G48,G48/G47-1,G47/G48-1)</f>
        <v>0.26410256410256405</v>
      </c>
      <c r="H52" s="449" t="str">
        <f>IF(OR(G52&gt;=0.3,G52&lt;=-0.3),"超过30%","")</f>
        <v/>
      </c>
      <c r="I52" s="448">
        <f>IF(I47&lt;I48,I48/I47-1,I47/I48-1)</f>
        <v>0.29393939393939394</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1712</v>
      </c>
      <c r="D53" s="450"/>
      <c r="E53" s="448">
        <f>IF(E48&lt;G48,G48/E48-1,E48/G48-1)</f>
        <v>8.3333333333333259E-2</v>
      </c>
      <c r="F53" s="449" t="str">
        <f>IF(OR(E53&gt;=0.2,E53&lt;=-0.2),"超过20%","")</f>
        <v/>
      </c>
      <c r="G53" s="448">
        <f>IF(G48&lt;I48,I48/G48-1,G48/I48-1)</f>
        <v>0.18181818181818188</v>
      </c>
      <c r="H53" s="449" t="str">
        <f>IF(OR(G53&gt;=0.2,G53&lt;=-0.2),"超过20%","")</f>
        <v/>
      </c>
      <c r="I53" s="448">
        <f>IF(I48&lt;E48,E48/I48-1,I48/E48-1)</f>
        <v>9.090909090909105E-2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1713</v>
      </c>
      <c r="D54" s="450"/>
      <c r="E54" s="448">
        <f>IF(E47&lt;G47,G47/E47-1,E47/G47-1)</f>
        <v>0.1333333333333333</v>
      </c>
      <c r="F54" s="449" t="str">
        <f>IF(OR(E54&gt;=0.3,E54&lt;=-0.3),"超过30%","")</f>
        <v/>
      </c>
      <c r="G54" s="448">
        <f>IF(G47&lt;I47,I47/G47-1,G47/I47-1)</f>
        <v>0.15456674473067911</v>
      </c>
      <c r="H54" s="449" t="str">
        <f>IF(OR(G54&gt;=0.3,G54&lt;=-0.3),"超过30%","")</f>
        <v/>
      </c>
      <c r="I54" s="448">
        <f>IF(I47&lt;E47,E47/I47-1,I47/E47-1)</f>
        <v>1.87353629976581E-2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1714</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1718</v>
      </c>
      <c r="D61" s="3457" t="s">
        <v>3406</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104</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8.5" hidden="1" thickTop="1" thickBot="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6.5" hidden="1" thickTop="1"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6.5" hidden="1" thickTop="1" thickBot="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6.5" hidden="1" thickTop="1" thickBot="1">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6.5" hidden="1" thickTop="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6.5" hidden="1" thickTop="1" thickBot="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6.5" hidden="1" thickTop="1"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6.5" hidden="1" thickTop="1" thickBot="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6.5" hidden="1" thickTop="1"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6.5" hidden="1" thickTop="1" thickBot="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6.5" hidden="1" thickTop="1"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99</v>
      </c>
      <c r="E85" s="493">
        <f>D85-$K23</f>
        <v>98</v>
      </c>
      <c r="F85" s="493">
        <f>E85-$K23</f>
        <v>97</v>
      </c>
      <c r="G85" s="493">
        <f>F85-$K23</f>
        <v>96</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58" t="s">
        <v>3407</v>
      </c>
      <c r="D86" s="3458" t="s">
        <v>3408</v>
      </c>
      <c r="E86" s="3458" t="s">
        <v>3410</v>
      </c>
      <c r="F86" s="3458" t="s">
        <v>3411</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96</v>
      </c>
      <c r="E87" s="493">
        <f t="shared" si="20"/>
        <v>92</v>
      </c>
      <c r="F87" s="493">
        <f t="shared" si="20"/>
        <v>88</v>
      </c>
      <c r="G87" s="493">
        <f t="shared" si="20"/>
        <v>84</v>
      </c>
      <c r="H87" s="493">
        <f t="shared" si="20"/>
        <v>80</v>
      </c>
      <c r="I87" s="493">
        <f t="shared" si="20"/>
        <v>76</v>
      </c>
      <c r="J87" s="493">
        <f t="shared" si="20"/>
        <v>72</v>
      </c>
      <c r="K87" s="493">
        <f t="shared" si="20"/>
        <v>68</v>
      </c>
      <c r="L87" s="493">
        <f t="shared" si="20"/>
        <v>64</v>
      </c>
      <c r="M87" s="493">
        <f t="shared" si="20"/>
        <v>60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58" t="s">
        <v>3412</v>
      </c>
      <c r="D88" s="3458" t="s">
        <v>3413</v>
      </c>
      <c r="E88" s="3458" t="s">
        <v>3415</v>
      </c>
      <c r="F88" s="3459" t="s">
        <v>3416</v>
      </c>
      <c r="G88" s="3458" t="s">
        <v>3417</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58" t="s">
        <v>3418</v>
      </c>
      <c r="D90" s="3458" t="s">
        <v>3420</v>
      </c>
      <c r="E90" s="3458" t="s">
        <v>3415</v>
      </c>
      <c r="F90" s="3458" t="s">
        <v>3421</v>
      </c>
      <c r="G90" s="3458" t="s">
        <v>3422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3458" t="s">
        <v>3423</v>
      </c>
      <c r="D92" s="3458" t="s">
        <v>3424</v>
      </c>
      <c r="E92" s="3458" t="s">
        <v>3425</v>
      </c>
      <c r="F92" s="3458" t="s">
        <v>3461</v>
      </c>
      <c r="G92" s="3458"/>
      <c r="H92" s="3458"/>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f>ROUND(案例!F4,1)</f>
        <v>133.30000000000001</v>
      </c>
      <c r="D93" s="485">
        <f>ROUND(案例!G4,1)</f>
        <v>113.3</v>
      </c>
      <c r="E93" s="485">
        <v>100</v>
      </c>
      <c r="F93" s="485">
        <f>ROUND(案例!G7,1)</f>
        <v>93.3</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6.5" hidden="1" thickTop="1" thickBot="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6.5" hidden="1" thickTop="1"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6.5" hidden="1" thickTop="1" thickBot="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6.5" hidden="1" thickTop="1"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6.5" hidden="1" thickTop="1" thickBot="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6.5" hidden="1" thickTop="1"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5" thickTop="1">
      <c r="A100" s="476" t="s">
        <v>1694</v>
      </c>
      <c r="B100" s="477" t="s">
        <v>1805</v>
      </c>
      <c r="C100" s="3460" t="s">
        <v>3426</v>
      </c>
      <c r="D100" s="3460" t="s">
        <v>3427</v>
      </c>
      <c r="E100" s="3460" t="s">
        <v>3429</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0(含)-500</v>
      </c>
      <c r="D102" s="527" t="str">
        <f t="shared" ref="D102:L102" si="24">D103&amp;"(含)"&amp;"-"&amp;E103</f>
        <v>500(含)-1000</v>
      </c>
      <c r="E102" s="527" t="str">
        <f t="shared" si="24"/>
        <v>1000(含)-1500</v>
      </c>
      <c r="F102" s="527" t="str">
        <f t="shared" si="24"/>
        <v>1500(含)-2000</v>
      </c>
      <c r="G102" s="527" t="str">
        <f t="shared" si="24"/>
        <v>2000(含)-2500</v>
      </c>
      <c r="H102" s="527" t="str">
        <f t="shared" si="24"/>
        <v>2500(含)-3000</v>
      </c>
      <c r="I102" s="527" t="str">
        <f t="shared" si="24"/>
        <v>3000(含)-</v>
      </c>
      <c r="J102" s="527" t="str">
        <f t="shared" si="24"/>
        <v>(含)-</v>
      </c>
      <c r="K102" s="527" t="str">
        <f t="shared" si="24"/>
        <v>(含)-</v>
      </c>
      <c r="L102" s="527" t="str">
        <f t="shared" si="24"/>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500</v>
      </c>
      <c r="E103" s="544">
        <v>1000</v>
      </c>
      <c r="F103" s="544">
        <v>1500</v>
      </c>
      <c r="G103" s="544">
        <v>2000</v>
      </c>
      <c r="H103" s="544">
        <v>2500</v>
      </c>
      <c r="I103" s="544">
        <v>3000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58" t="s">
        <v>3430</v>
      </c>
      <c r="D105" s="3458" t="s">
        <v>3431</v>
      </c>
      <c r="E105" s="3461" t="s">
        <v>3433</v>
      </c>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58" t="s">
        <v>3435</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458" t="s">
        <v>3436</v>
      </c>
      <c r="D112" s="3458" t="s">
        <v>3438</v>
      </c>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58" t="s">
        <v>3440</v>
      </c>
      <c r="D114" s="3458" t="s">
        <v>3442</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58" t="s">
        <v>3444</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75" hidden="1" thickTop="1" thickBot="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6.5" hidden="1" thickTop="1"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1" t="s">
        <v>3445</v>
      </c>
      <c r="D120" s="3461" t="s">
        <v>3447</v>
      </c>
      <c r="E120" s="3461" t="s">
        <v>3415</v>
      </c>
      <c r="F120" s="3461" t="s">
        <v>3448</v>
      </c>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99</v>
      </c>
      <c r="E121" s="493">
        <f t="shared" ref="E121:M121" si="31">D121-$K41</f>
        <v>98</v>
      </c>
      <c r="F121" s="493">
        <f t="shared" si="31"/>
        <v>97</v>
      </c>
      <c r="G121" s="493">
        <f t="shared" si="31"/>
        <v>96</v>
      </c>
      <c r="H121" s="493">
        <f t="shared" si="31"/>
        <v>95</v>
      </c>
      <c r="I121" s="493">
        <f t="shared" si="31"/>
        <v>94</v>
      </c>
      <c r="J121" s="493">
        <f t="shared" si="31"/>
        <v>93</v>
      </c>
      <c r="K121" s="493">
        <f t="shared" si="31"/>
        <v>92</v>
      </c>
      <c r="L121" s="493">
        <f t="shared" si="31"/>
        <v>91</v>
      </c>
      <c r="M121" s="494">
        <f t="shared" si="31"/>
        <v>90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58" t="s">
        <v>3450</v>
      </c>
      <c r="D122" s="3458" t="s">
        <v>3435</v>
      </c>
      <c r="E122" s="3458" t="s">
        <v>3452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hidden="1"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6.5" hidden="1" thickTop="1"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hidden="1"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6.5" hidden="1" thickTop="1"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hidden="1"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6.5" hidden="1" thickTop="1"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row r="132" spans="1:29" ht="15" thickTop="1"/>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38" priority="20"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9"/>
  <sheetViews>
    <sheetView tabSelected="1" workbookViewId="0">
      <selection activeCell="D9" sqref="D9"/>
    </sheetView>
  </sheetViews>
  <sheetFormatPr defaultRowHeight="13.5"/>
  <sheetData>
    <row r="1" spans="1:7">
      <c r="A1" s="3466" t="s">
        <v>3454</v>
      </c>
      <c r="B1" s="3466" t="s">
        <v>3455</v>
      </c>
      <c r="C1" s="3466" t="s">
        <v>3456</v>
      </c>
      <c r="D1" s="3466" t="s">
        <v>3458</v>
      </c>
      <c r="F1" s="3466" t="s">
        <v>3483</v>
      </c>
    </row>
    <row r="2" spans="1:7">
      <c r="A2" s="3466" t="s">
        <v>3457</v>
      </c>
      <c r="B2">
        <v>897.48</v>
      </c>
      <c r="C2">
        <v>18942</v>
      </c>
      <c r="D2" s="3466" t="s">
        <v>3459</v>
      </c>
      <c r="F2" t="s">
        <v>3477</v>
      </c>
      <c r="G2" t="s">
        <v>3478</v>
      </c>
    </row>
    <row r="3" spans="1:7">
      <c r="A3" s="3466" t="s">
        <v>3462</v>
      </c>
      <c r="B3">
        <v>1829.56</v>
      </c>
      <c r="C3">
        <v>21590</v>
      </c>
      <c r="D3" s="3466" t="s">
        <v>3463</v>
      </c>
      <c r="F3">
        <v>100</v>
      </c>
      <c r="G3">
        <v>85</v>
      </c>
    </row>
    <row r="4" spans="1:7">
      <c r="A4" s="3466" t="s">
        <v>3486</v>
      </c>
      <c r="B4">
        <v>2700</v>
      </c>
      <c r="C4">
        <v>20000</v>
      </c>
      <c r="D4" s="3466" t="s">
        <v>3487</v>
      </c>
      <c r="F4">
        <f>F3/F6*F7</f>
        <v>133.33333333333331</v>
      </c>
      <c r="G4">
        <f>G3/F6*F7</f>
        <v>113.33333333333333</v>
      </c>
    </row>
    <row r="5" spans="1:7">
      <c r="F5" t="s">
        <v>3479</v>
      </c>
      <c r="G5" t="s">
        <v>3480</v>
      </c>
    </row>
    <row r="6" spans="1:7">
      <c r="A6" s="3466" t="s">
        <v>3469</v>
      </c>
      <c r="B6" s="3466" t="s">
        <v>3470</v>
      </c>
      <c r="C6" s="3466" t="s">
        <v>3471</v>
      </c>
      <c r="D6" s="3466" t="s">
        <v>3472</v>
      </c>
      <c r="F6">
        <v>75</v>
      </c>
      <c r="G6">
        <v>70</v>
      </c>
    </row>
    <row r="7" spans="1:7">
      <c r="A7" s="3466" t="s">
        <v>3488</v>
      </c>
      <c r="B7" s="3466">
        <v>230</v>
      </c>
      <c r="C7" s="3466">
        <v>4.3499999999999996</v>
      </c>
      <c r="D7" s="3466" t="s">
        <v>3482</v>
      </c>
      <c r="F7">
        <v>100</v>
      </c>
      <c r="G7">
        <f>G6/F6*F7</f>
        <v>93.333333333333329</v>
      </c>
    </row>
    <row r="8" spans="1:7">
      <c r="A8" s="3466" t="s">
        <v>3490</v>
      </c>
      <c r="B8" s="3466">
        <v>200</v>
      </c>
      <c r="C8" s="3466">
        <v>4.93</v>
      </c>
      <c r="D8" s="3466" t="s">
        <v>3482</v>
      </c>
    </row>
    <row r="9" spans="1:7">
      <c r="A9" s="3466" t="s">
        <v>3491</v>
      </c>
      <c r="B9" s="3466">
        <v>490</v>
      </c>
      <c r="C9" s="3466">
        <v>4.2699999999999996</v>
      </c>
      <c r="D9" s="3466" t="s">
        <v>3482</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中国农业银行股份有限公司北京西城支行：</v>
      </c>
    </row>
    <row r="4" spans="1:1" ht="36">
      <c r="A4" s="1480" t="str">
        <f>"受贵公司委托，我公司对"&amp;项目基本情况!S1&amp;"进行了预评估。"</f>
        <v>受贵公司委托，我公司对北京市昌平区东小口镇天通苑西苑2号楼商业用房房地产抵押价值进行了预评估。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估价对象为北京市昌平区东小口镇天通苑西苑2号楼商业用房房地产，为所有。根据《国有土地使用证》[]，估价对象（分摊）出让国有建设用地使用权面积为0平方米，建筑面积为843.77平方米。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镇天通苑西苑2号楼商业用房房地产,属开发建设的，该项目尚在开发建设中。根据《国有土地使用证》[]，估价对象（分摊）出让国有建设用地使用权面积为0平方米，规划建筑面积为843.77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商业，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843.77</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1"/>
      <c r="M4" s="2712"/>
      <c r="N4" s="2712"/>
      <c r="O4" s="2712"/>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8" t="s">
        <v>1673</v>
      </c>
      <c r="D5" s="3729"/>
      <c r="E5" s="3735" t="s">
        <v>1674</v>
      </c>
      <c r="F5" s="3736"/>
      <c r="G5" s="3728" t="s">
        <v>1675</v>
      </c>
      <c r="H5" s="3729"/>
      <c r="I5" s="3728" t="s">
        <v>1676</v>
      </c>
      <c r="J5" s="3729"/>
      <c r="K5" s="559"/>
      <c r="L5" s="2711"/>
      <c r="M5" s="2712"/>
      <c r="N5" s="2712"/>
      <c r="O5" s="2712"/>
      <c r="P5" s="3746"/>
      <c r="Q5" s="3716"/>
      <c r="R5" s="3721"/>
      <c r="S5" s="3722"/>
      <c r="T5" s="3721"/>
      <c r="U5" s="3722"/>
      <c r="V5" s="3725"/>
      <c r="W5" s="3725"/>
      <c r="X5" s="1355"/>
      <c r="Y5" s="3721"/>
      <c r="Z5" s="3722"/>
      <c r="AA5" s="3707"/>
      <c r="AB5" s="3707"/>
      <c r="AC5" s="3742"/>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47"/>
      <c r="Q6" s="3718"/>
      <c r="R6" s="3721"/>
      <c r="S6" s="3722"/>
      <c r="T6" s="3723"/>
      <c r="U6" s="3724"/>
      <c r="V6" s="3725"/>
      <c r="W6" s="3725"/>
      <c r="X6" s="1355"/>
      <c r="Y6" s="3723"/>
      <c r="Z6" s="3724"/>
      <c r="AA6" s="3708"/>
      <c r="AB6" s="3708"/>
      <c r="AC6" s="3743"/>
    </row>
    <row r="7" spans="1:29" s="108" customFormat="1" ht="15.75" thickBot="1">
      <c r="A7" s="362" t="s">
        <v>1679</v>
      </c>
      <c r="B7" s="363"/>
      <c r="C7" s="364">
        <f>'数据-取费表'!B2</f>
        <v>45469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1"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1"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5"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5"/>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05"/>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05"/>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05"/>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3"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04"/>
      <c r="Q16" s="1352"/>
      <c r="R16" s="705"/>
      <c r="S16" s="706"/>
      <c r="T16" s="705"/>
      <c r="U16" s="706"/>
      <c r="V16" s="705"/>
      <c r="W16" s="706"/>
      <c r="X16" s="1355"/>
      <c r="Y16" s="369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04"/>
      <c r="Q18" s="1352"/>
      <c r="R18" s="705"/>
      <c r="S18" s="706"/>
      <c r="T18" s="705"/>
      <c r="U18" s="706"/>
      <c r="V18" s="705"/>
      <c r="W18" s="706"/>
      <c r="X18" s="1355"/>
      <c r="Y18" s="369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04"/>
      <c r="Q20" s="1352"/>
      <c r="R20" s="705"/>
      <c r="S20" s="706"/>
      <c r="T20" s="705"/>
      <c r="U20" s="706"/>
      <c r="V20" s="705"/>
      <c r="W20" s="706"/>
      <c r="X20" s="1355"/>
      <c r="Y20" s="369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04"/>
      <c r="Q22" s="1352"/>
      <c r="R22" s="705"/>
      <c r="S22" s="706"/>
      <c r="T22" s="705"/>
      <c r="U22" s="706"/>
      <c r="V22" s="705"/>
      <c r="W22" s="706"/>
      <c r="X22" s="1355"/>
      <c r="Y22" s="369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04"/>
      <c r="Q24" s="1352"/>
      <c r="R24" s="705"/>
      <c r="S24" s="706"/>
      <c r="T24" s="705"/>
      <c r="U24" s="706"/>
      <c r="V24" s="705"/>
      <c r="W24" s="706"/>
      <c r="X24" s="1355"/>
      <c r="Y24" s="369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04"/>
      <c r="Q26" s="1352"/>
      <c r="R26" s="705"/>
      <c r="S26" s="706"/>
      <c r="T26" s="705"/>
      <c r="U26" s="706"/>
      <c r="V26" s="705"/>
      <c r="W26" s="706"/>
      <c r="X26" s="1355"/>
      <c r="Y26" s="369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05"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843.77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913"/>
      <c r="M5" s="914"/>
      <c r="N5" s="914"/>
      <c r="O5" s="914"/>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913"/>
      <c r="M6" s="914"/>
      <c r="N6" s="914"/>
      <c r="O6" s="914"/>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1"/>
      <c r="M4" s="2712"/>
      <c r="N4" s="2712"/>
      <c r="O4" s="2712"/>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1"/>
      <c r="M5" s="2712"/>
      <c r="N5" s="2712"/>
      <c r="O5" s="2712"/>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4" t="s">
        <v>1686</v>
      </c>
      <c r="Q9" s="1343"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4"/>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97"/>
      <c r="Q15" s="1352"/>
      <c r="R15" s="705"/>
      <c r="S15" s="706"/>
      <c r="T15" s="705"/>
      <c r="U15" s="706"/>
      <c r="V15" s="705"/>
      <c r="W15" s="706"/>
      <c r="X15" s="1355"/>
      <c r="Y15" s="369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97"/>
      <c r="Q17" s="1352"/>
      <c r="R17" s="705"/>
      <c r="S17" s="706"/>
      <c r="T17" s="705"/>
      <c r="U17" s="706"/>
      <c r="V17" s="705"/>
      <c r="W17" s="706"/>
      <c r="X17" s="1355"/>
      <c r="Y17" s="369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97"/>
      <c r="Q19" s="1352"/>
      <c r="R19" s="705"/>
      <c r="S19" s="706"/>
      <c r="T19" s="705"/>
      <c r="U19" s="706"/>
      <c r="V19" s="705"/>
      <c r="W19" s="706"/>
      <c r="X19" s="1355"/>
      <c r="Y19" s="369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91" t="str">
        <f>A39</f>
        <v>估价对象XX用房的比较价值（楼面单价，元/平方米）</v>
      </c>
      <c r="Q39" s="3692"/>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1"/>
      <c r="M4" s="2712"/>
      <c r="N4" s="2712"/>
      <c r="O4" s="2712"/>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1"/>
      <c r="M5" s="2712"/>
      <c r="N5" s="2712"/>
      <c r="O5" s="2712"/>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45469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4" t="s">
        <v>1686</v>
      </c>
      <c r="Q9" s="1343"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4"/>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97"/>
      <c r="Q15" s="1352"/>
      <c r="R15" s="705"/>
      <c r="S15" s="706"/>
      <c r="T15" s="705"/>
      <c r="U15" s="706"/>
      <c r="V15" s="705"/>
      <c r="W15" s="706"/>
      <c r="X15" s="1355"/>
      <c r="Y15" s="369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97"/>
      <c r="Q17" s="1352"/>
      <c r="R17" s="705"/>
      <c r="S17" s="706"/>
      <c r="T17" s="705"/>
      <c r="U17" s="706"/>
      <c r="V17" s="705"/>
      <c r="W17" s="706"/>
      <c r="X17" s="1355"/>
      <c r="Y17" s="369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97"/>
      <c r="Q19" s="1352"/>
      <c r="R19" s="705"/>
      <c r="S19" s="706"/>
      <c r="T19" s="705"/>
      <c r="U19" s="706"/>
      <c r="V19" s="705"/>
      <c r="W19" s="706"/>
      <c r="X19" s="1355"/>
      <c r="Y19" s="369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91" t="str">
        <f>A37</f>
        <v>估价对象XX用房的比较价值（楼面单价，元/平方米）</v>
      </c>
      <c r="Q37" s="3692"/>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1"/>
      <c r="M4" s="2712"/>
      <c r="N4" s="2712"/>
      <c r="O4" s="2712"/>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30" ht="15">
      <c r="A5" s="358"/>
      <c r="B5" s="359"/>
      <c r="C5" s="3728" t="s">
        <v>1673</v>
      </c>
      <c r="D5" s="3729"/>
      <c r="E5" s="3735" t="s">
        <v>1674</v>
      </c>
      <c r="F5" s="3736"/>
      <c r="G5" s="3728" t="s">
        <v>1675</v>
      </c>
      <c r="H5" s="3729"/>
      <c r="I5" s="3728" t="s">
        <v>1676</v>
      </c>
      <c r="J5" s="3729"/>
      <c r="K5" s="559"/>
      <c r="L5" s="2711"/>
      <c r="M5" s="2712"/>
      <c r="N5" s="2712"/>
      <c r="O5" s="2712"/>
      <c r="P5" s="3715"/>
      <c r="Q5" s="3716"/>
      <c r="R5" s="3721"/>
      <c r="S5" s="3722"/>
      <c r="T5" s="3721"/>
      <c r="U5" s="3722"/>
      <c r="V5" s="3725"/>
      <c r="W5" s="3725"/>
      <c r="X5" s="1355"/>
      <c r="Y5" s="3721"/>
      <c r="Z5" s="3722"/>
      <c r="AA5" s="3707"/>
      <c r="AB5" s="3707"/>
      <c r="AC5" s="3707"/>
    </row>
    <row r="6" spans="1:30" ht="15.75" thickBot="1">
      <c r="A6" s="360"/>
      <c r="B6" s="361"/>
      <c r="C6" s="3726" t="s">
        <v>1677</v>
      </c>
      <c r="D6" s="3727"/>
      <c r="E6" s="3733" t="s">
        <v>1677</v>
      </c>
      <c r="F6" s="3734"/>
      <c r="G6" s="3726" t="s">
        <v>1677</v>
      </c>
      <c r="H6" s="3727"/>
      <c r="I6" s="3726" t="s">
        <v>1677</v>
      </c>
      <c r="J6" s="3727"/>
      <c r="K6" s="559" t="s">
        <v>1678</v>
      </c>
      <c r="L6" s="2711"/>
      <c r="M6" s="2712"/>
      <c r="N6" s="2712"/>
      <c r="O6" s="2712"/>
      <c r="P6" s="3717"/>
      <c r="Q6" s="3718"/>
      <c r="R6" s="3721"/>
      <c r="S6" s="3722"/>
      <c r="T6" s="3723"/>
      <c r="U6" s="3724"/>
      <c r="V6" s="3725"/>
      <c r="W6" s="3725"/>
      <c r="X6" s="1355"/>
      <c r="Y6" s="3723"/>
      <c r="Z6" s="3724"/>
      <c r="AA6" s="3708"/>
      <c r="AB6" s="3708"/>
      <c r="AC6" s="3708"/>
    </row>
    <row r="7" spans="1:30" s="108" customFormat="1" ht="15.75" thickBot="1">
      <c r="A7" s="362" t="s">
        <v>1679</v>
      </c>
      <c r="B7" s="363"/>
      <c r="C7" s="364">
        <f>'数据-取费表'!B2</f>
        <v>45469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0" t="s">
        <v>1683</v>
      </c>
      <c r="Q8" s="3731"/>
      <c r="R8" s="701" t="s">
        <v>14</v>
      </c>
      <c r="S8" s="702">
        <f t="shared" si="0"/>
        <v>0</v>
      </c>
      <c r="T8" s="701" t="s">
        <v>14</v>
      </c>
      <c r="U8" s="702">
        <f t="shared" si="1"/>
        <v>0</v>
      </c>
      <c r="V8" s="701" t="s">
        <v>14</v>
      </c>
      <c r="W8" s="702">
        <f t="shared" si="2"/>
        <v>0</v>
      </c>
      <c r="X8" s="703"/>
      <c r="Y8" s="3730" t="s">
        <v>1683</v>
      </c>
      <c r="Z8" s="373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9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5"/>
      <c r="M10" s="2716"/>
      <c r="N10" s="2716"/>
      <c r="O10" s="2769"/>
      <c r="P10" s="3694"/>
      <c r="Q10" s="1343" t="str">
        <f t="shared" si="6"/>
        <v>土地使用年限（年）</v>
      </c>
      <c r="R10" s="701" t="s">
        <v>14</v>
      </c>
      <c r="S10" s="702">
        <f t="shared" si="0"/>
        <v>152</v>
      </c>
      <c r="T10" s="701" t="s">
        <v>14</v>
      </c>
      <c r="U10" s="702">
        <f t="shared" si="1"/>
        <v>152</v>
      </c>
      <c r="V10" s="701" t="s">
        <v>14</v>
      </c>
      <c r="W10" s="702">
        <f t="shared" si="2"/>
        <v>152</v>
      </c>
      <c r="X10" s="703"/>
      <c r="Y10" s="3569"/>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4"/>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4"/>
      <c r="Q12" s="1343" t="str">
        <f t="shared" si="6"/>
        <v>配建</v>
      </c>
      <c r="R12" s="701" t="s">
        <v>14</v>
      </c>
      <c r="S12" s="702">
        <f t="shared" si="0"/>
        <v>100</v>
      </c>
      <c r="T12" s="701" t="s">
        <v>14</v>
      </c>
      <c r="U12" s="702">
        <f t="shared" si="1"/>
        <v>100</v>
      </c>
      <c r="V12" s="701" t="s">
        <v>14</v>
      </c>
      <c r="W12" s="702">
        <f t="shared" si="2"/>
        <v>100</v>
      </c>
      <c r="X12" s="703"/>
      <c r="Y12" s="35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97"/>
      <c r="Q16" s="1352"/>
      <c r="R16" s="705"/>
      <c r="S16" s="706"/>
      <c r="T16" s="705"/>
      <c r="U16" s="706"/>
      <c r="V16" s="705"/>
      <c r="W16" s="706"/>
      <c r="X16" s="1355"/>
      <c r="Y16" s="369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97"/>
      <c r="Q18" s="1352"/>
      <c r="R18" s="705"/>
      <c r="S18" s="706"/>
      <c r="T18" s="705"/>
      <c r="U18" s="706"/>
      <c r="V18" s="705"/>
      <c r="W18" s="706"/>
      <c r="X18" s="1355"/>
      <c r="Y18" s="369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97"/>
      <c r="Q20" s="1352"/>
      <c r="R20" s="705"/>
      <c r="S20" s="706"/>
      <c r="T20" s="705"/>
      <c r="U20" s="706"/>
      <c r="V20" s="705"/>
      <c r="W20" s="706"/>
      <c r="X20" s="1355"/>
      <c r="Y20" s="369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97"/>
      <c r="Q22" s="1352"/>
      <c r="R22" s="705"/>
      <c r="S22" s="706"/>
      <c r="T22" s="705"/>
      <c r="U22" s="706"/>
      <c r="V22" s="705"/>
      <c r="W22" s="706"/>
      <c r="X22" s="1355"/>
      <c r="Y22" s="369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97"/>
      <c r="Q24" s="1352"/>
      <c r="R24" s="705"/>
      <c r="S24" s="706"/>
      <c r="T24" s="705"/>
      <c r="U24" s="706"/>
      <c r="V24" s="705"/>
      <c r="W24" s="706"/>
      <c r="X24" s="1355"/>
      <c r="Y24" s="369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97"/>
      <c r="Q26" s="1352"/>
      <c r="R26" s="705"/>
      <c r="S26" s="706"/>
      <c r="T26" s="705"/>
      <c r="U26" s="706"/>
      <c r="V26" s="705"/>
      <c r="W26" s="706"/>
      <c r="X26" s="1355"/>
      <c r="Y26" s="369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97"/>
      <c r="Q28" s="1343"/>
      <c r="R28" s="701"/>
      <c r="S28" s="702"/>
      <c r="T28" s="701"/>
      <c r="U28" s="702"/>
      <c r="V28" s="701"/>
      <c r="W28" s="702"/>
      <c r="X28" s="703"/>
      <c r="Y28" s="369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3"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94" t="str">
        <f>A46</f>
        <v>成交单价</v>
      </c>
      <c r="Q46" s="3694"/>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94" t="str">
        <f>A47</f>
        <v>比较价值（元/平方米）</v>
      </c>
      <c r="Q47" s="3694"/>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1" t="str">
        <f>A48</f>
        <v>估价对象XX用房的比较价值（楼面单价，元/平方米）</v>
      </c>
      <c r="Q48" s="3692"/>
      <c r="R48" s="3756" t="e">
        <f>ROUND(IF(D47="简单平均",AVERAGE(R47:W47),R47*F47+T47*H47+V47*J47),0)</f>
        <v>#DIV/0!</v>
      </c>
      <c r="S48" s="3756"/>
      <c r="T48" s="3756"/>
      <c r="U48" s="3756"/>
      <c r="V48" s="3756"/>
      <c r="W48" s="375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09" t="s">
        <v>1887</v>
      </c>
      <c r="H55" s="375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843.77</v>
      </c>
      <c r="F56" s="886" t="e">
        <f t="shared" ref="F56:F64" si="15">ROUND(B56*E56/10000,0)</f>
        <v>#DIV/0!</v>
      </c>
      <c r="G56" s="3705"/>
      <c r="H56" s="369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843.77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1"/>
      <c r="M4" s="2712"/>
      <c r="N4" s="2712"/>
      <c r="O4" s="2712"/>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1"/>
      <c r="M5" s="2712"/>
      <c r="N5" s="2712"/>
      <c r="O5" s="2712"/>
      <c r="P5" s="3715"/>
      <c r="Q5" s="3716"/>
      <c r="R5" s="3721"/>
      <c r="S5" s="3722"/>
      <c r="T5" s="3721"/>
      <c r="U5" s="3722"/>
      <c r="V5" s="3725"/>
      <c r="W5" s="3725"/>
      <c r="X5" s="1355"/>
      <c r="Y5" s="3721"/>
      <c r="Z5" s="3722"/>
      <c r="AA5" s="3707"/>
      <c r="AB5" s="3707"/>
      <c r="AC5" s="3707"/>
    </row>
    <row r="6" spans="1:29" ht="15.75" thickBot="1">
      <c r="A6" s="360"/>
      <c r="B6" s="361"/>
      <c r="C6" s="3758" t="s">
        <v>1919</v>
      </c>
      <c r="D6" s="3759"/>
      <c r="E6" s="3760" t="s">
        <v>1919</v>
      </c>
      <c r="F6" s="3761"/>
      <c r="G6" s="3758" t="s">
        <v>1919</v>
      </c>
      <c r="H6" s="3759"/>
      <c r="I6" s="3758" t="s">
        <v>1919</v>
      </c>
      <c r="J6" s="3759"/>
      <c r="K6" s="559" t="s">
        <v>1678</v>
      </c>
      <c r="L6" s="2711"/>
      <c r="M6" s="2712"/>
      <c r="N6" s="2712"/>
      <c r="O6" s="2712"/>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45469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0" t="s">
        <v>1683</v>
      </c>
      <c r="Q8" s="3731"/>
      <c r="R8" s="701" t="s">
        <v>14</v>
      </c>
      <c r="S8" s="702">
        <f t="shared" si="0"/>
        <v>0</v>
      </c>
      <c r="T8" s="701" t="s">
        <v>14</v>
      </c>
      <c r="U8" s="702">
        <f t="shared" si="1"/>
        <v>0</v>
      </c>
      <c r="V8" s="701" t="s">
        <v>14</v>
      </c>
      <c r="W8" s="702">
        <f t="shared" si="2"/>
        <v>0</v>
      </c>
      <c r="X8" s="703"/>
      <c r="Y8" s="3730" t="s">
        <v>1683</v>
      </c>
      <c r="Z8" s="373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9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5"/>
      <c r="M10" s="2716"/>
      <c r="N10" s="2716"/>
      <c r="O10" s="2769"/>
      <c r="P10" s="3694"/>
      <c r="Q10" s="1343" t="str">
        <f t="shared" si="6"/>
        <v>土地使用年限（年）</v>
      </c>
      <c r="R10" s="701" t="s">
        <v>14</v>
      </c>
      <c r="S10" s="702">
        <f t="shared" si="0"/>
        <v>152</v>
      </c>
      <c r="T10" s="701" t="s">
        <v>14</v>
      </c>
      <c r="U10" s="702">
        <f t="shared" si="1"/>
        <v>152</v>
      </c>
      <c r="V10" s="701" t="s">
        <v>14</v>
      </c>
      <c r="W10" s="702">
        <f t="shared" si="2"/>
        <v>152</v>
      </c>
      <c r="X10" s="703"/>
      <c r="Y10" s="3569"/>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4"/>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97"/>
      <c r="Q16" s="1352"/>
      <c r="R16" s="705"/>
      <c r="S16" s="706"/>
      <c r="T16" s="705"/>
      <c r="U16" s="706"/>
      <c r="V16" s="705"/>
      <c r="W16" s="706"/>
      <c r="X16" s="1355"/>
      <c r="Y16" s="369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97"/>
      <c r="Q18" s="1352"/>
      <c r="R18" s="705"/>
      <c r="S18" s="706"/>
      <c r="T18" s="705"/>
      <c r="U18" s="706"/>
      <c r="V18" s="705"/>
      <c r="W18" s="706"/>
      <c r="X18" s="1355"/>
      <c r="Y18" s="369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97"/>
      <c r="Q20" s="1352"/>
      <c r="R20" s="705"/>
      <c r="S20" s="706"/>
      <c r="T20" s="705"/>
      <c r="U20" s="706"/>
      <c r="V20" s="705"/>
      <c r="W20" s="706"/>
      <c r="X20" s="1355"/>
      <c r="Y20" s="369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97"/>
      <c r="Q22" s="1352"/>
      <c r="R22" s="705"/>
      <c r="S22" s="706"/>
      <c r="T22" s="705"/>
      <c r="U22" s="706"/>
      <c r="V22" s="705"/>
      <c r="W22" s="706"/>
      <c r="X22" s="1355"/>
      <c r="Y22" s="369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97"/>
      <c r="Q24" s="1343"/>
      <c r="R24" s="701"/>
      <c r="S24" s="702"/>
      <c r="T24" s="701"/>
      <c r="U24" s="702"/>
      <c r="V24" s="701"/>
      <c r="W24" s="702"/>
      <c r="X24" s="703"/>
      <c r="Y24" s="369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3"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94" t="str">
        <f>A41</f>
        <v>成交单价</v>
      </c>
      <c r="Q41" s="3694"/>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94" t="str">
        <f>A42</f>
        <v>比较价值（元/平方米）</v>
      </c>
      <c r="Q42" s="3694"/>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1" t="str">
        <f>A43</f>
        <v>估价对象XX用房的比较价值（楼面单价，元/平方米）</v>
      </c>
      <c r="Q43" s="3692"/>
      <c r="R43" s="3756" t="e">
        <f>ROUND(IF(D42="简单平均",AVERAGE(R42:W42),R42*F42+T42*H42+V42*J42),0)</f>
        <v>#DIV/0!</v>
      </c>
      <c r="S43" s="3756"/>
      <c r="T43" s="3756"/>
      <c r="U43" s="3756"/>
      <c r="V43" s="3756"/>
      <c r="W43" s="375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09" t="s">
        <v>1887</v>
      </c>
      <c r="H50" s="375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843.77</v>
      </c>
      <c r="F51" s="639" t="e">
        <f t="shared" ref="F51:F60" si="15">ROUND(B51*E51/10000,0)</f>
        <v>#DIV/0!</v>
      </c>
      <c r="G51" s="3705"/>
      <c r="H51" s="369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74"/>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7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9" t="s">
        <v>3254</v>
      </c>
      <c r="B20" s="167" t="s">
        <v>1994</v>
      </c>
      <c r="C20" s="3321" t="e">
        <f>ROUND(IF(F21="与级别开发程度一致",0,(G21-E21)/C21),0)</f>
        <v>#DIV/0!</v>
      </c>
      <c r="D20" s="3337" t="s">
        <v>1998</v>
      </c>
      <c r="E20" s="3338"/>
      <c r="F20" s="3785" t="s">
        <v>1995</v>
      </c>
      <c r="G20" s="3786"/>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45469</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1" t="s">
        <v>3294</v>
      </c>
      <c r="B103" s="3781"/>
      <c r="C103" s="3781"/>
      <c r="D103" s="3781"/>
      <c r="E103" s="3781"/>
      <c r="F103" s="3781"/>
      <c r="G103" s="3781"/>
      <c r="H103" s="3781"/>
      <c r="I103" s="3781"/>
      <c r="J103" s="3781"/>
      <c r="K103" s="3386"/>
      <c r="L103" s="3386"/>
      <c r="M103" s="3386"/>
      <c r="N103" s="3386"/>
    </row>
    <row r="104" spans="1:14">
      <c r="A104" s="3782" t="s">
        <v>3295</v>
      </c>
      <c r="B104" s="3782" t="s">
        <v>3296</v>
      </c>
      <c r="C104" s="3387" t="s">
        <v>3297</v>
      </c>
      <c r="D104" s="3388"/>
      <c r="E104" s="3388"/>
      <c r="F104" s="3388"/>
      <c r="G104" s="3388"/>
      <c r="H104" s="3388"/>
      <c r="I104" s="3388"/>
      <c r="J104" s="3389"/>
      <c r="K104" s="3390"/>
      <c r="L104" s="3390"/>
      <c r="M104" s="3390"/>
      <c r="N104" s="3390"/>
    </row>
    <row r="105" spans="1:14">
      <c r="A105" s="3782"/>
      <c r="B105" s="3782"/>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68"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9"/>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1" t="s">
        <v>3311</v>
      </c>
      <c r="B113" s="3771"/>
      <c r="C113" s="3771"/>
      <c r="D113" s="3771"/>
      <c r="E113" s="3771"/>
      <c r="F113" s="3771"/>
      <c r="G113" s="3771"/>
      <c r="H113" s="3771"/>
      <c r="I113" s="3771"/>
      <c r="J113" s="377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96" t="s">
        <v>2607</v>
      </c>
      <c r="B20" s="3791" t="s">
        <v>2628</v>
      </c>
      <c r="C20" s="3099" t="s">
        <v>2439</v>
      </c>
      <c r="D20" s="3100"/>
      <c r="E20" s="3101">
        <v>1</v>
      </c>
      <c r="F20" s="3102" t="s">
        <v>2440</v>
      </c>
      <c r="G20" s="3102"/>
    </row>
    <row r="21" spans="1:13" ht="19.5" customHeight="1">
      <c r="A21" s="3797"/>
      <c r="B21" s="3790"/>
      <c r="C21" s="3103" t="s">
        <v>2441</v>
      </c>
      <c r="D21" s="3104"/>
      <c r="E21" s="3105">
        <v>1</v>
      </c>
      <c r="F21" s="3102" t="s">
        <v>2442</v>
      </c>
      <c r="G21" s="3102"/>
    </row>
    <row r="22" spans="1:13" ht="19.5" customHeight="1">
      <c r="A22" s="3797"/>
      <c r="B22" s="3790"/>
      <c r="C22" s="3103" t="s">
        <v>2443</v>
      </c>
      <c r="D22" s="3104"/>
      <c r="E22" s="3105">
        <v>0.9</v>
      </c>
      <c r="F22" s="3102" t="s">
        <v>2444</v>
      </c>
      <c r="G22" s="3102"/>
    </row>
    <row r="23" spans="1:13" ht="19.5" customHeight="1">
      <c r="A23" s="3797"/>
      <c r="B23" s="3790"/>
      <c r="C23" s="3103" t="s">
        <v>2445</v>
      </c>
      <c r="D23" s="3104"/>
      <c r="E23" s="3105">
        <v>0.9</v>
      </c>
      <c r="F23" s="3102" t="s">
        <v>2446</v>
      </c>
      <c r="G23" s="3102"/>
    </row>
    <row r="24" spans="1:13" ht="19.5" customHeight="1">
      <c r="A24" s="3797"/>
      <c r="B24" s="3790"/>
      <c r="C24" s="3103" t="s">
        <v>2447</v>
      </c>
      <c r="D24" s="3104"/>
      <c r="E24" s="3105">
        <v>0.8</v>
      </c>
      <c r="F24" s="3102" t="s">
        <v>2448</v>
      </c>
      <c r="G24" s="3102"/>
    </row>
    <row r="25" spans="1:13" ht="19.5" customHeight="1" thickBot="1">
      <c r="A25" s="3798"/>
      <c r="B25" s="3792"/>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93" t="s">
        <v>2631</v>
      </c>
      <c r="B27" s="3791" t="s">
        <v>2612</v>
      </c>
      <c r="C27" s="3099" t="s">
        <v>2452</v>
      </c>
      <c r="D27" s="3100"/>
      <c r="E27" s="3101">
        <v>1</v>
      </c>
      <c r="F27" s="3102" t="s">
        <v>2453</v>
      </c>
      <c r="G27" s="3102"/>
    </row>
    <row r="28" spans="1:13" ht="19.5" customHeight="1">
      <c r="A28" s="3794"/>
      <c r="B28" s="3790"/>
      <c r="C28" s="3103" t="s">
        <v>2454</v>
      </c>
      <c r="D28" s="3104"/>
      <c r="E28" s="3105">
        <v>1</v>
      </c>
      <c r="F28" s="3102" t="s">
        <v>2455</v>
      </c>
      <c r="G28" s="3102"/>
    </row>
    <row r="29" spans="1:13" ht="19.5" customHeight="1">
      <c r="A29" s="3794"/>
      <c r="B29" s="3790"/>
      <c r="C29" s="3103" t="s">
        <v>2456</v>
      </c>
      <c r="D29" s="3104"/>
      <c r="E29" s="3105">
        <v>0.8</v>
      </c>
      <c r="F29" s="3102" t="s">
        <v>2457</v>
      </c>
      <c r="G29" s="3102"/>
    </row>
    <row r="30" spans="1:13" ht="19.5" customHeight="1">
      <c r="A30" s="3794"/>
      <c r="B30" s="3790"/>
      <c r="C30" s="3103" t="s">
        <v>2458</v>
      </c>
      <c r="D30" s="3104"/>
      <c r="E30" s="3105">
        <v>0.8</v>
      </c>
      <c r="F30" s="3102" t="s">
        <v>2459</v>
      </c>
      <c r="G30" s="3102"/>
    </row>
    <row r="31" spans="1:13" ht="19.5" customHeight="1">
      <c r="A31" s="3794"/>
      <c r="B31" s="3790"/>
      <c r="C31" s="3103" t="s">
        <v>2460</v>
      </c>
      <c r="D31" s="3104"/>
      <c r="E31" s="3105">
        <v>0.8</v>
      </c>
      <c r="F31" s="3102" t="s">
        <v>2461</v>
      </c>
      <c r="G31" s="3102"/>
    </row>
    <row r="32" spans="1:13" ht="19.5" customHeight="1">
      <c r="A32" s="3794"/>
      <c r="B32" s="3790"/>
      <c r="C32" s="3103" t="s">
        <v>2462</v>
      </c>
      <c r="D32" s="3104"/>
      <c r="E32" s="3105">
        <v>0.7</v>
      </c>
      <c r="F32" s="3102" t="s">
        <v>2463</v>
      </c>
      <c r="G32" s="3102"/>
    </row>
    <row r="33" spans="1:7" ht="19.5" customHeight="1">
      <c r="A33" s="3794"/>
      <c r="B33" s="3790"/>
      <c r="C33" s="3103" t="s">
        <v>2464</v>
      </c>
      <c r="D33" s="3104"/>
      <c r="E33" s="3105">
        <v>0.8</v>
      </c>
      <c r="F33" s="3102" t="s">
        <v>2465</v>
      </c>
      <c r="G33" s="3102"/>
    </row>
    <row r="34" spans="1:7" ht="19.5" customHeight="1">
      <c r="A34" s="3794"/>
      <c r="B34" s="3790"/>
      <c r="C34" s="3103" t="s">
        <v>2466</v>
      </c>
      <c r="D34" s="3104"/>
      <c r="E34" s="3105">
        <v>0.6</v>
      </c>
      <c r="F34" s="3102" t="s">
        <v>2467</v>
      </c>
      <c r="G34" s="3102"/>
    </row>
    <row r="35" spans="1:7" ht="19.5" customHeight="1">
      <c r="A35" s="3794"/>
      <c r="B35" s="3790"/>
      <c r="C35" s="3103" t="s">
        <v>2468</v>
      </c>
      <c r="D35" s="3104"/>
      <c r="E35" s="3105">
        <v>0.2</v>
      </c>
      <c r="F35" s="3102" t="s">
        <v>2469</v>
      </c>
      <c r="G35" s="3102"/>
    </row>
    <row r="36" spans="1:7" ht="19.5" customHeight="1">
      <c r="A36" s="3794"/>
      <c r="B36" s="3790"/>
      <c r="C36" s="3103" t="s">
        <v>2470</v>
      </c>
      <c r="D36" s="3104"/>
      <c r="E36" s="3105">
        <v>0.2</v>
      </c>
      <c r="F36" s="3102" t="s">
        <v>2471</v>
      </c>
      <c r="G36" s="3102"/>
    </row>
    <row r="37" spans="1:7" ht="19.5" customHeight="1">
      <c r="A37" s="3794"/>
      <c r="B37" s="3788" t="s">
        <v>2632</v>
      </c>
      <c r="C37" s="3103" t="s">
        <v>2472</v>
      </c>
      <c r="D37" s="3104"/>
      <c r="E37" s="3105">
        <v>0.6</v>
      </c>
      <c r="F37" s="3102" t="s">
        <v>2473</v>
      </c>
      <c r="G37" s="3102"/>
    </row>
    <row r="38" spans="1:7" ht="19.5" customHeight="1">
      <c r="A38" s="3794"/>
      <c r="B38" s="3790"/>
      <c r="C38" s="3103" t="s">
        <v>2474</v>
      </c>
      <c r="D38" s="3104"/>
      <c r="E38" s="3105">
        <v>0.6</v>
      </c>
      <c r="F38" s="3102" t="s">
        <v>2475</v>
      </c>
      <c r="G38" s="3102"/>
    </row>
    <row r="39" spans="1:7" ht="19.5" customHeight="1" thickBot="1">
      <c r="A39" s="3795"/>
      <c r="B39" s="3792"/>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96" t="s">
        <v>2610</v>
      </c>
      <c r="B41" s="3791" t="s">
        <v>2634</v>
      </c>
      <c r="C41" s="3099" t="s">
        <v>2479</v>
      </c>
      <c r="D41" s="3100"/>
      <c r="E41" s="3101">
        <v>1</v>
      </c>
      <c r="F41" s="3102" t="s">
        <v>2480</v>
      </c>
      <c r="G41" s="3102"/>
    </row>
    <row r="42" spans="1:7" ht="19.5" customHeight="1">
      <c r="A42" s="3797"/>
      <c r="B42" s="3790"/>
      <c r="C42" s="3103" t="s">
        <v>2481</v>
      </c>
      <c r="D42" s="3104"/>
      <c r="E42" s="3105">
        <v>1</v>
      </c>
      <c r="F42" s="3102" t="s">
        <v>2482</v>
      </c>
      <c r="G42" s="3102"/>
    </row>
    <row r="43" spans="1:7" ht="19.5" customHeight="1">
      <c r="A43" s="3797"/>
      <c r="B43" s="3789"/>
      <c r="C43" s="3103" t="s">
        <v>2483</v>
      </c>
      <c r="D43" s="3104"/>
      <c r="E43" s="3105">
        <v>1.5</v>
      </c>
      <c r="F43" s="3102" t="s">
        <v>2484</v>
      </c>
      <c r="G43" s="3102"/>
    </row>
    <row r="44" spans="1:7" ht="19.5" customHeight="1">
      <c r="A44" s="3797"/>
      <c r="B44" s="3114" t="s">
        <v>2635</v>
      </c>
      <c r="C44" s="3103" t="s">
        <v>2636</v>
      </c>
      <c r="D44" s="3104"/>
      <c r="E44" s="3105">
        <v>2</v>
      </c>
      <c r="F44" s="3102" t="s">
        <v>2485</v>
      </c>
      <c r="G44" s="3102"/>
    </row>
    <row r="45" spans="1:7" ht="19.5" customHeight="1">
      <c r="A45" s="3797"/>
      <c r="B45" s="3788" t="s">
        <v>2637</v>
      </c>
      <c r="C45" s="3103" t="s">
        <v>2486</v>
      </c>
      <c r="D45" s="3104"/>
      <c r="E45" s="3105">
        <v>1</v>
      </c>
      <c r="F45" s="3102" t="s">
        <v>2487</v>
      </c>
      <c r="G45" s="3102"/>
    </row>
    <row r="46" spans="1:7" ht="19.5" customHeight="1">
      <c r="A46" s="3797"/>
      <c r="B46" s="3790"/>
      <c r="C46" s="3103" t="s">
        <v>2488</v>
      </c>
      <c r="D46" s="3104"/>
      <c r="E46" s="3105">
        <v>1</v>
      </c>
      <c r="F46" s="3102" t="s">
        <v>2489</v>
      </c>
      <c r="G46" s="3102"/>
    </row>
    <row r="47" spans="1:7" ht="19.5" customHeight="1">
      <c r="A47" s="3797"/>
      <c r="B47" s="3790"/>
      <c r="C47" s="3103" t="s">
        <v>2490</v>
      </c>
      <c r="D47" s="3104"/>
      <c r="E47" s="3105">
        <v>1</v>
      </c>
      <c r="F47" s="3102" t="s">
        <v>2491</v>
      </c>
      <c r="G47" s="3102"/>
    </row>
    <row r="48" spans="1:7" ht="19.5" customHeight="1">
      <c r="A48" s="3797"/>
      <c r="B48" s="3790"/>
      <c r="C48" s="3103" t="s">
        <v>2492</v>
      </c>
      <c r="D48" s="3104"/>
      <c r="E48" s="3105">
        <v>1</v>
      </c>
      <c r="F48" s="3102" t="s">
        <v>2493</v>
      </c>
      <c r="G48" s="3102"/>
    </row>
    <row r="49" spans="1:7" ht="19.5" customHeight="1">
      <c r="A49" s="3797"/>
      <c r="B49" s="3790"/>
      <c r="C49" s="3103" t="s">
        <v>2494</v>
      </c>
      <c r="D49" s="3104"/>
      <c r="E49" s="3105">
        <v>1</v>
      </c>
      <c r="F49" s="3102" t="s">
        <v>2495</v>
      </c>
      <c r="G49" s="3102"/>
    </row>
    <row r="50" spans="1:7" ht="19.5" customHeight="1">
      <c r="A50" s="3797"/>
      <c r="B50" s="3790"/>
      <c r="C50" s="3103" t="s">
        <v>2496</v>
      </c>
      <c r="D50" s="3104"/>
      <c r="E50" s="3105">
        <v>1</v>
      </c>
      <c r="F50" s="3102" t="s">
        <v>2497</v>
      </c>
      <c r="G50" s="3102"/>
    </row>
    <row r="51" spans="1:7" ht="19.5" customHeight="1" thickBot="1">
      <c r="A51" s="3798"/>
      <c r="B51" s="3792"/>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88" t="s">
        <v>2651</v>
      </c>
      <c r="C73" s="3088" t="s">
        <v>2652</v>
      </c>
      <c r="D73" s="3088" t="s">
        <v>2653</v>
      </c>
      <c r="E73" s="3114">
        <v>0.2</v>
      </c>
      <c r="F73" s="3114">
        <v>25</v>
      </c>
    </row>
    <row r="74" spans="1:7" ht="24">
      <c r="A74" s="3114">
        <v>2</v>
      </c>
      <c r="B74" s="3790"/>
      <c r="C74" s="3088" t="s">
        <v>2654</v>
      </c>
      <c r="D74" s="3088" t="s">
        <v>2655</v>
      </c>
      <c r="E74" s="3114">
        <v>0.2</v>
      </c>
      <c r="F74" s="3114">
        <v>25</v>
      </c>
    </row>
    <row r="75" spans="1:7" ht="24">
      <c r="A75" s="3114">
        <v>3</v>
      </c>
      <c r="B75" s="3790"/>
      <c r="C75" s="3088" t="s">
        <v>2656</v>
      </c>
      <c r="D75" s="3088" t="s">
        <v>2657</v>
      </c>
      <c r="E75" s="3114">
        <v>0.2</v>
      </c>
      <c r="F75" s="3114">
        <v>25</v>
      </c>
    </row>
    <row r="76" spans="1:7" ht="13.5">
      <c r="A76" s="3114">
        <v>4</v>
      </c>
      <c r="B76" s="3790"/>
      <c r="C76" s="3088" t="s">
        <v>2658</v>
      </c>
      <c r="D76" s="3088" t="s">
        <v>2659</v>
      </c>
      <c r="E76" s="3114">
        <v>0.15</v>
      </c>
      <c r="F76" s="3114">
        <v>20</v>
      </c>
    </row>
    <row r="77" spans="1:7" ht="24">
      <c r="A77" s="3114">
        <v>5</v>
      </c>
      <c r="B77" s="3790"/>
      <c r="C77" s="3088" t="s">
        <v>2660</v>
      </c>
      <c r="D77" s="3088" t="s">
        <v>2661</v>
      </c>
      <c r="E77" s="3114">
        <v>0.15</v>
      </c>
      <c r="F77" s="3114">
        <v>20</v>
      </c>
    </row>
    <row r="78" spans="1:7" ht="24">
      <c r="A78" s="3114">
        <v>6</v>
      </c>
      <c r="B78" s="3790"/>
      <c r="C78" s="3088" t="s">
        <v>2662</v>
      </c>
      <c r="D78" s="3088" t="s">
        <v>2663</v>
      </c>
      <c r="E78" s="3114">
        <v>0.15</v>
      </c>
      <c r="F78" s="3114">
        <v>20</v>
      </c>
    </row>
    <row r="79" spans="1:7" ht="24">
      <c r="A79" s="3114">
        <v>7</v>
      </c>
      <c r="B79" s="3790"/>
      <c r="C79" s="3088" t="s">
        <v>2664</v>
      </c>
      <c r="D79" s="3088" t="s">
        <v>2665</v>
      </c>
      <c r="E79" s="3114">
        <v>0.15</v>
      </c>
      <c r="F79" s="3114">
        <v>20</v>
      </c>
    </row>
    <row r="80" spans="1:7" ht="24">
      <c r="A80" s="3114">
        <v>8</v>
      </c>
      <c r="B80" s="3790"/>
      <c r="C80" s="3088" t="s">
        <v>2666</v>
      </c>
      <c r="D80" s="3088" t="s">
        <v>2667</v>
      </c>
      <c r="E80" s="3114">
        <v>0.1</v>
      </c>
      <c r="F80" s="3114">
        <v>15</v>
      </c>
    </row>
    <row r="81" spans="1:6" ht="24">
      <c r="A81" s="3114">
        <v>9</v>
      </c>
      <c r="B81" s="3790"/>
      <c r="C81" s="3088" t="s">
        <v>2668</v>
      </c>
      <c r="D81" s="3088" t="s">
        <v>2669</v>
      </c>
      <c r="E81" s="3114">
        <v>0.1</v>
      </c>
      <c r="F81" s="3114">
        <v>15</v>
      </c>
    </row>
    <row r="82" spans="1:6" ht="24">
      <c r="A82" s="3114">
        <v>10</v>
      </c>
      <c r="B82" s="3790"/>
      <c r="C82" s="3088" t="s">
        <v>2670</v>
      </c>
      <c r="D82" s="3088" t="s">
        <v>2671</v>
      </c>
      <c r="E82" s="3114">
        <v>0.1</v>
      </c>
      <c r="F82" s="3114">
        <v>15</v>
      </c>
    </row>
    <row r="83" spans="1:6" ht="24">
      <c r="A83" s="3114">
        <v>11</v>
      </c>
      <c r="B83" s="3790"/>
      <c r="C83" s="3088" t="s">
        <v>2672</v>
      </c>
      <c r="D83" s="3088" t="s">
        <v>2673</v>
      </c>
      <c r="E83" s="3114">
        <v>0.1</v>
      </c>
      <c r="F83" s="3114">
        <v>15</v>
      </c>
    </row>
    <row r="84" spans="1:6" ht="24">
      <c r="A84" s="3114">
        <v>12</v>
      </c>
      <c r="B84" s="3790"/>
      <c r="C84" s="3088" t="s">
        <v>2674</v>
      </c>
      <c r="D84" s="3088" t="s">
        <v>2675</v>
      </c>
      <c r="E84" s="3114">
        <v>0.1</v>
      </c>
      <c r="F84" s="3114">
        <v>15</v>
      </c>
    </row>
    <row r="85" spans="1:6" ht="13.5">
      <c r="A85" s="3114">
        <v>13</v>
      </c>
      <c r="B85" s="3790"/>
      <c r="C85" s="3088" t="s">
        <v>2676</v>
      </c>
      <c r="D85" s="3088" t="s">
        <v>2677</v>
      </c>
      <c r="E85" s="3114">
        <v>0.1</v>
      </c>
      <c r="F85" s="3114">
        <v>15</v>
      </c>
    </row>
    <row r="86" spans="1:6" ht="13.5">
      <c r="A86" s="3114">
        <v>14</v>
      </c>
      <c r="B86" s="3790"/>
      <c r="C86" s="3088" t="s">
        <v>2678</v>
      </c>
      <c r="D86" s="3088" t="s">
        <v>2679</v>
      </c>
      <c r="E86" s="3114">
        <v>0.1</v>
      </c>
      <c r="F86" s="3114">
        <v>15</v>
      </c>
    </row>
    <row r="87" spans="1:6" ht="13.5">
      <c r="A87" s="3114">
        <v>15</v>
      </c>
      <c r="B87" s="3790"/>
      <c r="C87" s="3088" t="s">
        <v>2680</v>
      </c>
      <c r="D87" s="3088" t="s">
        <v>2681</v>
      </c>
      <c r="E87" s="3114">
        <v>0.1</v>
      </c>
      <c r="F87" s="3114">
        <v>15</v>
      </c>
    </row>
    <row r="88" spans="1:6" ht="24">
      <c r="A88" s="3114">
        <v>16</v>
      </c>
      <c r="B88" s="3790"/>
      <c r="C88" s="3088" t="s">
        <v>2682</v>
      </c>
      <c r="D88" s="3088" t="s">
        <v>2683</v>
      </c>
      <c r="E88" s="3114">
        <v>0.1</v>
      </c>
      <c r="F88" s="3114">
        <v>15</v>
      </c>
    </row>
    <row r="89" spans="1:6" ht="24">
      <c r="A89" s="3114">
        <v>17</v>
      </c>
      <c r="B89" s="3789"/>
      <c r="C89" s="3088" t="s">
        <v>2684</v>
      </c>
      <c r="D89" s="3088" t="s">
        <v>2685</v>
      </c>
      <c r="E89" s="3114">
        <v>0.1</v>
      </c>
      <c r="F89" s="3114">
        <v>15</v>
      </c>
    </row>
    <row r="90" spans="1:6" ht="13.5">
      <c r="A90" s="3114">
        <v>18</v>
      </c>
      <c r="B90" s="3788" t="s">
        <v>2686</v>
      </c>
      <c r="C90" s="3088" t="s">
        <v>2687</v>
      </c>
      <c r="D90" s="3088" t="s">
        <v>2688</v>
      </c>
      <c r="E90" s="3114">
        <v>0.2</v>
      </c>
      <c r="F90" s="3114">
        <v>25</v>
      </c>
    </row>
    <row r="91" spans="1:6" ht="24">
      <c r="A91" s="3114">
        <v>19</v>
      </c>
      <c r="B91" s="3790"/>
      <c r="C91" s="3088" t="s">
        <v>2689</v>
      </c>
      <c r="D91" s="3088" t="s">
        <v>2690</v>
      </c>
      <c r="E91" s="3114">
        <v>0.2</v>
      </c>
      <c r="F91" s="3114">
        <v>25</v>
      </c>
    </row>
    <row r="92" spans="1:6" ht="13.5">
      <c r="A92" s="3114">
        <v>20</v>
      </c>
      <c r="B92" s="3790"/>
      <c r="C92" s="3088" t="s">
        <v>2691</v>
      </c>
      <c r="D92" s="3088" t="s">
        <v>2692</v>
      </c>
      <c r="E92" s="3114">
        <v>0.15</v>
      </c>
      <c r="F92" s="3114">
        <v>20</v>
      </c>
    </row>
    <row r="93" spans="1:6" ht="13.5">
      <c r="A93" s="3114">
        <v>21</v>
      </c>
      <c r="B93" s="3790"/>
      <c r="C93" s="3088" t="s">
        <v>2693</v>
      </c>
      <c r="D93" s="3088" t="s">
        <v>2694</v>
      </c>
      <c r="E93" s="3114">
        <v>0.15</v>
      </c>
      <c r="F93" s="3114">
        <v>20</v>
      </c>
    </row>
    <row r="94" spans="1:6" ht="13.5">
      <c r="A94" s="3114">
        <v>22</v>
      </c>
      <c r="B94" s="3790"/>
      <c r="C94" s="3088" t="s">
        <v>2695</v>
      </c>
      <c r="D94" s="3088" t="s">
        <v>2696</v>
      </c>
      <c r="E94" s="3114">
        <v>0.15</v>
      </c>
      <c r="F94" s="3114">
        <v>20</v>
      </c>
    </row>
    <row r="95" spans="1:6" ht="36">
      <c r="A95" s="3114">
        <v>23</v>
      </c>
      <c r="B95" s="3790"/>
      <c r="C95" s="3088" t="s">
        <v>2697</v>
      </c>
      <c r="D95" s="3088" t="s">
        <v>2698</v>
      </c>
      <c r="E95" s="3114">
        <v>0.15</v>
      </c>
      <c r="F95" s="3114">
        <v>20</v>
      </c>
    </row>
    <row r="96" spans="1:6" ht="13.5">
      <c r="A96" s="3114">
        <v>24</v>
      </c>
      <c r="B96" s="3790"/>
      <c r="C96" s="3088" t="s">
        <v>2699</v>
      </c>
      <c r="D96" s="3088" t="s">
        <v>2700</v>
      </c>
      <c r="E96" s="3114">
        <v>0.1</v>
      </c>
      <c r="F96" s="3114">
        <v>15</v>
      </c>
    </row>
    <row r="97" spans="1:6" ht="13.5">
      <c r="A97" s="3114">
        <v>25</v>
      </c>
      <c r="B97" s="3790"/>
      <c r="C97" s="3088" t="s">
        <v>2701</v>
      </c>
      <c r="D97" s="3088" t="s">
        <v>2702</v>
      </c>
      <c r="E97" s="3114">
        <v>0.1</v>
      </c>
      <c r="F97" s="3114">
        <v>15</v>
      </c>
    </row>
    <row r="98" spans="1:6" ht="24">
      <c r="A98" s="3114">
        <v>26</v>
      </c>
      <c r="B98" s="3790"/>
      <c r="C98" s="3088" t="s">
        <v>2703</v>
      </c>
      <c r="D98" s="3088" t="s">
        <v>2704</v>
      </c>
      <c r="E98" s="3114">
        <v>0.1</v>
      </c>
      <c r="F98" s="3114">
        <v>15</v>
      </c>
    </row>
    <row r="99" spans="1:6" ht="24">
      <c r="A99" s="3114">
        <v>27</v>
      </c>
      <c r="B99" s="3790"/>
      <c r="C99" s="3088" t="s">
        <v>2705</v>
      </c>
      <c r="D99" s="3088" t="s">
        <v>2706</v>
      </c>
      <c r="E99" s="3114">
        <v>0.1</v>
      </c>
      <c r="F99" s="3114">
        <v>15</v>
      </c>
    </row>
    <row r="100" spans="1:6" ht="13.5">
      <c r="A100" s="3114">
        <v>28</v>
      </c>
      <c r="B100" s="3790"/>
      <c r="C100" s="3088" t="s">
        <v>2707</v>
      </c>
      <c r="D100" s="3088" t="s">
        <v>2708</v>
      </c>
      <c r="E100" s="3114">
        <v>0.1</v>
      </c>
      <c r="F100" s="3114">
        <v>15</v>
      </c>
    </row>
    <row r="101" spans="1:6" ht="13.5">
      <c r="A101" s="3114">
        <v>29</v>
      </c>
      <c r="B101" s="3790"/>
      <c r="C101" s="3088" t="s">
        <v>2709</v>
      </c>
      <c r="D101" s="3088" t="s">
        <v>2710</v>
      </c>
      <c r="E101" s="3114">
        <v>0.1</v>
      </c>
      <c r="F101" s="3114">
        <v>15</v>
      </c>
    </row>
    <row r="102" spans="1:6" ht="13.5">
      <c r="A102" s="3114">
        <v>30</v>
      </c>
      <c r="B102" s="3790"/>
      <c r="C102" s="3088" t="s">
        <v>2711</v>
      </c>
      <c r="D102" s="3088" t="s">
        <v>2712</v>
      </c>
      <c r="E102" s="3114">
        <v>0.1</v>
      </c>
      <c r="F102" s="3114">
        <v>15</v>
      </c>
    </row>
    <row r="103" spans="1:6" ht="24">
      <c r="A103" s="3114">
        <v>31</v>
      </c>
      <c r="B103" s="3790"/>
      <c r="C103" s="3088" t="s">
        <v>2713</v>
      </c>
      <c r="D103" s="3088" t="s">
        <v>2714</v>
      </c>
      <c r="E103" s="3114">
        <v>0.1</v>
      </c>
      <c r="F103" s="3114">
        <v>15</v>
      </c>
    </row>
    <row r="104" spans="1:6" ht="24">
      <c r="A104" s="3114">
        <v>32</v>
      </c>
      <c r="B104" s="3790"/>
      <c r="C104" s="3088" t="s">
        <v>2715</v>
      </c>
      <c r="D104" s="3088" t="s">
        <v>2716</v>
      </c>
      <c r="E104" s="3114">
        <v>0.1</v>
      </c>
      <c r="F104" s="3114">
        <v>15</v>
      </c>
    </row>
    <row r="105" spans="1:6" ht="24">
      <c r="A105" s="3114">
        <v>33</v>
      </c>
      <c r="B105" s="3790"/>
      <c r="C105" s="3088" t="s">
        <v>2717</v>
      </c>
      <c r="D105" s="3088" t="s">
        <v>2718</v>
      </c>
      <c r="E105" s="3114">
        <v>0.1</v>
      </c>
      <c r="F105" s="3114">
        <v>15</v>
      </c>
    </row>
    <row r="106" spans="1:6" ht="24">
      <c r="A106" s="3114">
        <v>34</v>
      </c>
      <c r="B106" s="3789"/>
      <c r="C106" s="3088" t="s">
        <v>2719</v>
      </c>
      <c r="D106" s="3088" t="s">
        <v>2720</v>
      </c>
      <c r="E106" s="3114">
        <v>0.1</v>
      </c>
      <c r="F106" s="3114">
        <v>15</v>
      </c>
    </row>
    <row r="107" spans="1:6" ht="24">
      <c r="A107" s="3114">
        <v>35</v>
      </c>
      <c r="B107" s="3788" t="s">
        <v>2721</v>
      </c>
      <c r="C107" s="3114" t="s">
        <v>2722</v>
      </c>
      <c r="D107" s="3088" t="s">
        <v>2723</v>
      </c>
      <c r="E107" s="3114">
        <v>0.15</v>
      </c>
      <c r="F107" s="3114">
        <v>20</v>
      </c>
    </row>
    <row r="108" spans="1:6" ht="13.5">
      <c r="A108" s="3114">
        <v>36</v>
      </c>
      <c r="B108" s="3790"/>
      <c r="C108" s="3114" t="s">
        <v>2724</v>
      </c>
      <c r="D108" s="3088" t="s">
        <v>2725</v>
      </c>
      <c r="E108" s="3114">
        <v>0.15</v>
      </c>
      <c r="F108" s="3114">
        <v>20</v>
      </c>
    </row>
    <row r="109" spans="1:6" ht="13.5">
      <c r="A109" s="3114">
        <v>37</v>
      </c>
      <c r="B109" s="3790"/>
      <c r="C109" s="3114" t="s">
        <v>2726</v>
      </c>
      <c r="D109" s="3088" t="s">
        <v>2727</v>
      </c>
      <c r="E109" s="3114">
        <v>0.15</v>
      </c>
      <c r="F109" s="3114">
        <v>20</v>
      </c>
    </row>
    <row r="110" spans="1:6" ht="13.5">
      <c r="A110" s="3114">
        <v>38</v>
      </c>
      <c r="B110" s="3790"/>
      <c r="C110" s="3114" t="s">
        <v>2728</v>
      </c>
      <c r="D110" s="3088" t="s">
        <v>2729</v>
      </c>
      <c r="E110" s="3114">
        <v>0.1</v>
      </c>
      <c r="F110" s="3114">
        <v>15</v>
      </c>
    </row>
    <row r="111" spans="1:6" ht="24">
      <c r="A111" s="3114">
        <v>39</v>
      </c>
      <c r="B111" s="3790"/>
      <c r="C111" s="3114" t="s">
        <v>2730</v>
      </c>
      <c r="D111" s="3088" t="s">
        <v>2731</v>
      </c>
      <c r="E111" s="3114">
        <v>0.1</v>
      </c>
      <c r="F111" s="3114">
        <v>15</v>
      </c>
    </row>
    <row r="112" spans="1:6" ht="24">
      <c r="A112" s="3114">
        <v>40</v>
      </c>
      <c r="B112" s="3789"/>
      <c r="C112" s="3114" t="s">
        <v>2732</v>
      </c>
      <c r="D112" s="3088" t="s">
        <v>2733</v>
      </c>
      <c r="E112" s="3114">
        <v>0.1</v>
      </c>
      <c r="F112" s="3114">
        <v>15</v>
      </c>
    </row>
    <row r="113" spans="1:6" ht="13.5">
      <c r="A113" s="3114">
        <v>41</v>
      </c>
      <c r="B113" s="3787" t="s">
        <v>2734</v>
      </c>
      <c r="C113" s="3114" t="s">
        <v>2735</v>
      </c>
      <c r="D113" s="3088" t="s">
        <v>2736</v>
      </c>
      <c r="E113" s="3114">
        <v>0.1</v>
      </c>
      <c r="F113" s="3114">
        <v>15</v>
      </c>
    </row>
    <row r="114" spans="1:6" ht="13.5">
      <c r="A114" s="3114">
        <v>42</v>
      </c>
      <c r="B114" s="3787"/>
      <c r="C114" s="3114" t="s">
        <v>2737</v>
      </c>
      <c r="D114" s="3088" t="s">
        <v>2738</v>
      </c>
      <c r="E114" s="3114">
        <v>0.1</v>
      </c>
      <c r="F114" s="3114">
        <v>15</v>
      </c>
    </row>
    <row r="115" spans="1:6" ht="24">
      <c r="A115" s="3114">
        <v>43</v>
      </c>
      <c r="B115" s="3787"/>
      <c r="C115" s="3114" t="s">
        <v>2739</v>
      </c>
      <c r="D115" s="3088" t="s">
        <v>2740</v>
      </c>
      <c r="E115" s="3114">
        <v>0.1</v>
      </c>
      <c r="F115" s="3114">
        <v>15</v>
      </c>
    </row>
    <row r="116" spans="1:6" ht="13.5">
      <c r="A116" s="3114">
        <v>44</v>
      </c>
      <c r="B116" s="3788" t="s">
        <v>2741</v>
      </c>
      <c r="C116" s="3114" t="s">
        <v>2742</v>
      </c>
      <c r="D116" s="3088" t="s">
        <v>2743</v>
      </c>
      <c r="E116" s="3114">
        <v>0.1</v>
      </c>
      <c r="F116" s="3114">
        <v>15</v>
      </c>
    </row>
    <row r="117" spans="1:6" ht="24">
      <c r="A117" s="3114">
        <v>45</v>
      </c>
      <c r="B117" s="3789"/>
      <c r="C117" s="3088" t="s">
        <v>2744</v>
      </c>
      <c r="D117" s="3088" t="s">
        <v>2745</v>
      </c>
      <c r="E117" s="3114">
        <v>0.1</v>
      </c>
      <c r="F117" s="3114">
        <v>15</v>
      </c>
    </row>
    <row r="118" spans="1:6" ht="24">
      <c r="A118" s="3114">
        <v>46</v>
      </c>
      <c r="B118" s="3788" t="s">
        <v>2746</v>
      </c>
      <c r="C118" s="3114" t="s">
        <v>2747</v>
      </c>
      <c r="D118" s="3088" t="s">
        <v>2748</v>
      </c>
      <c r="E118" s="3114">
        <v>0.1</v>
      </c>
      <c r="F118" s="3114">
        <v>15</v>
      </c>
    </row>
    <row r="119" spans="1:6" ht="24">
      <c r="A119" s="3114">
        <v>47</v>
      </c>
      <c r="B119" s="3789"/>
      <c r="C119" s="3114" t="s">
        <v>2749</v>
      </c>
      <c r="D119" s="3088" t="s">
        <v>2750</v>
      </c>
      <c r="E119" s="3114">
        <v>0.1</v>
      </c>
      <c r="F119" s="3114">
        <v>15</v>
      </c>
    </row>
    <row r="120" spans="1:6" ht="13.5">
      <c r="A120" s="3114">
        <v>48</v>
      </c>
      <c r="B120" s="3788" t="s">
        <v>2751</v>
      </c>
      <c r="C120" s="3114" t="s">
        <v>2752</v>
      </c>
      <c r="D120" s="3088" t="s">
        <v>2753</v>
      </c>
      <c r="E120" s="3114">
        <v>0.1</v>
      </c>
      <c r="F120" s="3114">
        <v>15</v>
      </c>
    </row>
    <row r="121" spans="1:6" ht="13.5">
      <c r="A121" s="3114">
        <v>49</v>
      </c>
      <c r="B121" s="3789"/>
      <c r="C121" s="3114" t="s">
        <v>2754</v>
      </c>
      <c r="D121" s="3088" t="s">
        <v>2755</v>
      </c>
      <c r="E121" s="3114">
        <v>0.1</v>
      </c>
      <c r="F121" s="3114">
        <v>15</v>
      </c>
    </row>
    <row r="122" spans="1:6" ht="24">
      <c r="A122" s="3114">
        <v>50</v>
      </c>
      <c r="B122" s="3787" t="s">
        <v>2756</v>
      </c>
      <c r="C122" s="3114" t="s">
        <v>2757</v>
      </c>
      <c r="D122" s="3088" t="s">
        <v>2758</v>
      </c>
      <c r="E122" s="3114">
        <v>0.1</v>
      </c>
      <c r="F122" s="3114">
        <v>15</v>
      </c>
    </row>
    <row r="123" spans="1:6" ht="24">
      <c r="A123" s="3114">
        <v>51</v>
      </c>
      <c r="B123" s="3787"/>
      <c r="C123" s="3114" t="s">
        <v>2759</v>
      </c>
      <c r="D123" s="3088" t="s">
        <v>2760</v>
      </c>
      <c r="E123" s="3114">
        <v>0.1</v>
      </c>
      <c r="F123" s="3114">
        <v>15</v>
      </c>
    </row>
    <row r="124" spans="1:6" ht="24">
      <c r="A124" s="3114">
        <v>52</v>
      </c>
      <c r="B124" s="3787" t="s">
        <v>2761</v>
      </c>
      <c r="C124" s="3114" t="s">
        <v>2762</v>
      </c>
      <c r="D124" s="3088" t="s">
        <v>2763</v>
      </c>
      <c r="E124" s="3114">
        <v>0.1</v>
      </c>
      <c r="F124" s="3114">
        <v>15</v>
      </c>
    </row>
    <row r="125" spans="1:6" ht="24">
      <c r="A125" s="3114">
        <v>53</v>
      </c>
      <c r="B125" s="3787"/>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87" t="s">
        <v>2769</v>
      </c>
      <c r="C127" s="3114" t="s">
        <v>2770</v>
      </c>
      <c r="D127" s="3088" t="s">
        <v>2771</v>
      </c>
      <c r="E127" s="3114">
        <v>0.1</v>
      </c>
      <c r="F127" s="3114">
        <v>15</v>
      </c>
    </row>
    <row r="128" spans="1:6" ht="13.5">
      <c r="A128" s="3114">
        <v>56</v>
      </c>
      <c r="B128" s="3787"/>
      <c r="C128" s="3114" t="s">
        <v>2772</v>
      </c>
      <c r="D128" s="3088" t="s">
        <v>2773</v>
      </c>
      <c r="E128" s="3114">
        <v>0.1</v>
      </c>
      <c r="F128" s="3114">
        <v>15</v>
      </c>
    </row>
    <row r="129" spans="1:6" ht="24">
      <c r="A129" s="3114">
        <v>57</v>
      </c>
      <c r="B129" s="3787"/>
      <c r="C129" s="3114" t="s">
        <v>2774</v>
      </c>
      <c r="D129" s="3088" t="s">
        <v>2775</v>
      </c>
      <c r="E129" s="3114">
        <v>0.1</v>
      </c>
      <c r="F129" s="3114">
        <v>15</v>
      </c>
    </row>
    <row r="130" spans="1:6" ht="24">
      <c r="A130" s="3114">
        <v>58</v>
      </c>
      <c r="B130" s="3787" t="s">
        <v>2776</v>
      </c>
      <c r="C130" s="3114" t="s">
        <v>2777</v>
      </c>
      <c r="D130" s="3088" t="s">
        <v>2778</v>
      </c>
      <c r="E130" s="3114">
        <v>0.1</v>
      </c>
      <c r="F130" s="3114">
        <v>15</v>
      </c>
    </row>
    <row r="131" spans="1:6" ht="13.5">
      <c r="A131" s="3114">
        <v>59</v>
      </c>
      <c r="B131" s="3787"/>
      <c r="C131" s="3114" t="s">
        <v>2779</v>
      </c>
      <c r="D131" s="3088" t="s">
        <v>2780</v>
      </c>
      <c r="E131" s="3114">
        <v>0.1</v>
      </c>
      <c r="F131" s="3114">
        <v>15</v>
      </c>
    </row>
    <row r="132" spans="1:6" ht="13.5">
      <c r="A132" s="3114">
        <v>60</v>
      </c>
      <c r="B132" s="3788" t="s">
        <v>2781</v>
      </c>
      <c r="C132" s="3114" t="s">
        <v>2782</v>
      </c>
      <c r="D132" s="3088" t="s">
        <v>2783</v>
      </c>
      <c r="E132" s="3114">
        <v>0.1</v>
      </c>
      <c r="F132" s="3114">
        <v>15</v>
      </c>
    </row>
    <row r="133" spans="1:6" ht="13.5">
      <c r="A133" s="3114">
        <v>61</v>
      </c>
      <c r="B133" s="3789"/>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87" t="s">
        <v>2789</v>
      </c>
      <c r="C135" s="3114" t="s">
        <v>2790</v>
      </c>
      <c r="D135" s="3088" t="s">
        <v>2791</v>
      </c>
      <c r="E135" s="3114">
        <v>0.1</v>
      </c>
      <c r="F135" s="3114">
        <v>15</v>
      </c>
    </row>
    <row r="136" spans="1:6" ht="13.5">
      <c r="A136" s="3114">
        <v>64</v>
      </c>
      <c r="B136" s="3787"/>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1487</v>
      </c>
      <c r="E5" s="1491"/>
    </row>
    <row r="6" spans="1:5" ht="15.75">
      <c r="A6" s="1491"/>
      <c r="B6" s="3481"/>
      <c r="C6" s="1494" t="s">
        <v>911</v>
      </c>
      <c r="D6" s="850" t="str">
        <f ca="1">NUMBERSTRING(INT(D5*10000),2)&amp;"元整"</f>
        <v>壹仟肆佰捌拾柒万元整</v>
      </c>
      <c r="E6" s="1491"/>
    </row>
    <row r="7" spans="1:5" ht="15.75">
      <c r="A7" s="1491"/>
      <c r="B7" s="3486"/>
      <c r="C7" s="1495" t="s">
        <v>912</v>
      </c>
      <c r="D7" s="851">
        <f ca="1">结果表!H102</f>
        <v>17623</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v>
      </c>
      <c r="C13" s="1499" t="s">
        <v>910</v>
      </c>
      <c r="D13" s="853" t="str">
        <f>结果表!H107</f>
        <v>——</v>
      </c>
      <c r="E13" s="1491"/>
    </row>
    <row r="14" spans="1:5" ht="15.75">
      <c r="A14" s="1491"/>
      <c r="B14" s="3481"/>
      <c r="C14" s="1494" t="s">
        <v>911</v>
      </c>
      <c r="D14" s="850" t="e">
        <f>NUMBERSTRING(INT(D13*10000),2)&amp;"元整"</f>
        <v>#VALUE!</v>
      </c>
      <c r="E14" s="1491"/>
    </row>
    <row r="15" spans="1:5" ht="15">
      <c r="A15" s="1491"/>
      <c r="B15" s="3486"/>
      <c r="C15" s="1495" t="s">
        <v>921</v>
      </c>
      <c r="D15" s="859" t="e">
        <f ca="1">结果表!H108</f>
        <v>#VALUE!</v>
      </c>
      <c r="E15" s="1491"/>
    </row>
    <row r="16" spans="1:5" ht="15">
      <c r="A16" s="1491"/>
      <c r="B16" s="3487" t="str">
        <f>结果表!E109</f>
        <v>3.抵押担保权已注销时的房地产抵押价值</v>
      </c>
      <c r="C16" s="1499" t="s">
        <v>922</v>
      </c>
      <c r="D16" s="1500">
        <f ca="1">结果表!H109</f>
        <v>1487</v>
      </c>
      <c r="E16" s="1491"/>
    </row>
    <row r="17" spans="1:5" ht="15.75">
      <c r="A17" s="1491"/>
      <c r="B17" s="3488"/>
      <c r="C17" s="1494" t="s">
        <v>923</v>
      </c>
      <c r="D17" s="850" t="str">
        <f ca="1">NUMBERSTRING(INT(D16*10000),2)&amp;"元整"</f>
        <v>壹仟肆佰捌拾柒万元整</v>
      </c>
      <c r="E17" s="1491"/>
    </row>
    <row r="18" spans="1:5" ht="15">
      <c r="A18" s="1491"/>
      <c r="B18" s="3489"/>
      <c r="C18" s="1495" t="s">
        <v>912</v>
      </c>
      <c r="D18" s="859">
        <f ca="1">结果表!H110</f>
        <v>17623</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27674</v>
      </c>
      <c r="C2" s="2" t="s">
        <v>106</v>
      </c>
      <c r="D2" s="199"/>
      <c r="E2" s="199"/>
      <c r="F2" s="199"/>
      <c r="G2" s="199"/>
    </row>
    <row r="3" spans="1:7" s="200" customFormat="1" ht="18" customHeight="1" thickBot="1">
      <c r="A3" s="203" t="s">
        <v>58</v>
      </c>
      <c r="B3" s="204">
        <f ca="1">ROUND(B2*10000/'数据-汇总表'!E3,0)</f>
        <v>327980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v>
      </c>
      <c r="D10" s="845">
        <f>'数据-汇总表'!E6</f>
        <v>843.77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v>
      </c>
      <c r="D19" s="849">
        <f>'数据-汇总表'!E3</f>
        <v>843.77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27360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295</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843.77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5.0000000000000001E-4</v>
      </c>
      <c r="D44" s="238"/>
      <c r="E44" s="238"/>
      <c r="F44" s="239"/>
      <c r="G44" s="3664"/>
    </row>
    <row r="45" spans="1:7" s="214" customFormat="1" ht="13.5" customHeight="1">
      <c r="A45" s="777" t="s">
        <v>341</v>
      </c>
      <c r="B45" s="244" t="s">
        <v>85</v>
      </c>
      <c r="C45" s="245">
        <f>C46</f>
        <v>50</v>
      </c>
      <c r="D45" s="235">
        <f>C47</f>
        <v>3.0000000000000001E-3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424</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314</v>
      </c>
      <c r="D51" s="232"/>
      <c r="E51" s="232"/>
      <c r="F51" s="264"/>
      <c r="G51" s="234" t="s">
        <v>37</v>
      </c>
    </row>
    <row r="52" spans="1:7" s="208" customFormat="1" ht="16.5" thickBot="1">
      <c r="A52" s="265" t="s">
        <v>38</v>
      </c>
      <c r="B52" s="266"/>
      <c r="C52" s="267">
        <f ca="1">C31+C51</f>
        <v>27674</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1" t="s">
        <v>2839</v>
      </c>
      <c r="B1" s="3801"/>
      <c r="C1" s="3801"/>
      <c r="D1" s="3801"/>
      <c r="E1" s="3801"/>
      <c r="F1" s="3801"/>
      <c r="G1" s="3802"/>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9"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800"/>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3" t="s">
        <v>3181</v>
      </c>
      <c r="B1" s="3803"/>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4" t="s">
        <v>3232</v>
      </c>
      <c r="B1" s="3804"/>
      <c r="C1" s="3804"/>
      <c r="D1" s="3804"/>
      <c r="E1" s="3804"/>
      <c r="F1" s="3805"/>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H24" sqref="H24:H35"/>
    </sheetView>
  </sheetViews>
  <sheetFormatPr defaultRowHeight="13.5"/>
  <cols>
    <col min="1" max="1" width="13.875" customWidth="1"/>
    <col min="11" max="17" width="0" hidden="1" customWidth="1"/>
    <col min="25" max="30" width="0" hidden="1" customWidth="1"/>
  </cols>
  <sheetData>
    <row r="1" spans="1:30">
      <c r="A1" s="3217">
        <f>基准地价修正!G23</f>
        <v>45469</v>
      </c>
      <c r="B1" s="3206" t="s">
        <v>3371</v>
      </c>
      <c r="C1" s="3207"/>
      <c r="D1" s="3207"/>
      <c r="E1" s="3207"/>
      <c r="F1" s="3207"/>
      <c r="G1" s="3207"/>
      <c r="H1" s="3207"/>
      <c r="I1" s="3207"/>
      <c r="J1" s="3161"/>
      <c r="K1" s="3207" t="s">
        <v>454</v>
      </c>
      <c r="L1" s="3207"/>
      <c r="M1" s="3207"/>
      <c r="N1" s="3207"/>
      <c r="O1" s="3207"/>
      <c r="P1" s="3207"/>
      <c r="Q1" s="3161"/>
      <c r="R1" s="3806" t="s">
        <v>456</v>
      </c>
      <c r="S1" s="3807"/>
      <c r="T1" s="3807"/>
      <c r="U1" s="3807"/>
      <c r="V1" s="3807"/>
      <c r="W1" s="3807"/>
      <c r="X1" s="3161"/>
      <c r="Y1" s="3806" t="s">
        <v>457</v>
      </c>
      <c r="Z1" s="3807"/>
      <c r="AA1" s="3807"/>
      <c r="AB1" s="3807"/>
      <c r="AC1" s="3807"/>
      <c r="AD1" s="3807"/>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0.68</v>
      </c>
      <c r="E3" s="3147">
        <f t="shared" ref="E3:H3" si="0">ROUND(AVERAGEIF(E4:E18,"&lt;&gt;0"),2)</f>
        <v>0.4</v>
      </c>
      <c r="F3" s="3147">
        <f t="shared" si="0"/>
        <v>0.17</v>
      </c>
      <c r="G3" s="3147">
        <f t="shared" si="0"/>
        <v>0.74</v>
      </c>
      <c r="H3" s="3147">
        <f t="shared" si="0"/>
        <v>0.62</v>
      </c>
      <c r="I3" s="3147">
        <f>F3</f>
        <v>0.17</v>
      </c>
      <c r="J3" s="3148"/>
      <c r="K3" s="3149">
        <f>ROUND(AVERAGEIF(K4:K18,"&lt;&gt;0"),4)</f>
        <v>6.7999999999999996E-3</v>
      </c>
      <c r="L3" s="3150">
        <f t="shared" ref="L3:O3" si="1">ROUND(AVERAGEIF(L4:L18,"&lt;&gt;0"),4)</f>
        <v>4.0000000000000001E-3</v>
      </c>
      <c r="M3" s="3150">
        <f t="shared" si="1"/>
        <v>1.6999999999999999E-3</v>
      </c>
      <c r="N3" s="3150">
        <f t="shared" si="1"/>
        <v>7.4000000000000003E-3</v>
      </c>
      <c r="O3" s="3150">
        <f t="shared" si="1"/>
        <v>6.1999999999999998E-3</v>
      </c>
      <c r="P3" s="3150">
        <f>M3</f>
        <v>1.6999999999999999E-3</v>
      </c>
      <c r="Q3" s="3148"/>
      <c r="R3" s="3151">
        <f>ROUND(SUMPRODUCT(PRODUCT(1+K4:K18)),4)</f>
        <v>1.0916999999999999</v>
      </c>
      <c r="S3" s="3152">
        <f t="shared" ref="S3:V3" si="2">ROUND(SUMPRODUCT(PRODUCT(1+L4:L18)),4)</f>
        <v>1.0537000000000001</v>
      </c>
      <c r="T3" s="3152">
        <f t="shared" si="2"/>
        <v>1.0224</v>
      </c>
      <c r="U3" s="3152">
        <f t="shared" si="2"/>
        <v>1.1008</v>
      </c>
      <c r="V3" s="3152">
        <f t="shared" si="2"/>
        <v>1.0843</v>
      </c>
      <c r="W3" s="3151">
        <f>T3</f>
        <v>1.0224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1.0811999999999999</v>
      </c>
      <c r="S5" s="3179">
        <f>ROUND(IF(项目基本情况!$B$8="出让",SUMPRODUCT(PRODUCT(1+L5:$L$18)),SUMPRODUCT(PRODUCT(1+L5:$L$17))),4)</f>
        <v>1.052</v>
      </c>
      <c r="T5" s="3179">
        <f>ROUND(IF(项目基本情况!$B$8="出让",SUMPRODUCT(PRODUCT(1+M5:$M$18)),SUMPRODUCT(PRODUCT(1+M5:$M$17))),4)</f>
        <v>1.0249999999999999</v>
      </c>
      <c r="U5" s="3179">
        <f>ROUND(IF(项目基本情况!$B$8="出让",SUMPRODUCT(PRODUCT(1+N5:$N$18)),SUMPRODUCT(PRODUCT(1+N5:$N$17))),4)</f>
        <v>1.0888</v>
      </c>
      <c r="V5" s="3179">
        <f>ROUND(IF(项目基本情况!$B$8="出让",SUMPRODUCT(PRODUCT(1+O5:$O$18)),SUMPRODUCT(PRODUCT(1+O5:$O$17))),4)</f>
        <v>1.0804</v>
      </c>
      <c r="W5" s="3179">
        <f>T5</f>
        <v>1.0249999999999999</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91" customFormat="1" ht="12.75">
      <c r="A6" s="3182" t="s">
        <v>3377</v>
      </c>
      <c r="B6" s="3183">
        <v>2024</v>
      </c>
      <c r="C6" s="3184">
        <v>1</v>
      </c>
      <c r="D6" s="3185">
        <v>0.08</v>
      </c>
      <c r="E6" s="3185">
        <v>0.46</v>
      </c>
      <c r="F6" s="3185">
        <v>-0.16</v>
      </c>
      <c r="G6" s="3185">
        <v>0.26</v>
      </c>
      <c r="H6" s="3186">
        <v>0.59</v>
      </c>
      <c r="I6" s="3187">
        <v>0</v>
      </c>
      <c r="J6" s="3188"/>
      <c r="K6" s="3189">
        <f t="shared" ref="K6" si="8">D6/100</f>
        <v>8.0000000000000004E-4</v>
      </c>
      <c r="L6" s="3190">
        <f t="shared" ref="L6" si="9">E6/100</f>
        <v>4.5999999999999999E-3</v>
      </c>
      <c r="M6" s="3190">
        <f t="shared" ref="M6" si="10">F6/100</f>
        <v>-1.6000000000000001E-3</v>
      </c>
      <c r="N6" s="3190">
        <f t="shared" ref="N6" si="11">G6/100</f>
        <v>2.5999999999999999E-3</v>
      </c>
      <c r="O6" s="3190">
        <f t="shared" ref="O6" si="12">H6/100</f>
        <v>5.8999999999999999E-3</v>
      </c>
      <c r="P6" s="3190">
        <f t="shared" ref="P6" si="13">M6</f>
        <v>-1.6000000000000001E-3</v>
      </c>
      <c r="Q6" s="3188"/>
      <c r="R6" s="3188">
        <f>ROUND(IF(项目基本情况!$B$8="出让",SUMPRODUCT(PRODUCT(1+K6:$K$18)),SUMPRODUCT(PRODUCT(1+K6:$K$17))),4)</f>
        <v>1.0811999999999999</v>
      </c>
      <c r="S6" s="3188">
        <f>ROUND(IF(项目基本情况!$B$8="出让",SUMPRODUCT(PRODUCT(1+L6:$L$18)),SUMPRODUCT(PRODUCT(1+L6:$L$17))),4)</f>
        <v>1.052</v>
      </c>
      <c r="T6" s="3188">
        <f>ROUND(IF(项目基本情况!$B$8="出让",SUMPRODUCT(PRODUCT(1+M6:$M$18)),SUMPRODUCT(PRODUCT(1+M6:$M$17))),4)</f>
        <v>1.0249999999999999</v>
      </c>
      <c r="U6" s="3188">
        <f>ROUND(IF(项目基本情况!$B$8="出让",SUMPRODUCT(PRODUCT(1+N6:$N$18)),SUMPRODUCT(PRODUCT(1+N6:$N$17))),4)</f>
        <v>1.0888</v>
      </c>
      <c r="V6" s="3188">
        <f>ROUND(IF(项目基本情况!$B$8="出让",SUMPRODUCT(PRODUCT(1+O6:$O$18)),SUMPRODUCT(PRODUCT(1+O6:$O$17))),4)</f>
        <v>1.0804</v>
      </c>
      <c r="W6" s="3188">
        <f t="shared" ref="W6" si="14">T6</f>
        <v>1.0249999999999999</v>
      </c>
      <c r="X6" s="3188"/>
      <c r="Y6" s="3190"/>
      <c r="Z6" s="3190"/>
      <c r="AA6" s="3190"/>
      <c r="AB6" s="3190"/>
      <c r="AC6" s="3190"/>
      <c r="AD6" s="3190"/>
    </row>
    <row r="7" spans="1:30" s="3181" customFormat="1" ht="12.75">
      <c r="A7" s="3172" t="s">
        <v>3378</v>
      </c>
      <c r="B7" s="3173">
        <v>2023</v>
      </c>
      <c r="C7" s="3174">
        <v>4</v>
      </c>
      <c r="D7" s="3175">
        <v>0.19</v>
      </c>
      <c r="E7" s="3175">
        <v>0.24</v>
      </c>
      <c r="F7" s="3175">
        <v>-0.16</v>
      </c>
      <c r="G7" s="3175">
        <v>0.17</v>
      </c>
      <c r="H7" s="3192">
        <v>0.61</v>
      </c>
      <c r="I7" s="3176">
        <f>F7</f>
        <v>-0.16</v>
      </c>
      <c r="J7" s="3177"/>
      <c r="K7" s="3178">
        <f t="shared" si="5"/>
        <v>1.9E-3</v>
      </c>
      <c r="L7" s="3168">
        <f t="shared" si="5"/>
        <v>2.3999999999999998E-3</v>
      </c>
      <c r="M7" s="3168">
        <f t="shared" si="5"/>
        <v>-1.6000000000000001E-3</v>
      </c>
      <c r="N7" s="3168">
        <f t="shared" si="5"/>
        <v>1.7000000000000001E-3</v>
      </c>
      <c r="O7" s="3168">
        <f t="shared" si="5"/>
        <v>6.0999999999999995E-3</v>
      </c>
      <c r="P7" s="3168">
        <f t="shared" ref="P7" si="15">M7</f>
        <v>-1.6000000000000001E-3</v>
      </c>
      <c r="Q7" s="3177"/>
      <c r="R7" s="3179">
        <f>ROUND(IF(项目基本情况!$B$8="出让",SUMPRODUCT(PRODUCT(1+K7:$K$18)),SUMPRODUCT(PRODUCT(1+K7:$K$17))),4)</f>
        <v>1.0804</v>
      </c>
      <c r="S7" s="3179">
        <f>ROUND(IF(项目基本情况!$B$8="出让",SUMPRODUCT(PRODUCT(1+L7:$L$18)),SUMPRODUCT(PRODUCT(1+L7:$L$17))),4)</f>
        <v>1.0471999999999999</v>
      </c>
      <c r="T7" s="3179">
        <f>ROUND(IF(项目基本情况!$B$8="出让",SUMPRODUCT(PRODUCT(1+M7:$M$18)),SUMPRODUCT(PRODUCT(1+M7:$M$17))),4)</f>
        <v>1.0266</v>
      </c>
      <c r="U7" s="3179">
        <f>ROUND(IF(项目基本情况!$B$8="出让",SUMPRODUCT(PRODUCT(1+N7:$N$18)),SUMPRODUCT(PRODUCT(1+N7:$N$17))),4)</f>
        <v>1.0859000000000001</v>
      </c>
      <c r="V7" s="3179">
        <f>ROUND(IF(项目基本情况!$B$8="出让",SUMPRODUCT(PRODUCT(1+O7:$O$18)),SUMPRODUCT(PRODUCT(1+O7:$O$17))),4)</f>
        <v>1.0741000000000001</v>
      </c>
      <c r="W7" s="3179">
        <f t="shared" ref="W7" si="16">T7</f>
        <v>1.0266</v>
      </c>
      <c r="X7" s="3177"/>
      <c r="Y7" s="3180"/>
      <c r="Z7" s="3180"/>
      <c r="AA7" s="3180"/>
      <c r="AB7" s="3180"/>
      <c r="AC7" s="3180"/>
      <c r="AD7" s="318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806" t="s">
        <v>2827</v>
      </c>
      <c r="S23" s="3807"/>
      <c r="T23" s="3807"/>
      <c r="U23" s="3807"/>
      <c r="V23" s="3807"/>
      <c r="W23" s="3807"/>
      <c r="X23" s="3161"/>
      <c r="Y23" s="3806" t="s">
        <v>2828</v>
      </c>
      <c r="Z23" s="3807"/>
      <c r="AA23" s="3807"/>
      <c r="AB23" s="3807"/>
      <c r="AC23" s="3807"/>
      <c r="AD23" s="3807"/>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0.38</v>
      </c>
      <c r="F25" s="3147">
        <f t="shared" si="32"/>
        <v>0.28999999999999998</v>
      </c>
      <c r="G25" s="3147">
        <f t="shared" si="32"/>
        <v>0.56999999999999995</v>
      </c>
      <c r="H25" s="3147"/>
      <c r="I25" s="3147">
        <f>F25</f>
        <v>0.28999999999999998</v>
      </c>
      <c r="J25" s="3148"/>
      <c r="K25" s="3149"/>
      <c r="L25" s="3150">
        <f t="shared" ref="L25:N25" si="33">ROUND(AVERAGEIF(L26:L40,"&lt;&gt;0"),4)</f>
        <v>3.8E-3</v>
      </c>
      <c r="M25" s="3150">
        <f t="shared" si="33"/>
        <v>2.8999999999999998E-3</v>
      </c>
      <c r="N25" s="3150">
        <f t="shared" si="33"/>
        <v>5.7000000000000002E-3</v>
      </c>
      <c r="O25" s="3150"/>
      <c r="P25" s="3150">
        <f>M25</f>
        <v>2.8999999999999998E-3</v>
      </c>
      <c r="Q25" s="3148"/>
      <c r="R25" s="3151"/>
      <c r="S25" s="3152">
        <f>ROUND(SUMPRODUCT(PRODUCT(1+L26:L40)),4)</f>
        <v>1.0502</v>
      </c>
      <c r="T25" s="3152">
        <f t="shared" ref="T25:U25" si="34">ROUND(SUMPRODUCT(PRODUCT(1+M26:M40)),4)</f>
        <v>1.0387999999999999</v>
      </c>
      <c r="U25" s="3152">
        <f t="shared" si="34"/>
        <v>1.0763</v>
      </c>
      <c r="V25" s="3152"/>
      <c r="W25" s="3151">
        <f>T25</f>
        <v>1.0387999999999999</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1.0465</v>
      </c>
      <c r="T27" s="3179">
        <f>ROUND(IF(项目基本情况!$B$8="出让",SUMPRODUCT(PRODUCT(1+M27:M$40)),SUMPRODUCT(PRODUCT(1+M27:M$39))),4)</f>
        <v>1.0338000000000001</v>
      </c>
      <c r="U27" s="3179">
        <f>ROUND(IF(项目基本情况!$B$8="出让",SUMPRODUCT(PRODUCT(1+N27:N$40)),SUMPRODUCT(PRODUCT(1+N27:N$39))),4)</f>
        <v>1.0659000000000001</v>
      </c>
      <c r="V27" s="3179"/>
      <c r="W27" s="3179">
        <f>T27</f>
        <v>1.0338000000000001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91" customFormat="1" ht="12.75">
      <c r="A28" s="3182" t="s">
        <v>3377</v>
      </c>
      <c r="B28" s="3183">
        <v>2024</v>
      </c>
      <c r="C28" s="3184">
        <v>1</v>
      </c>
      <c r="D28" s="3185"/>
      <c r="E28" s="3185">
        <v>0.25</v>
      </c>
      <c r="F28" s="3185">
        <v>0.4</v>
      </c>
      <c r="G28" s="3185">
        <v>-0.63</v>
      </c>
      <c r="H28" s="3186"/>
      <c r="I28" s="3187">
        <f t="shared" ref="I28:I29" si="38">F28</f>
        <v>0.4</v>
      </c>
      <c r="J28" s="3188"/>
      <c r="K28" s="3189"/>
      <c r="L28" s="3190">
        <f t="shared" ref="L28" si="39">E28/100</f>
        <v>2.5000000000000001E-3</v>
      </c>
      <c r="M28" s="3190">
        <f t="shared" ref="M28" si="40">F28/100</f>
        <v>4.0000000000000001E-3</v>
      </c>
      <c r="N28" s="3190">
        <f t="shared" ref="N28" si="41">G28/100</f>
        <v>-6.3E-3</v>
      </c>
      <c r="O28" s="3190"/>
      <c r="P28" s="3190">
        <f t="shared" ref="P28" si="42">M28</f>
        <v>4.0000000000000001E-3</v>
      </c>
      <c r="Q28" s="3188"/>
      <c r="R28" s="3188"/>
      <c r="S28" s="3188">
        <f>ROUND(IF(项目基本情况!$B$8="出让",SUMPRODUCT(PRODUCT(1+L28:L$40)),SUMPRODUCT(PRODUCT(1+L28:L$39))),4)</f>
        <v>1.0465</v>
      </c>
      <c r="T28" s="3188">
        <f>ROUND(IF(项目基本情况!$B$8="出让",SUMPRODUCT(PRODUCT(1+M28:M$40)),SUMPRODUCT(PRODUCT(1+M28:M$39))),4)</f>
        <v>1.0338000000000001</v>
      </c>
      <c r="U28" s="3188">
        <f>ROUND(IF(项目基本情况!$B$8="出让",SUMPRODUCT(PRODUCT(1+N28:N$40)),SUMPRODUCT(PRODUCT(1+N28:N$39))),4)</f>
        <v>1.0659000000000001</v>
      </c>
      <c r="V28" s="3188"/>
      <c r="W28" s="3188">
        <f t="shared" ref="W28" si="43">T28</f>
        <v>1.0338000000000001</v>
      </c>
      <c r="X28" s="3188"/>
      <c r="Y28" s="3190"/>
      <c r="Z28" s="3211"/>
      <c r="AA28" s="3212"/>
      <c r="AB28" s="3190"/>
      <c r="AC28" s="3213"/>
      <c r="AD28" s="3190"/>
    </row>
    <row r="29" spans="1:30" s="3181" customFormat="1" ht="12.75">
      <c r="A29" s="3172" t="s">
        <v>3379</v>
      </c>
      <c r="B29" s="3173">
        <v>2023</v>
      </c>
      <c r="C29" s="3174">
        <v>4</v>
      </c>
      <c r="D29" s="3175"/>
      <c r="E29" s="3175">
        <v>7.0000000000000007E-2</v>
      </c>
      <c r="F29" s="3175">
        <v>0.09</v>
      </c>
      <c r="G29" s="3175">
        <v>0.03</v>
      </c>
      <c r="H29" s="3192"/>
      <c r="I29" s="3176">
        <f t="shared" si="38"/>
        <v>0.09</v>
      </c>
      <c r="J29" s="3177"/>
      <c r="K29" s="3178"/>
      <c r="L29" s="3168">
        <f t="shared" si="37"/>
        <v>7.000000000000001E-4</v>
      </c>
      <c r="M29" s="3168">
        <f t="shared" si="37"/>
        <v>8.9999999999999998E-4</v>
      </c>
      <c r="N29" s="3168">
        <f t="shared" si="37"/>
        <v>2.9999999999999997E-4</v>
      </c>
      <c r="O29" s="3168"/>
      <c r="P29" s="3168">
        <f t="shared" ref="P29" si="44">M29</f>
        <v>8.9999999999999998E-4</v>
      </c>
      <c r="Q29" s="3177"/>
      <c r="R29" s="3179"/>
      <c r="S29" s="3179">
        <f>ROUND(IF(项目基本情况!$B$8="出让",SUMPRODUCT(PRODUCT(1+L29:L$40)),SUMPRODUCT(PRODUCT(1+L29:L$39))),4)</f>
        <v>1.0439000000000001</v>
      </c>
      <c r="T29" s="3179">
        <f>ROUND(IF(项目基本情况!$B$8="出让",SUMPRODUCT(PRODUCT(1+M29:M$40)),SUMPRODUCT(PRODUCT(1+M29:M$39))),4)</f>
        <v>1.0297000000000001</v>
      </c>
      <c r="U29" s="3179">
        <f>ROUND(IF(项目基本情况!$B$8="出让",SUMPRODUCT(PRODUCT(1+N29:N$40)),SUMPRODUCT(PRODUCT(1+N29:N$39))),4)</f>
        <v>1.0727</v>
      </c>
      <c r="V29" s="3179"/>
      <c r="W29" s="3179">
        <f t="shared" ref="W29" si="45">T29</f>
        <v>1.0297000000000001</v>
      </c>
      <c r="X29" s="3177"/>
      <c r="Y29" s="3180"/>
      <c r="Z29" s="3208"/>
      <c r="AA29" s="3210"/>
      <c r="AB29" s="3180"/>
      <c r="AC29" s="3209"/>
      <c r="AD29" s="318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45469</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854" t="s">
        <v>925</v>
      </c>
      <c r="E3" s="854" t="s">
        <v>931</v>
      </c>
      <c r="F3" s="854" t="s">
        <v>925</v>
      </c>
      <c r="G3" s="854" t="s">
        <v>926</v>
      </c>
      <c r="H3" s="854" t="s">
        <v>925</v>
      </c>
      <c r="I3" s="854" t="s">
        <v>926</v>
      </c>
    </row>
    <row r="4" spans="1:9" ht="30">
      <c r="A4" s="1505" t="str">
        <f>项目基本情况!S2</f>
        <v>北京市昌平区东小口镇天通苑西苑2号楼商业用房房地产</v>
      </c>
      <c r="B4" s="854">
        <f>项目基本情况!C17</f>
        <v>843.77</v>
      </c>
      <c r="C4" s="854">
        <f>项目基本情况!C18</f>
        <v>0</v>
      </c>
      <c r="D4" s="854">
        <f>结果表!D118</f>
        <v>0</v>
      </c>
      <c r="E4" s="854">
        <f>结果表!E118</f>
        <v>0</v>
      </c>
      <c r="F4" s="854">
        <f>结果表!F118</f>
        <v>0</v>
      </c>
      <c r="G4" s="854">
        <f>结果表!G118</f>
        <v>0</v>
      </c>
      <c r="H4" s="854">
        <f ca="1">结果表!H118</f>
        <v>1487</v>
      </c>
      <c r="I4" s="854">
        <f ca="1">结果表!I118</f>
        <v>17623</v>
      </c>
    </row>
    <row r="5" spans="1:9" ht="30" customHeight="1">
      <c r="A5" s="3493" t="s">
        <v>927</v>
      </c>
      <c r="B5" s="3493"/>
      <c r="C5" s="3493"/>
      <c r="D5" s="3493" t="str">
        <f>结果表!D119</f>
        <v>零元整</v>
      </c>
      <c r="E5" s="3493"/>
      <c r="F5" s="3493" t="str">
        <f>结果表!F119</f>
        <v>零元整</v>
      </c>
      <c r="G5" s="3493"/>
      <c r="H5" s="3493" t="str">
        <f ca="1">结果表!H119</f>
        <v>壹仟肆佰捌拾柒万元整</v>
      </c>
      <c r="I5" s="3493"/>
    </row>
    <row r="6" spans="1:9" ht="15.75">
      <c r="A6" s="3492" t="str">
        <f>结果表!A120</f>
        <v>估价师知悉的法定优先受偿款</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75">
      <c r="A8" s="3492" t="str">
        <f>结果表!A122</f>
        <v/>
      </c>
      <c r="B8" s="3492"/>
      <c r="C8" s="3492"/>
      <c r="D8" s="3492" t="str">
        <f>结果表!D122</f>
        <v>——</v>
      </c>
      <c r="E8" s="3492"/>
      <c r="F8" s="3492"/>
      <c r="G8" s="3492"/>
      <c r="H8" s="3492"/>
      <c r="I8" s="3492"/>
    </row>
    <row r="9" spans="1:9" ht="15">
      <c r="A9" s="3493" t="s">
        <v>927</v>
      </c>
      <c r="B9" s="3493"/>
      <c r="C9" s="3493"/>
      <c r="D9" s="3493" t="e">
        <f>结果表!D123</f>
        <v>#VALUE!</v>
      </c>
      <c r="E9" s="3493"/>
      <c r="F9" s="3493"/>
      <c r="G9" s="3493"/>
      <c r="H9" s="3493"/>
      <c r="I9" s="3493"/>
    </row>
    <row r="10" spans="1:9" ht="15.75">
      <c r="A10" s="3492" t="str">
        <f>结果表!A124</f>
        <v>抵押担保权已注销时的房地产抵押价值</v>
      </c>
      <c r="B10" s="3492"/>
      <c r="C10" s="3492"/>
      <c r="D10" s="3492">
        <f ca="1">结果表!D124</f>
        <v>1487</v>
      </c>
      <c r="E10" s="3492"/>
      <c r="F10" s="3492"/>
      <c r="G10" s="3492"/>
      <c r="H10" s="3492"/>
      <c r="I10" s="3492"/>
    </row>
    <row r="11" spans="1:9" ht="15">
      <c r="A11" s="3493" t="s">
        <v>927</v>
      </c>
      <c r="B11" s="3493"/>
      <c r="C11" s="3493"/>
      <c r="D11" s="3493" t="str">
        <f ca="1">结果表!D125</f>
        <v>壹仟肆佰捌拾柒万元整</v>
      </c>
      <c r="E11" s="3493"/>
      <c r="F11" s="3493"/>
      <c r="G11" s="3493"/>
      <c r="H11" s="3493"/>
      <c r="I11" s="3493"/>
    </row>
    <row r="12" spans="1:9" ht="15.75">
      <c r="A12" s="3492" t="str">
        <f>结果表!A126</f>
        <v/>
      </c>
      <c r="B12" s="3492"/>
      <c r="C12" s="3492"/>
      <c r="D12" s="3492" t="str">
        <f>结果表!D126</f>
        <v>——</v>
      </c>
      <c r="E12" s="3492"/>
      <c r="F12" s="3492"/>
      <c r="G12" s="3492"/>
      <c r="H12" s="3492"/>
      <c r="I12" s="3492"/>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比较法-租金</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2024-06-28T02:35:52Z</dcterms:modified>
</cp:coreProperties>
</file>