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65" windowWidth="14400" windowHeight="122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1"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3" sheetId="82"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6" i="9" l="1"/>
  <c r="C75" i="9"/>
  <c r="V24" i="1"/>
  <c r="V25" i="1" s="1"/>
  <c r="U25" i="1"/>
  <c r="U24" i="1"/>
  <c r="U23" i="1"/>
  <c r="Q72" i="81" l="1"/>
  <c r="F60" i="81"/>
  <c r="Q59" i="81"/>
  <c r="K59" i="81"/>
  <c r="P74" i="81" s="1"/>
  <c r="F59" i="81"/>
  <c r="Q58" i="81"/>
  <c r="Q51" i="81"/>
  <c r="J50" i="81"/>
  <c r="J51" i="81" s="1"/>
  <c r="M47" i="81"/>
  <c r="D46" i="81"/>
  <c r="F34" i="81"/>
  <c r="F62" i="81" s="1"/>
  <c r="F33" i="81"/>
  <c r="F61" i="81" s="1"/>
  <c r="F32" i="81"/>
  <c r="F31" i="81"/>
  <c r="F28" i="81"/>
  <c r="C28" i="81" s="1"/>
  <c r="F23" i="81"/>
  <c r="D24" i="81" s="1"/>
  <c r="F21" i="81"/>
  <c r="M20" i="81"/>
  <c r="F20" i="81"/>
  <c r="M19" i="81"/>
  <c r="M18" i="81"/>
  <c r="F18" i="81"/>
  <c r="M17" i="81"/>
  <c r="F17" i="81"/>
  <c r="F15" i="81"/>
  <c r="G1" i="81"/>
  <c r="G44" i="43"/>
  <c r="D42" i="43"/>
  <c r="D40" i="43"/>
  <c r="D33" i="43"/>
  <c r="Y7" i="1"/>
  <c r="Y6" i="1"/>
  <c r="M27" i="81"/>
  <c r="J15" i="81"/>
  <c r="C14" i="81"/>
  <c r="F26" i="81"/>
  <c r="F6" i="81"/>
  <c r="M9" i="81"/>
  <c r="M23" i="81"/>
  <c r="C76" i="81"/>
  <c r="Q71" i="81" l="1"/>
  <c r="C15" i="81"/>
  <c r="C18" i="81"/>
  <c r="C27" i="81"/>
  <c r="P61" i="81"/>
  <c r="D22" i="81"/>
  <c r="D23" i="81"/>
  <c r="L14" i="1"/>
  <c r="L7" i="1"/>
  <c r="G20" i="6"/>
  <c r="G19" i="6"/>
  <c r="F19" i="6"/>
  <c r="AL13" i="3"/>
  <c r="M13" i="3"/>
  <c r="K13" i="3"/>
  <c r="I13" i="3"/>
  <c r="F13" i="4"/>
  <c r="F16" i="81"/>
  <c r="M6" i="81"/>
  <c r="M26" i="81"/>
  <c r="F42" i="81"/>
  <c r="F9" i="81"/>
  <c r="F8" i="81"/>
  <c r="F38" i="81"/>
  <c r="F7" i="81"/>
  <c r="M28" i="81"/>
  <c r="F36" i="81"/>
  <c r="M24" i="81"/>
  <c r="M22" i="81"/>
  <c r="F13" i="81"/>
  <c r="M8" i="81"/>
  <c r="F37" i="81"/>
  <c r="L48" i="81"/>
  <c r="F43" i="81"/>
  <c r="F40" i="81"/>
  <c r="M29" i="81"/>
  <c r="L47" i="81"/>
  <c r="N59" i="81" l="1"/>
  <c r="L58" i="81"/>
  <c r="M59" i="81"/>
  <c r="L59" i="81"/>
  <c r="F65" i="81"/>
  <c r="F64" i="81"/>
  <c r="F68" i="81"/>
  <c r="M7" i="81"/>
  <c r="J6" i="81" s="1"/>
  <c r="F50" i="81"/>
  <c r="F71" i="81"/>
  <c r="F66" i="81"/>
  <c r="L57" i="81"/>
  <c r="L56" i="81"/>
  <c r="L60" i="81"/>
  <c r="J53" i="81"/>
  <c r="I54" i="81"/>
  <c r="J57" i="81"/>
  <c r="J55" i="81" s="1"/>
  <c r="J58" i="81" s="1"/>
  <c r="Q50" i="81" s="1"/>
  <c r="F51" i="81"/>
  <c r="C6" i="81"/>
  <c r="C16" i="81"/>
  <c r="C17" i="81"/>
  <c r="C49" i="81" l="1"/>
  <c r="C19" i="81"/>
  <c r="J18" i="81"/>
  <c r="J19" i="81"/>
  <c r="Q61" i="81"/>
  <c r="Q74" i="81"/>
  <c r="F1" i="81"/>
  <c r="Q52" i="81"/>
  <c r="C61" i="81"/>
  <c r="Q73" i="81"/>
  <c r="Q60" i="81"/>
  <c r="C32" i="81"/>
  <c r="C33" i="81"/>
  <c r="Q66" i="81"/>
  <c r="Q57" i="81"/>
  <c r="C20" i="81" l="1"/>
  <c r="C26" i="81" l="1"/>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J15" i="67"/>
  <c r="AO13" i="1"/>
  <c r="M29" i="67"/>
  <c r="M8" i="15"/>
  <c r="F40" i="15"/>
  <c r="M6" i="15"/>
  <c r="F26" i="15"/>
  <c r="B13" i="76"/>
  <c r="F6" i="15"/>
  <c r="E2" i="69"/>
  <c r="F13" i="15"/>
  <c r="F20" i="31"/>
  <c r="F16" i="67"/>
  <c r="C76" i="67"/>
  <c r="F7" i="15"/>
  <c r="F13" i="67"/>
  <c r="M22" i="67"/>
  <c r="L47" i="15"/>
  <c r="F36" i="67"/>
  <c r="F9" i="67"/>
  <c r="L48" i="67"/>
  <c r="M9" i="67"/>
  <c r="F9" i="15"/>
  <c r="F8" i="15"/>
  <c r="M24" i="67"/>
  <c r="F6" i="73"/>
  <c r="F16" i="15"/>
  <c r="M22" i="15"/>
  <c r="F7" i="67"/>
  <c r="F37" i="67"/>
  <c r="J15" i="15"/>
  <c r="B7" i="76"/>
  <c r="E10" i="76"/>
  <c r="M26" i="15"/>
  <c r="E12" i="76"/>
  <c r="F42" i="15"/>
  <c r="B11" i="76"/>
  <c r="F42" i="67"/>
  <c r="M9" i="15"/>
  <c r="M29" i="15"/>
  <c r="F8" i="67"/>
  <c r="M8" i="67"/>
  <c r="F4" i="73"/>
  <c r="F7" i="73"/>
  <c r="M26" i="67"/>
  <c r="F3" i="73"/>
  <c r="E13" i="76"/>
  <c r="B10" i="76"/>
  <c r="E9" i="76"/>
  <c r="F36" i="15"/>
  <c r="F38" i="67"/>
  <c r="L47" i="67"/>
  <c r="D6" i="73"/>
  <c r="F5" i="73"/>
  <c r="F37" i="15"/>
  <c r="E7" i="76"/>
  <c r="M23" i="15"/>
  <c r="M24" i="15"/>
  <c r="E8" i="76"/>
  <c r="E11" i="76"/>
  <c r="E2" i="68"/>
  <c r="M28" i="67"/>
  <c r="M6" i="67"/>
  <c r="F26" i="67"/>
  <c r="B8" i="76"/>
  <c r="B12" i="76"/>
  <c r="L48" i="15"/>
  <c r="F40" i="67"/>
  <c r="F38" i="15"/>
  <c r="F43" i="67"/>
  <c r="M23" i="67"/>
  <c r="B9" i="76"/>
  <c r="F6" i="67"/>
  <c r="M28" i="15"/>
  <c r="C76" i="15"/>
  <c r="F43" i="15"/>
  <c r="B41" i="1" l="1"/>
  <c r="D68" i="9"/>
  <c r="F30" i="69"/>
  <c r="F48" i="69" s="1"/>
  <c r="F31" i="12"/>
  <c r="C31" i="12" s="1"/>
  <c r="D93" i="9"/>
  <c r="F54" i="9"/>
  <c r="F32" i="15"/>
  <c r="F60" i="15" s="1"/>
  <c r="F52" i="9"/>
  <c r="F30" i="68"/>
  <c r="F48" i="68" s="1"/>
  <c r="F28" i="15"/>
  <c r="F32" i="67"/>
  <c r="F60" i="67" s="1"/>
  <c r="F28" i="67"/>
  <c r="C28" i="67" s="1"/>
  <c r="C21" i="68"/>
  <c r="G13" i="3"/>
  <c r="BA13"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D7" i="73"/>
  <c r="D5" i="73"/>
  <c r="D3" i="73"/>
  <c r="C16" i="15"/>
  <c r="C16" i="67"/>
  <c r="F11" i="81" l="1"/>
  <c r="M11" i="81"/>
  <c r="J10" i="81" s="1"/>
  <c r="J5" i="81" s="1"/>
  <c r="C48" i="69"/>
  <c r="F48" i="9"/>
  <c r="O52" i="9" s="1"/>
  <c r="F30" i="11"/>
  <c r="M18" i="67"/>
  <c r="J18" i="67" s="1"/>
  <c r="M18" i="15"/>
  <c r="C48" i="68"/>
  <c r="N370" i="46"/>
  <c r="N94" i="46"/>
  <c r="J26" i="43"/>
  <c r="F26" i="43"/>
  <c r="K16" i="1"/>
  <c r="P6" i="1"/>
  <c r="C13" i="12" s="1"/>
  <c r="E26" i="43"/>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M14" i="1"/>
  <c r="D5" i="43"/>
  <c r="J10" i="39"/>
  <c r="W10" i="39"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8" i="1"/>
  <c r="AE12" i="1"/>
  <c r="AE10" i="1"/>
  <c r="G1" i="73"/>
  <c r="F41" i="67"/>
  <c r="AE7" i="1"/>
  <c r="AE6" i="1"/>
  <c r="J24" i="81" l="1"/>
  <c r="J26" i="81"/>
  <c r="C53" i="81"/>
  <c r="C48" i="81" s="1"/>
  <c r="C10" i="81"/>
  <c r="C5" i="81" s="1"/>
  <c r="D26" i="43"/>
  <c r="C25" i="43" s="1"/>
  <c r="C48" i="11"/>
  <c r="C30" i="11"/>
  <c r="H10" i="40"/>
  <c r="AB10" i="40" s="1"/>
  <c r="J10" i="40"/>
  <c r="AC10" i="40" s="1"/>
  <c r="AC6" i="3"/>
  <c r="AA10" i="39"/>
  <c r="F10" i="40"/>
  <c r="S10" i="40" s="1"/>
  <c r="H6" i="3"/>
  <c r="H10" i="39"/>
  <c r="U10" i="39"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81"/>
  <c r="M27" i="15"/>
  <c r="M27" i="67"/>
  <c r="F41" i="15"/>
  <c r="F69" i="81" l="1"/>
  <c r="J29" i="81"/>
  <c r="C38" i="81"/>
  <c r="L36" i="43"/>
  <c r="L37" i="43" s="1"/>
  <c r="O37" i="43" s="1"/>
  <c r="F24" i="81"/>
  <c r="C66" i="81"/>
  <c r="C60" i="81"/>
  <c r="F22" i="68"/>
  <c r="F41" i="68" s="1"/>
  <c r="F25" i="12"/>
  <c r="C26" i="12" s="1"/>
  <c r="D25" i="12" s="1"/>
  <c r="E6" i="3"/>
  <c r="D116" i="43"/>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C44" i="68" l="1"/>
  <c r="D41" i="68" s="1"/>
  <c r="N37" i="43"/>
  <c r="M37" i="43"/>
  <c r="P36" i="43"/>
  <c r="P37" i="43"/>
  <c r="M36" i="43"/>
  <c r="Q36" i="43"/>
  <c r="Q37" i="43"/>
  <c r="O36" i="43"/>
  <c r="N36" i="43"/>
  <c r="C24" i="81"/>
  <c r="C23" i="81"/>
  <c r="C44" i="11"/>
  <c r="D41" i="11" s="1"/>
  <c r="C26" i="68"/>
  <c r="D22" i="68" s="1"/>
  <c r="H21" i="6"/>
  <c r="H24" i="6"/>
  <c r="H25" i="6"/>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9" i="81" l="1"/>
  <c r="B3" i="43"/>
  <c r="C6" i="68"/>
  <c r="C7" i="68" s="1"/>
  <c r="C57" i="81"/>
  <c r="C64" i="81" s="1"/>
  <c r="C36" i="81"/>
  <c r="J14" i="81"/>
  <c r="C13" i="81"/>
  <c r="Q49" i="81"/>
  <c r="J59" i="81"/>
  <c r="J60" i="81"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Q48" i="81" l="1"/>
  <c r="L46" i="81"/>
  <c r="C37" i="81"/>
  <c r="C56" i="81"/>
  <c r="C65" i="81" s="1"/>
  <c r="C75" i="81"/>
  <c r="Q70" i="81"/>
  <c r="J13" i="81"/>
  <c r="J23" i="81" s="1"/>
  <c r="J22" i="8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81"/>
  <c r="M21" i="67"/>
  <c r="F35" i="67"/>
  <c r="M21" i="15"/>
  <c r="F35" i="81"/>
  <c r="F35" i="15"/>
  <c r="J20" i="81" l="1"/>
  <c r="J17" i="81" s="1"/>
  <c r="J16" i="81" s="1"/>
  <c r="J25" i="81" s="1"/>
  <c r="C34" i="81"/>
  <c r="C31" i="81" s="1"/>
  <c r="C30" i="81" s="1"/>
  <c r="C39" i="81" s="1"/>
  <c r="F63" i="81"/>
  <c r="C62" i="81" s="1"/>
  <c r="C59" i="81" s="1"/>
  <c r="C58" i="81" s="1"/>
  <c r="C67" i="81" s="1"/>
  <c r="C68" i="8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1" l="1"/>
  <c r="C40" i="81"/>
  <c r="Q69" i="81"/>
  <c r="Q68" i="81" s="1"/>
  <c r="C80" i="81"/>
  <c r="C79"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Q67" i="81" l="1"/>
  <c r="Q47" i="81"/>
  <c r="Q53" i="81" s="1"/>
  <c r="B2" i="81"/>
  <c r="B3" i="81" s="1"/>
  <c r="Q65" i="81"/>
  <c r="Q75" i="81" s="1"/>
  <c r="C43" i="81"/>
  <c r="Q56" i="81"/>
  <c r="Q62" i="81" s="1"/>
  <c r="C83" i="81"/>
  <c r="C82" i="81" s="1"/>
  <c r="C46" i="8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0"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7"/>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0" i="1"/>
  <c r="AO12" i="1"/>
  <c r="AO11"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0"/>
  <c r="D6" i="71"/>
  <c r="C5" i="71"/>
  <c r="D5" i="71" s="1"/>
  <c r="M24" i="43" s="1"/>
  <c r="C42" i="40"/>
  <c r="C43" i="40"/>
  <c r="E47" i="40"/>
  <c r="F47" i="40" s="1"/>
  <c r="E46" i="40"/>
  <c r="F46" i="40" s="1"/>
  <c r="I47" i="40"/>
  <c r="J47" i="40" s="1"/>
  <c r="D20" i="9"/>
  <c r="D103" i="9" l="1"/>
  <c r="B58" i="40"/>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5" i="68" s="1"/>
  <c r="C28" i="68" l="1"/>
  <c r="C27" i="68" s="1"/>
  <c r="C27" i="12"/>
  <c r="C25" i="12" s="1"/>
  <c r="C32" i="12" s="1"/>
  <c r="B2" i="12" s="1"/>
  <c r="B3" i="12" s="1"/>
  <c r="C22" i="68"/>
  <c r="C31" i="68" l="1"/>
  <c r="C52" i="68" s="1"/>
  <c r="B2" i="68"/>
  <c r="C57" i="68"/>
  <c r="C56" i="68" s="1"/>
  <c r="C19" i="9"/>
  <c r="C102" i="9" l="1"/>
  <c r="D22" i="9"/>
  <c r="G19" i="9"/>
  <c r="C21" i="9"/>
  <c r="B3" i="68"/>
  <c r="D34" i="9"/>
  <c r="D35" i="9"/>
  <c r="C20" i="9"/>
  <c r="G21" i="9" l="1"/>
  <c r="D14" i="74"/>
  <c r="G14" i="74" s="1"/>
  <c r="B6" i="74" s="1"/>
  <c r="D6" i="74" s="1"/>
  <c r="G20" i="9"/>
  <c r="C32" i="9" s="1"/>
  <c r="C103" i="9"/>
  <c r="E14" i="74" l="1"/>
  <c r="F14" i="74"/>
  <c r="B5" i="74"/>
  <c r="D5" i="74" s="1"/>
  <c r="C35" i="9"/>
  <c r="C34" i="9" s="1"/>
  <c r="D118" i="9" s="1"/>
  <c r="D4" i="52" s="1"/>
  <c r="B47" i="72" s="1"/>
  <c r="H118" i="9"/>
  <c r="H4" i="52" s="1"/>
  <c r="F118" i="9" l="1"/>
  <c r="F119" i="9" s="1"/>
  <c r="F5" i="52" s="1"/>
  <c r="B53" i="72" s="1"/>
  <c r="I118" i="9"/>
  <c r="C105" i="9" s="1"/>
  <c r="D119" i="9"/>
  <c r="D5" i="52" s="1"/>
  <c r="B49" i="72" s="1"/>
  <c r="H119" i="9"/>
  <c r="H5" i="52" s="1"/>
  <c r="I4" i="52"/>
  <c r="C104" i="9"/>
  <c r="H101" i="9"/>
  <c r="F4" i="52"/>
  <c r="B51" i="72" s="1"/>
  <c r="H102" i="9" l="1"/>
  <c r="C5" i="74" s="1"/>
  <c r="G118" i="9"/>
  <c r="D45" i="9"/>
  <c r="M48" i="9"/>
  <c r="D5" i="53"/>
  <c r="H107" i="9"/>
  <c r="D7" i="53"/>
  <c r="B21" i="72" s="1"/>
  <c r="G4" i="52" l="1"/>
  <c r="B52" i="72" s="1"/>
  <c r="E118" i="9"/>
  <c r="E4" i="52" s="1"/>
  <c r="B48" i="72" s="1"/>
  <c r="B20" i="72"/>
  <c r="D6" i="53"/>
  <c r="B22" i="72" s="1"/>
  <c r="H108" i="9"/>
  <c r="D122" i="9"/>
  <c r="M49" i="9"/>
  <c r="D13" i="53"/>
  <c r="C72" i="9"/>
  <c r="C93" i="9"/>
  <c r="C86" i="9" s="1"/>
  <c r="C78" i="9"/>
  <c r="C73" i="9" s="1"/>
  <c r="C64" i="9"/>
  <c r="C63" i="9" s="1"/>
  <c r="C67" i="9" s="1"/>
  <c r="D55" i="9"/>
  <c r="M53" i="9" s="1"/>
  <c r="D52" i="9"/>
  <c r="D53" i="9"/>
  <c r="C85" i="9"/>
  <c r="C79" i="9" l="1"/>
  <c r="D8" i="52"/>
  <c r="D123" i="9"/>
  <c r="D9" i="52" s="1"/>
  <c r="C80" i="9"/>
  <c r="E80" i="9" s="1"/>
  <c r="E81" i="9" s="1"/>
  <c r="D15" i="53"/>
  <c r="B31" i="72" s="1"/>
  <c r="C6" i="74"/>
  <c r="C95" i="9"/>
  <c r="C68" i="9"/>
  <c r="D54" i="9" s="1"/>
  <c r="D48" i="9" s="1"/>
  <c r="M52" i="9" s="1"/>
  <c r="D59" i="9"/>
  <c r="M55" i="9" s="1"/>
  <c r="B30" i="72"/>
  <c r="D14" i="53"/>
  <c r="B32" i="72" s="1"/>
  <c r="L66" i="9"/>
  <c r="M66" i="9" s="1"/>
  <c r="L63" i="9"/>
  <c r="M63" i="9" s="1"/>
  <c r="L65" i="9"/>
  <c r="M65" i="9" s="1"/>
  <c r="L64" i="9"/>
  <c r="M64" i="9" s="1"/>
  <c r="L68" i="9"/>
  <c r="M68" i="9" s="1"/>
  <c r="L67" i="9"/>
  <c r="M67" i="9" s="1"/>
  <c r="C81" i="9" l="1"/>
  <c r="C96" i="9"/>
  <c r="E96" i="9" s="1"/>
  <c r="E97" i="9" s="1"/>
  <c r="M69" i="9"/>
  <c r="N69" i="9" s="1"/>
  <c r="C97" i="9" l="1"/>
  <c r="D58" i="9" s="1"/>
  <c r="D56" i="9" s="1"/>
  <c r="M54" i="9" s="1"/>
  <c r="N57" i="9" s="1"/>
  <c r="P57" i="9" l="1"/>
  <c r="N58" i="9"/>
  <c r="N59" i="9"/>
  <c r="I14" i="74" s="1"/>
  <c r="B8" i="74" s="1"/>
  <c r="D8" i="74" s="1"/>
  <c r="H111" i="9" l="1"/>
  <c r="N61" i="9"/>
  <c r="H112" i="9" s="1"/>
  <c r="N60" i="9"/>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<sst xmlns="http://schemas.openxmlformats.org/spreadsheetml/2006/main" count="8296" uniqueCount="3462">
  <si>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</si>
  <si>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</si>
  <si>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</si>
  <si>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</si>
  <si>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</si>
  <si>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</si>
  <si>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</si>
  <si>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</si>
  <si>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</si>
  <si>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</si>
  <si>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</si>
  <si>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</si>
  <si>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</si>
  <si>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</si>
  <si>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</si>
  <si>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</si>
  <si>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</si>
  <si>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</si>
  <si>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</si>
  <si>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</si>
  <si>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</si>
  <si>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</si>
  <si>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</si>
  <si>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</si>
  <si>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</si>
  <si>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</si>
  <si>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</si>
  <si>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</si>
  <si>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</si>
  <si>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</si>
  <si>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</si>
  <si>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</si>
  <si>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</si>
  <si>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</si>
  <si>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</si>
  <si>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</si>
  <si>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</si>
  <si>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</si>
  <si>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</si>
  <si>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</si>
  <si>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</si>
  <si>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</si>
  <si>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</si>
  <si>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</si>
  <si>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</si>
  <si>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</si>
  <si>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</si>
  <si>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</si>
  <si>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</si>
  <si>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</si>
  <si>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</si>
  <si>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</si>
  <si>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</si>
  <si>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</si>
  <si>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</si>
  <si>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</si>
  <si>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</si>
  <si>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</si>
  <si>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</si>
  <si>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</si>
  <si>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</si>
  <si>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</si>
  <si>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</si>
  <si>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</si>
  <si>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</si>
  <si>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</si>
  <si>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</si>
  <si>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</si>
  <si>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</si>
  <si>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</si>
  <si>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</si>
  <si>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</si>
  <si>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</si>
  <si>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</si>
  <si>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</si>
  <si>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</si>
  <si>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</si>
  <si>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</si>
  <si>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</si>
  <si>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</si>
  <si>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</si>
  <si>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</si>
  <si>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</si>
  <si>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</si>
  <si>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</si>
  <si>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</si>
  <si>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</si>
  <si>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</si>
  <si>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</si>
  <si>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</si>
  <si>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</si>
  <si>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</si>
  <si>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</si>
  <si>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</si>
  <si>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</si>
  <si>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</si>
  <si>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</si>
  <si>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</si>
  <si>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</si>
  <si>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</si>
  <si>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</si>
  <si>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</si>
  <si>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</si>
  <si>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</si>
  <si>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</si>
  <si>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</si>
  <si>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</si>
  <si>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</si>
  <si>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</si>
  <si>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</si>
  <si>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</si>
  <si>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</si>
  <si>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</si>
  <si>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</si>
  <si>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</si>
  <si>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</si>
  <si>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</si>
  <si>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</si>
  <si>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</si>
  <si>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</si>
  <si>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</si>
  <si>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</si>
  <si>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</si>
  <si>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</si>
  <si>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</si>
  <si>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</si>
  <si>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</si>
  <si>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</si>
  <si>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</si>
  <si>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</si>
  <si>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</si>
  <si>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</si>
  <si>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</si>
  <si>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</si>
  <si>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</si>
  <si>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</si>
  <si>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</si>
  <si>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</si>
  <si>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</si>
  <si>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</si>
  <si>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</si>
  <si>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</si>
  <si>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</si>
  <si>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</si>
  <si>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</si>
  <si>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</si>
  <si>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</si>
  <si>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</si>
  <si>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</si>
  <si>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</si>
  <si>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</si>
  <si>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</si>
  <si>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</si>
  <si>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</si>
  <si>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</si>
  <si>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</si>
  <si>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</si>
  <si>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</si>
  <si>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</si>
  <si>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</si>
  <si>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</si>
  <si>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</si>
  <si>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</si>
  <si>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</si>
  <si>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</si>
  <si>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</si>
  <si>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</si>
  <si>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</si>
  <si>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</si>
  <si>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</si>
  <si>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</si>
  <si>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</si>
  <si>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</si>
  <si>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</si>
  <si>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</si>
  <si>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</si>
  <si>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</si>
  <si>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</si>
  <si>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</si>
  <si>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</si>
  <si>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</si>
  <si>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</si>
  <si>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</si>
  <si>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</si>
  <si>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</si>
  <si>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</si>
  <si>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</si>
  <si>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</si>
  <si>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</si>
  <si>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</si>
  <si>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</si>
  <si>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</si>
  <si>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</si>
  <si>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</si>
  <si>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</si>
  <si>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</si>
  <si>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</si>
  <si>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</si>
  <si>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</si>
  <si>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</si>
  <si>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</si>
  <si>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</si>
  <si>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</si>
  <si>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</si>
  <si>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</si>
  <si>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</si>
  <si>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</si>
  <si>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</si>
  <si>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</si>
  <si>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</si>
  <si>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</si>
  <si>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</si>
  <si>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</si>
  <si>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</si>
  <si>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</si>
  <si>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</si>
  <si>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</si>
  <si>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</si>
  <si>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</si>
  <si>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</si>
  <si>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</si>
  <si>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</si>
  <si>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</si>
  <si>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</si>
  <si>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</si>
  <si>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</si>
  <si>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</si>
  <si>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</si>
  <si>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</si>
  <si>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</si>
  <si>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</si>
  <si>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</si>
  <si>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</si>
  <si>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</si>
  <si>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</si>
  <si>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</si>
  <si>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</si>
  <si>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</si>
  <si>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</si>
  <si>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</si>
  <si>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</si>
  <si>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</si>
  <si>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</si>
  <si>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</si>
  <si>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</si>
  <si>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</si>
  <si>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</si>
  <si>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</si>
  <si>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</si>
  <si>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</si>
  <si>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</si>
  <si>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</si>
  <si>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</si>
  <si>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</si>
  <si>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</si>
  <si>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</si>
  <si>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</si>
  <si>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</si>
  <si>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</si>
  <si>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</si>
  <si>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</si>
  <si>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</si>
  <si>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</si>
  <si>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</si>
  <si>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</si>
  <si>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</si>
  <si>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</si>
  <si>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</si>
  <si>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</si>
  <si>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</si>
  <si>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</si>
  <si>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</si>
  <si>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</si>
  <si>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</si>
  <si>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</si>
  <si>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</si>
  <si>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</si>
  <si>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</si>
  <si>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</si>
  <si>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</si>
  <si>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</si>
  <si>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</si>
  <si>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</si>
  <si>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</si>
  <si>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</si>
  <si>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</si>
  <si>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</si>
  <si>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</si>
  <si>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</si>
  <si>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</si>
  <si>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</si>
  <si>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</si>
  <si>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</si>
  <si>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</si>
  <si>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</si>
  <si>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</si>
  <si>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</si>
  <si>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</si>
  <si>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</si>
  <si>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</si>
  <si>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</si>
  <si>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</si>
  <si>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</si>
  <si>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</si>
  <si>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</si>
  <si>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</si>
  <si>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</si>
  <si>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</si>
  <si>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</si>
  <si>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</si>
  <si>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</si>
  <si>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</si>
  <si>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</si>
  <si>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</si>
  <si>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</si>
  <si>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</si>
  <si>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</si>
  <si>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</si>
  <si>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</si>
  <si>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</si>
  <si>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</si>
  <si>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</si>
  <si>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</si>
  <si>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</si>
  <si>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</si>
  <si>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</si>
  <si>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</si>
  <si>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</si>
  <si>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</si>
  <si>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</si>
  <si>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</si>
  <si>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</si>
  <si>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</si>
  <si>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</si>
  <si>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</si>
  <si>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</si>
  <si>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</si>
  <si>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</si>
  <si>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</si>
  <si>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</si>
  <si>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</si>
  <si>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</si>
  <si>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</si>
  <si>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</si>
  <si>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</si>
  <si>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</si>
  <si>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</si>
  <si>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</si>
  <si>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</si>
  <si>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</si>
  <si>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</si>
  <si>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</si>
  <si>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</si>
  <si>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</si>
  <si>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</si>
  <si>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</si>
  <si>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</si>
  <si>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</si>
  <si>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</si>
  <si>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</si>
  <si>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</si>
  <si>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</si>
  <si>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</si>
  <si>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</si>
  <si>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</si>
  <si>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</si>
  <si>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</si>
  <si>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</si>
  <si>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</si>
  <si>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</si>
  <si>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</si>
  <si>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</si>
  <si>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</si>
  <si>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</si>
  <si>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</si>
  <si>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</si>
  <si>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</si>
  <si>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</si>
  <si>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</si>
  <si>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</si>
  <si>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</si>
  <si>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</si>
  <si>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</si>
  <si>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</si>
  <si>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</si>
  <si>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</si>
  <si>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</si>
  <si>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</si>
  <si>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</si>
  <si>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</si>
  <si>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</si>
  <si>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</si>
  <si>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</si>
  <si>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</si>
  <si>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</si>
  <si>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</si>
  <si>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</si>
  <si>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</si>
  <si>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</si>
  <si>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</si>
  <si>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</si>
  <si>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</si>
  <si>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</si>
  <si>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</si>
  <si>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</si>
  <si>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</si>
  <si>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</si>
  <si>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</si>
  <si>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</si>
  <si>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</si>
  <si>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</si>
  <si>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</si>
  <si>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</si>
  <si>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</si>
  <si>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</si>
  <si>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</si>
  <si>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</si>
  <si>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</si>
  <si>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</si>
  <si>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</si>
  <si>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</si>
  <si>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</si>
  <si>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</si>
  <si>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</si>
  <si>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</si>
  <si>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</si>
  <si>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</si>
  <si>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</si>
  <si>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</si>
  <si>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</si>
  <si>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</si>
  <si>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</si>
  <si>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</si>
  <si>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</si>
  <si>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</si>
  <si>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</si>
  <si>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</si>
  <si>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</si>
  <si>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</si>
  <si>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</si>
  <si>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</si>
  <si>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</si>
  <si>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</si>
  <si>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</si>
  <si>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</si>
  <si>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</si>
  <si>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</si>
  <si>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</si>
  <si>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</si>
  <si>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</si>
  <si>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</si>
  <si>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</si>
  <si>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</si>
  <si>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</si>
  <si>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</si>
  <si>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</si>
  <si>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</si>
  <si>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</si>
  <si>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</si>
  <si>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</si>
  <si>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</si>
  <si>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</si>
  <si>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</si>
  <si>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</si>
  <si>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</si>
  <si>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</si>
  <si>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</si>
  <si>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</si>
  <si>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</si>
  <si>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</si>
  <si>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</si>
  <si>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</si>
  <si>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</si>
  <si>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</si>
  <si>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</si>
  <si>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</si>
  <si>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</si>
  <si>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</si>
  <si>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</si>
  <si>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</si>
  <si>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</si>
  <si>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</si>
  <si>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</si>
  <si>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</si>
  <si>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</si>
  <si>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</si>
  <si>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</si>
  <si>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</si>
  <si>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</si>
  <si>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</si>
  <si>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</si>
  <si>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</si>
  <si>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</si>
  <si>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</si>
  <si>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</si>
  <si>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</si>
  <si>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</si>
  <si>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</si>
  <si>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</si>
  <si>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</si>
  <si>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</si>
  <si>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</si>
  <si>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</si>
  <si>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</si>
  <si>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</si>
  <si>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</si>
  <si>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</si>
  <si>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</si>
  <si>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</si>
  <si>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</si>
  <si>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</si>
  <si>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</si>
  <si>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</si>
  <si>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</si>
  <si>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</si>
  <si>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</si>
  <si>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</si>
  <si>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</si>
  <si>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</si>
  <si>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</si>
  <si>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</si>
  <si>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</si>
  <si>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</si>
  <si>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</si>
  <si>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</si>
  <si>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</si>
  <si>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</si>
  <si>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</si>
  <si>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</si>
  <si>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</si>
  <si>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</si>
  <si>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</si>
  <si>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</si>
  <si>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</si>
  <si>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</si>
  <si>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</si>
  <si>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</si>
  <si>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</si>
  <si>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</si>
  <si>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</si>
  <si>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</si>
  <si>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</si>
  <si>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</si>
  <si>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</si>
  <si>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</si>
  <si>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</si>
  <si>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</si>
  <si>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</si>
  <si>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</si>
  <si>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</si>
  <si>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</si>
  <si>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</si>
  <si>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</si>
  <si>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</si>
  <si>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</si>
  <si>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</si>
  <si>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</si>
  <si>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</si>
  <si>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</si>
  <si>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</si>
  <si>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</si>
  <si>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</si>
  <si>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</si>
  <si>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</si>
  <si>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</si>
  <si>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</si>
  <si>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</si>
  <si>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</si>
  <si>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</si>
  <si>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</si>
  <si>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</si>
  <si>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</si>
  <si>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</si>
  <si>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</si>
  <si>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</si>
  <si>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</si>
  <si>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</si>
  <si>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</si>
  <si>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</si>
  <si>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</si>
  <si>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</si>
  <si>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</si>
  <si>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</si>
  <si>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</si>
  <si>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</si>
  <si>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</si>
  <si>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</si>
  <si>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</si>
  <si>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</si>
  <si>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</si>
  <si>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</si>
  <si>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</si>
  <si>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</si>
  <si>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</si>
  <si>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</si>
  <si>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</si>
  <si>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</si>
  <si>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</si>
  <si>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</si>
  <si>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</si>
  <si>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</si>
  <si>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</si>
  <si>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</si>
  <si>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</si>
  <si>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</si>
  <si>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</si>
  <si>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</si>
  <si>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</si>
  <si>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</si>
  <si>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</si>
  <si>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</si>
  <si>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</si>
  <si>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</si>
  <si>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</si>
  <si>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</si>
  <si>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</si>
  <si>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</si>
  <si>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</si>
  <si>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</si>
  <si>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</si>
  <si>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</si>
  <si>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</si>
  <si>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</si>
  <si>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</si>
  <si>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</si>
  <si>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</si>
  <si>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</si>
  <si>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</si>
  <si>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</si>
  <si>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</si>
  <si>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</si>
  <si>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</si>
  <si>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</si>
  <si>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</si>
  <si>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</si>
  <si>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</si>
  <si>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</si>
  <si>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</si>
  <si>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</si>
  <si>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</si>
  <si>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</si>
  <si>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</si>
  <si>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</si>
  <si>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</si>
  <si>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</si>
  <si>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</si>
  <si>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</si>
  <si>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</si>
  <si>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</si>
  <si>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</si>
  <si>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</si>
  <si>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</si>
  <si>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</si>
  <si>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</si>
  <si>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</si>
  <si>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</si>
  <si>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</si>
  <si>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</si>
  <si>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</si>
  <si>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</si>
  <si>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</si>
  <si>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</si>
  <si>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</si>
  <si>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</si>
  <si>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</si>
  <si>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</si>
  <si>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</si>
  <si>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</si>
  <si>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</si>
  <si>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</si>
  <si>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</si>
  <si>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</si>
  <si>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</si>
  <si>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</si>
  <si>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</si>
  <si>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</si>
  <si>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</si>
  <si>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</si>
  <si>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</si>
  <si>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</si>
  <si>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</si>
  <si>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</si>
  <si>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</si>
  <si>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</si>
  <si>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</si>
  <si>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</si>
  <si>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</si>
  <si>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</si>
  <si>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</si>
  <si>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</si>
  <si>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</si>
  <si>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</si>
  <si>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</si>
  <si>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</si>
  <si>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</si>
  <si>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</si>
  <si>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</si>
  <si>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</si>
  <si>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</si>
  <si>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</si>
  <si>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</si>
  <si>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</si>
  <si>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</si>
  <si>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</si>
  <si>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</si>
  <si>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</si>
  <si>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</si>
  <si>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</si>
  <si>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</si>
  <si>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</si>
  <si>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</si>
  <si>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</si>
  <si>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</si>
  <si>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</si>
  <si>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</si>
  <si>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</si>
  <si>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</si>
  <si>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</si>
  <si>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</si>
  <si>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</si>
  <si>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</si>
  <si>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</si>
  <si>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</si>
  <si>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</si>
  <si>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</si>
  <si>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</si>
  <si>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</si>
  <si>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</si>
  <si>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</si>
  <si>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</si>
  <si>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</si>
  <si>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</si>
  <si>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</si>
  <si>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</si>
  <si>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</si>
  <si>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</si>
  <si>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</si>
  <si>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</si>
  <si>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</si>
  <si>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</si>
  <si>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</si>
  <si>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</si>
  <si>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</si>
  <si>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</si>
  <si>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</si>
  <si>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</si>
  <si>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</si>
  <si>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</si>
  <si>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</si>
  <si>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</si>
  <si>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</si>
  <si>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</si>
  <si>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</si>
  <si>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</si>
  <si>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</si>
  <si>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</si>
  <si>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</si>
  <si>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</si>
  <si>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</si>
  <si>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</si>
  <si>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</si>
  <si>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</si>
  <si>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</si>
  <si>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</si>
  <si>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</si>
  <si>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</si>
  <si>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</si>
  <si>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</si>
  <si>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</si>
  <si>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</si>
  <si>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</si>
  <si>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</si>
  <si>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</si>
  <si>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</si>
  <si>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</si>
  <si>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</si>
  <si>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</si>
  <si>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</si>
  <si>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</si>
  <si>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</si>
  <si>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</si>
  <si>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</si>
  <si>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</si>
  <si>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</si>
  <si>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</si>
  <si>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</si>
  <si>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</si>
  <si>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</si>
  <si>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</si>
  <si>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</si>
  <si>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</si>
  <si>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</si>
  <si>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</si>
  <si>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</si>
  <si>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</si>
  <si>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</si>
  <si>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</si>
  <si>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</si>
  <si>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</si>
  <si>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</si>
  <si>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</si>
  <si>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</si>
  <si>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</si>
  <si>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</si>
  <si>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</si>
  <si>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</si>
  <si>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</si>
  <si>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</si>
  <si>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</si>
  <si>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</si>
  <si>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</si>
  <si>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</si>
  <si>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</si>
  <si>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</si>
  <si>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</si>
  <si>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</si>
  <si>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</si>
  <si>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</si>
  <si>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</si>
  <si>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</si>
  <si>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</si>
  <si>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</si>
  <si>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</si>
  <si>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</si>
  <si>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</si>
  <si>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</si>
  <si>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</si>
  <si>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</si>
  <si>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</si>
  <si>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</si>
  <si>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</si>
  <si>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</si>
  <si>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</si>
  <si>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</si>
  <si>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</si>
  <si>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</si>
  <si>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</si>
  <si>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</si>
  <si>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</si>
  <si>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</si>
  <si>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</si>
  <si>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</si>
  <si>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</si>
  <si>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</si>
  <si>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</si>
  <si>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</si>
  <si>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</si>
  <si>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</si>
  <si>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</si>
  <si>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</si>
  <si>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</si>
  <si>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</si>
  <si>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</si>
  <si>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</si>
  <si>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</si>
  <si>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</si>
  <si>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</si>
  <si>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</si>
  <si>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</si>
  <si>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</si>
  <si>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</si>
  <si>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</si>
  <si>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</si>
  <si>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</si>
  <si>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</si>
  <si>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</si>
  <si>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</si>
  <si>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</si>
  <si>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</si>
  <si>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</si>
  <si>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</si>
  <si>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</si>
  <si>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</si>
  <si>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</si>
  <si>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</si>
  <si>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</si>
  <si>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</si>
  <si>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</si>
  <si>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</si>
  <si>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</si>
  <si>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</si>
  <si>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</si>
  <si>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</si>
  <si>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</si>
  <si>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</si>
  <si>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</si>
  <si>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</si>
  <si>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</si>
  <si>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</si>
  <si>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</si>
  <si>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</si>
  <si>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</si>
  <si>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</si>
  <si>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</si>
  <si>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</si>
  <si>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</si>
  <si>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</si>
  <si>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</si>
  <si>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</si>
  <si>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</si>
  <si>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</si>
  <si>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</si>
  <si>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</si>
  <si>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</si>
  <si>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</si>
  <si>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</si>
  <si>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</si>
  <si>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</si>
  <si>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</si>
  <si>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</si>
  <si>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</si>
  <si>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</si>
  <si>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</si>
  <si>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</si>
  <si>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</si>
  <si>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</si>
  <si>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</si>
  <si>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</si>
  <si>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</si>
  <si>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</si>
  <si>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</si>
  <si>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</si>
  <si>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</si>
  <si>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</si>
  <si>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</si>
  <si>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</si>
  <si>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</si>
  <si>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</si>
  <si>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</si>
  <si>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</si>
  <si>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</si>
  <si>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</si>
  <si>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</si>
  <si>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</si>
  <si>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</si>
  <si>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</si>
  <si>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</si>
  <si>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</si>
  <si>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</si>
  <si>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</si>
  <si>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</si>
  <si>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</si>
  <si>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</si>
  <si>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</si>
  <si>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</si>
  <si>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</si>
  <si>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</si>
  <si>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</si>
  <si>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</si>
  <si>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</si>
  <si>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</si>
  <si>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</si>
  <si>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</si>
  <si>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</si>
  <si>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</si>
  <si>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</si>
  <si>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</si>
  <si>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</si>
  <si>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</si>
  <si>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</si>
  <si>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</si>
  <si>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</si>
  <si>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</si>
  <si>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</si>
  <si>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</si>
  <si>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</si>
  <si>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</si>
  <si>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</si>
  <si>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</si>
  <si>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</si>
  <si>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</si>
  <si>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</si>
  <si>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</si>
  <si>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</si>
  <si>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</si>
  <si>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</si>
  <si>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</si>
  <si>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</si>
  <si>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</si>
  <si>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</si>
  <si>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</si>
  <si>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</si>
  <si>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</si>
  <si>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</si>
  <si>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</si>
  <si>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</si>
  <si>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</si>
  <si>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</si>
  <si>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</si>
  <si>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</si>
  <si>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</si>
  <si>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</si>
  <si>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</si>
  <si>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</si>
  <si>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</si>
  <si>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</si>
  <si>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</si>
  <si>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</si>
  <si>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</si>
  <si>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</si>
  <si>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</si>
  <si>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</si>
  <si>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</si>
  <si>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</si>
  <si>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</si>
  <si>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</si>
  <si>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</si>
  <si>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</si>
  <si>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</si>
  <si>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</si>
  <si>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</si>
  <si>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</si>
  <si>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</si>
  <si>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</si>
  <si>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</si>
  <si>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</si>
  <si>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</si>
  <si>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</si>
  <si>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</si>
  <si>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</si>
  <si>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</si>
  <si>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</si>
  <si>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</si>
  <si>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</si>
  <si>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</si>
  <si>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</si>
  <si>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</si>
  <si>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</si>
  <si>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</si>
  <si>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</si>
  <si>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</si>
  <si>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</si>
  <si>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</si>
  <si>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</si>
  <si>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</si>
  <si>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</si>
  <si>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</si>
  <si>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</si>
  <si>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</si>
  <si>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</si>
  <si>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</si>
  <si>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</si>
  <si>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</si>
  <si>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</si>
  <si>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</si>
  <si>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</si>
  <si>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</si>
  <si>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</si>
  <si>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</si>
  <si>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</si>
  <si>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</si>
  <si>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</si>
  <si>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</si>
  <si>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</si>
  <si>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</si>
  <si>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</si>
  <si>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</si>
  <si>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</si>
  <si>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</si>
  <si>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</si>
  <si>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</si>
  <si>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</si>
  <si>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</si>
  <si>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</si>
  <si>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</si>
  <si>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</si>
  <si>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</si>
  <si>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</si>
  <si>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</si>
  <si>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</si>
  <si>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</si>
  <si>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</si>
  <si>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</si>
  <si>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</si>
  <si>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</si>
  <si>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</si>
  <si>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</si>
  <si>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</si>
  <si>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</si>
  <si>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</si>
  <si>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</si>
  <si>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</si>
  <si>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</si>
  <si>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</si>
  <si>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</si>
  <si>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</si>
  <si>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</si>
  <si>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</si>
  <si>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</si>
  <si>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</si>
  <si>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</si>
  <si>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</si>
  <si>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</si>
  <si>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</si>
  <si>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</si>
  <si>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</si>
  <si>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</si>
  <si>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</si>
  <si>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</si>
  <si>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</si>
  <si>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</si>
  <si>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</si>
  <si>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</si>
  <si>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</si>
  <si>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</si>
  <si>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</si>
  <si>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</si>
  <si>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</si>
  <si>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</si>
  <si>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</si>
  <si>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</si>
  <si>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</si>
  <si>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</si>
  <si>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</si>
  <si>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</si>
  <si>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</si>
  <si>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</si>
  <si>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</si>
  <si>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</si>
  <si>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</si>
  <si>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</si>
  <si>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</si>
  <si>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</si>
  <si>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</si>
  <si>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</si>
  <si>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</si>
  <si>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</si>
  <si>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</si>
  <si>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</si>
  <si>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</si>
  <si>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</si>
  <si>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</si>
  <si>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</si>
  <si>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</si>
  <si>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</si>
  <si>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</si>
  <si>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</si>
  <si>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</si>
  <si>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</si>
  <si>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</si>
  <si>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</si>
  <si>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</si>
  <si>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</si>
  <si>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</si>
  <si>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</si>
  <si>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</si>
  <si>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</si>
  <si>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</si>
  <si>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</si>
  <si>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</si>
  <si>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</si>
  <si>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</si>
  <si>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</si>
  <si>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</si>
  <si>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</si>
  <si>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</si>
  <si>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</si>
  <si>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</si>
  <si>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</si>
  <si>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</si>
  <si>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</si>
  <si>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</si>
  <si>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</si>
  <si>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</si>
  <si>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</si>
  <si>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</si>
  <si>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</si>
  <si>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</si>
  <si>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</si>
  <si>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</si>
  <si>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</si>
  <si>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</si>
  <si>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</si>
  <si>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</si>
  <si>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</si>
  <si>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</si>
  <si>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</si>
  <si>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</si>
  <si>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</si>
  <si>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</si>
  <si>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</si>
  <si>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</si>
  <si>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</si>
  <si>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</si>
  <si>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</si>
  <si>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</si>
  <si>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</si>
  <si>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</si>
  <si>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</si>
  <si>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</si>
  <si>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</si>
  <si>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</si>
  <si>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</si>
  <si>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</si>
  <si>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</si>
  <si>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</si>
  <si>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</si>
  <si>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</si>
  <si>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</si>
  <si>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</si>
  <si>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</si>
  <si>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</si>
  <si>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</si>
  <si>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</si>
  <si>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</si>
  <si>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</si>
  <si>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</si>
  <si>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</si>
  <si>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</si>
  <si>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</si>
  <si>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</si>
  <si>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</si>
  <si>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</si>
  <si>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</si>
  <si>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</si>
  <si>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</si>
  <si>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</si>
  <si>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</si>
  <si>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</si>
  <si>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</si>
  <si>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</si>
  <si>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</si>
  <si>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</si>
  <si>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</si>
  <si>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</si>
  <si>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</si>
  <si>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</si>
  <si>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</si>
  <si>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</si>
  <si>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</si>
  <si>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</si>
  <si>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</si>
  <si>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</si>
  <si>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</si>
  <si>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</si>
  <si>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</si>
  <si>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</si>
  <si>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</si>
  <si>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</si>
  <si>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</si>
  <si>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</si>
  <si>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</si>
  <si>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</si>
  <si>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</si>
  <si>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</si>
  <si>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</si>
  <si>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</si>
  <si>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</si>
  <si>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</si>
  <si>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</si>
  <si>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</si>
  <si>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</si>
  <si>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</si>
  <si>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</si>
  <si>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</si>
  <si>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</si>
  <si>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</si>
  <si>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</si>
  <si>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</si>
  <si>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</si>
  <si>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</si>
  <si>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</si>
  <si>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</si>
  <si>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</si>
  <si>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</si>
  <si>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</si>
  <si>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</si>
  <si>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</si>
  <si>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</si>
  <si>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</si>
  <si>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</si>
  <si>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</si>
  <si>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</si>
  <si>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</si>
  <si>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</si>
  <si>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</si>
  <si>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</si>
  <si>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</si>
  <si>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</si>
  <si>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</si>
  <si>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</si>
  <si>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</si>
  <si>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</si>
  <si>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</si>
  <si>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</si>
  <si>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</si>
  <si>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</si>
  <si>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</si>
  <si>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</si>
  <si>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</si>
  <si>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</si>
  <si>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</si>
  <si>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</si>
  <si>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</si>
  <si>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</si>
  <si>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</si>
  <si>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</si>
  <si>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</si>
  <si>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</si>
  <si>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</si>
  <si>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</si>
  <si>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</si>
  <si>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</si>
  <si>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</si>
  <si>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</si>
  <si>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</si>
  <si>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</si>
  <si>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</si>
  <si>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</si>
  <si>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</si>
  <si>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</si>
  <si>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</si>
  <si>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</si>
  <si>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</si>
  <si>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</si>
  <si>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</si>
  <si>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</si>
  <si>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</si>
  <si>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</si>
  <si>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</si>
  <si>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</si>
  <si>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</si>
  <si>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</si>
  <si>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</si>
  <si>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</si>
  <si>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</si>
  <si>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</si>
  <si>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</si>
  <si>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</si>
  <si>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</si>
  <si>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</si>
  <si>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</si>
  <si>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</si>
  <si>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</si>
  <si>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</si>
  <si>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</si>
  <si>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</si>
  <si>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</si>
  <si>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</si>
  <si>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</si>
  <si>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</si>
  <si>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</si>
  <si>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</si>
  <si>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</si>
  <si>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</si>
  <si>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</si>
  <si>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</si>
  <si>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</si>
  <si>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</si>
  <si>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</si>
  <si>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</si>
  <si>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</si>
  <si>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</si>
  <si>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</si>
  <si>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</si>
  <si>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</si>
  <si>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</si>
  <si>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</si>
  <si>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</si>
  <si>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</si>
  <si>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</si>
  <si>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</si>
  <si>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</si>
  <si>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</si>
  <si>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</si>
  <si>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</si>
  <si>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</si>
  <si>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</si>
  <si>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</si>
  <si>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</si>
  <si>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</si>
  <si>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</si>
  <si>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</si>
  <si>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</si>
  <si>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</si>
  <si>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</si>
  <si>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</si>
  <si>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</si>
  <si>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</si>
  <si>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</si>
  <si>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</si>
  <si>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</si>
  <si>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</si>
  <si>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</si>
  <si>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</si>
  <si>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</si>
  <si>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</si>
  <si>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</si>
  <si>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</si>
  <si>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</si>
  <si>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</si>
  <si>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</si>
  <si>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</si>
  <si>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</si>
  <si>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</si>
  <si>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</si>
  <si>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</si>
  <si>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</si>
  <si>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</si>
  <si>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</si>
  <si>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</si>
  <si>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</si>
  <si>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</si>
  <si>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</si>
  <si>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</si>
  <si>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</si>
  <si>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</si>
  <si>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</si>
  <si>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</si>
  <si>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</si>
  <si>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</si>
  <si>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</si>
  <si>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</si>
  <si>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</si>
  <si>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</si>
  <si>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</si>
  <si>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</si>
  <si>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</si>
  <si>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</si>
  <si>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</si>
  <si>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</si>
  <si>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</si>
  <si>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</si>
  <si>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</si>
  <si>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</si>
  <si>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</si>
  <si>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</si>
  <si>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</si>
  <si>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</si>
  <si>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</si>
  <si>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</si>
  <si>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</si>
  <si>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</si>
  <si>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</si>
  <si>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</si>
  <si>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</si>
  <si>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</si>
  <si>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</si>
  <si>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</si>
  <si>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</si>
  <si>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</si>
  <si>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</si>
  <si>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</si>
  <si>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</si>
  <si>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</si>
  <si>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</si>
  <si>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</si>
  <si>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</si>
  <si>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</si>
  <si>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</si>
  <si>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</si>
  <si>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</si>
  <si>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</si>
  <si>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</si>
  <si>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</si>
  <si>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</si>
  <si>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</si>
  <si>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</si>
  <si>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</si>
  <si>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</si>
  <si>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</si>
  <si>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</si>
  <si>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</si>
  <si>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</si>
  <si>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</si>
  <si>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</si>
  <si>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</si>
  <si>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</si>
  <si>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</si>
  <si>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</si>
  <si>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</si>
  <si>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</si>
  <si>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</si>
  <si>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</si>
  <si>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</si>
  <si>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</si>
  <si>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</si>
  <si>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</si>
  <si>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</si>
  <si>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</si>
  <si>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</si>
  <si>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</si>
  <si>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</si>
  <si>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</si>
  <si>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</si>
  <si>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</si>
  <si>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</si>
  <si>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</si>
  <si>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</si>
  <si>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</si>
  <si>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</si>
  <si>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</si>
  <si>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</si>
  <si>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</si>
  <si>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</si>
  <si>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</si>
  <si>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</si>
  <si>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</si>
  <si>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</si>
  <si>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</si>
  <si>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</si>
  <si>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</si>
  <si>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</si>
  <si>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</si>
  <si>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</si>
  <si>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</si>
  <si>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</si>
  <si>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</si>
  <si>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</si>
  <si>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</si>
  <si>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</si>
  <si>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</si>
  <si>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</si>
  <si>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</si>
  <si>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</si>
  <si>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</si>
  <si>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</si>
  <si>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</si>
  <si>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</si>
  <si>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</si>
  <si>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</si>
  <si>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</si>
  <si>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</si>
  <si>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</si>
  <si>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</si>
  <si>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</si>
  <si>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</si>
  <si>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</si>
  <si>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</si>
  <si>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</si>
  <si>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</si>
  <si>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</si>
  <si>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</si>
  <si>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</si>
  <si>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</si>
  <si>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</si>
  <si>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</si>
  <si>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</si>
  <si>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</si>
  <si>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</si>
  <si>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</si>
  <si>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</si>
  <si>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</si>
  <si>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</si>
  <si>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</si>
  <si>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</si>
  <si>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</si>
  <si>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</si>
  <si>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</si>
  <si>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</si>
  <si>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</si>
  <si>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</si>
  <si>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</si>
  <si>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</si>
  <si>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</si>
  <si>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</si>
  <si>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</si>
  <si>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</si>
  <si>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</si>
  <si>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</si>
  <si>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</si>
  <si>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</si>
  <si>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</si>
  <si>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</si>
  <si>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</si>
  <si>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</si>
  <si>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</si>
  <si>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</si>
  <si>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</si>
  <si>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</si>
  <si>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</si>
  <si>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</si>
  <si>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</si>
  <si>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</si>
  <si>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</si>
  <si>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</si>
  <si>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</si>
  <si>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</si>
  <si>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</si>
  <si>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</si>
  <si>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</si>
  <si>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</si>
  <si>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</si>
  <si>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</si>
  <si>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</si>
  <si>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</si>
  <si>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</si>
  <si>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</si>
  <si>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</si>
  <si>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</si>
  <si>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</si>
  <si>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</si>
  <si>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</si>
  <si>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</si>
  <si>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</si>
  <si>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</si>
  <si>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</si>
  <si>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</si>
  <si>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</si>
  <si>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</si>
  <si>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</si>
  <si>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</si>
  <si>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</si>
  <si>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</si>
  <si>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</si>
  <si>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</si>
  <si>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</si>
  <si>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</si>
  <si>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</si>
  <si>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</si>
  <si>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</si>
  <si>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</si>
  <si>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</si>
  <si>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</si>
  <si>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</si>
  <si>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</si>
  <si>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</si>
  <si>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</si>
  <si>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</si>
  <si>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</si>
  <si>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</si>
  <si>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</si>
  <si>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</si>
  <si>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</si>
  <si>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</si>
  <si>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</si>
  <si>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</si>
  <si>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</si>
  <si>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</si>
  <si>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</si>
  <si>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</si>
  <si>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</si>
  <si>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</si>
  <si>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</si>
  <si>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</si>
  <si>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</si>
  <si>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</si>
  <si>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</si>
  <si>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</si>
  <si>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</si>
  <si>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</si>
  <si>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</si>
  <si>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</si>
  <si>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</si>
  <si>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</si>
  <si>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</si>
  <si>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</si>
  <si>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</si>
  <si>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</si>
  <si>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</si>
  <si>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</si>
  <si>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</si>
  <si>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</si>
  <si>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</si>
  <si>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</si>
  <si>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</si>
  <si>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</si>
  <si>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</si>
  <si>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</si>
  <si>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</si>
  <si>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</si>
  <si>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</si>
  <si>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</si>
  <si>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</si>
  <si>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</si>
  <si>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</si>
  <si>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</si>
  <si>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</si>
  <si>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</si>
  <si>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</si>
  <si>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</si>
  <si>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</si>
  <si>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</si>
  <si>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</si>
  <si>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</si>
  <si>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</si>
  <si>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</si>
  <si>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</si>
  <si>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</si>
  <si>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</si>
  <si>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</si>
  <si>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</si>
  <si>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</si>
  <si>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</si>
  <si>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</si>
  <si>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</si>
  <si>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</si>
  <si>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</si>
  <si>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</si>
  <si>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</si>
  <si>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</si>
  <si>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</si>
  <si>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</si>
  <si>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</si>
  <si>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</si>
  <si>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</si>
  <si>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</si>
  <si>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</si>
  <si>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</si>
  <si>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</si>
  <si>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</si>
  <si>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</si>
  <si>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</si>
  <si>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</si>
  <si>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</si>
  <si>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</si>
  <si>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</si>
  <si>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</si>
  <si>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</si>
  <si>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</si>
  <si>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</si>
  <si>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</si>
  <si>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</si>
  <si>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</si>
  <si>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</si>
  <si>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</si>
  <si>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</si>
  <si>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</si>
  <si>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</si>
  <si>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</si>
  <si>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</si>
  <si>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</si>
  <si>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</si>
  <si>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</si>
  <si>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</si>
  <si>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</si>
  <si>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</si>
  <si>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</si>
  <si>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</si>
  <si>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</si>
  <si>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</si>
  <si>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</si>
  <si>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</si>
  <si>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</si>
  <si>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</si>
  <si>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</si>
  <si>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</si>
  <si>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</si>
  <si>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</si>
  <si>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</si>
  <si>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</si>
  <si>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</si>
  <si>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</si>
  <si>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</si>
  <si>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</si>
  <si>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</si>
  <si>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</si>
  <si>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</si>
  <si>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</si>
  <si>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</si>
  <si>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</si>
  <si>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</si>
  <si>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</si>
  <si>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</si>
  <si>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</si>
  <si>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</si>
  <si>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</si>
  <si>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</si>
  <si>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</si>
  <si>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</si>
  <si>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</si>
  <si>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</si>
  <si>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</si>
  <si>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</si>
  <si>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</si>
  <si>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</si>
  <si>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</si>
  <si>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</si>
  <si>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</si>
  <si>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</si>
  <si>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</si>
  <si>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</si>
  <si>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</si>
  <si>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</si>
  <si>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</si>
  <si>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</si>
  <si>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</si>
  <si>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</si>
  <si>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</si>
  <si>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</si>
  <si>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</si>
  <si>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</si>
  <si>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</si>
  <si>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</si>
  <si>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</si>
  <si>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</si>
  <si>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</si>
  <si>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</si>
  <si>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</si>
  <si>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</si>
  <si>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</si>
  <si>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</si>
  <si>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</si>
  <si>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</si>
  <si>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</si>
  <si>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</si>
  <si>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</si>
  <si>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</si>
  <si>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</si>
  <si>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</si>
  <si>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</si>
  <si>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</si>
  <si>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</si>
  <si>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</si>
  <si>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</si>
  <si>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</si>
  <si>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</si>
  <si>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</si>
  <si>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</si>
  <si>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</si>
  <si>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</si>
  <si>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</si>
  <si>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</si>
  <si>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</si>
  <si>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</si>
  <si>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</si>
  <si>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</si>
  <si>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</si>
  <si>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</si>
  <si>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</si>
  <si>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</si>
  <si>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</si>
  <si>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</si>
  <si>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</si>
  <si>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</si>
  <si>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</si>
  <si>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</si>
  <si>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</si>
  <si>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</si>
  <si>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</si>
  <si>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</si>
  <si>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</si>
  <si>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</si>
  <si>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</si>
  <si>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</si>
  <si>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</si>
  <si>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</si>
  <si>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</si>
  <si>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</si>
  <si>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</si>
  <si>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</si>
  <si>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</si>
  <si>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</si>
  <si>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</si>
  <si>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</si>
  <si>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</si>
  <si>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</si>
  <si>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</si>
  <si>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</si>
  <si>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</si>
  <si>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</si>
  <si>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</si>
  <si>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</si>
  <si>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</si>
  <si>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</si>
  <si>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</si>
  <si>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</si>
  <si>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</si>
  <si>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</si>
  <si>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</si>
  <si>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</si>
  <si>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</si>
  <si>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</si>
  <si>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</si>
  <si>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</si>
  <si>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</si>
  <si>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</si>
  <si>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</si>
  <si>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</si>
  <si>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</si>
  <si>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</si>
  <si>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</si>
  <si>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</si>
  <si>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</si>
  <si>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</si>
  <si>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</si>
  <si>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</si>
  <si>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</si>
  <si>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</si>
  <si>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</si>
  <si>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</si>
  <si>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</si>
  <si>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</si>
  <si>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</si>
  <si>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</si>
  <si>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</si>
  <si>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</si>
  <si>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</si>
  <si>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</si>
  <si>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</si>
  <si>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</si>
  <si>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</si>
  <si>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</si>
  <si>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</si>
  <si>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</si>
  <si>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</si>
  <si>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</si>
  <si>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</si>
  <si>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</si>
  <si>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</si>
  <si>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</si>
  <si>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</si>
  <si>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</si>
  <si>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</si>
  <si>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</si>
  <si>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</si>
  <si>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</si>
  <si>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</si>
  <si>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</si>
  <si>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</si>
  <si>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</si>
  <si>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</si>
  <si>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</si>
  <si>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</si>
  <si>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</si>
  <si>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</si>
  <si>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</si>
  <si>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</si>
  <si>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</si>
  <si>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</si>
  <si>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</si>
  <si>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</si>
  <si>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</si>
  <si>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</si>
  <si>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</si>
  <si>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</si>
  <si>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</si>
  <si>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</si>
  <si>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</si>
  <si>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</si>
  <si>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</si>
  <si>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</si>
  <si>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</si>
  <si>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</si>
  <si>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</si>
  <si>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</si>
  <si>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</si>
  <si>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</si>
  <si>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</si>
  <si>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</si>
  <si>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</si>
  <si>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</si>
  <si>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</si>
  <si>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</si>
  <si>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</si>
  <si>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</si>
  <si>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</si>
  <si>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</si>
  <si>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</si>
  <si>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</si>
  <si>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</si>
  <si>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</si>
  <si>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</si>
  <si>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</si>
  <si>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</si>
  <si>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</si>
  <si>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</si>
  <si>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</si>
  <si>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</si>
  <si>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</si>
  <si>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</si>
  <si>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</si>
  <si>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</si>
  <si>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</si>
  <si>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</si>
  <si>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</si>
  <si>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</si>
  <si>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</si>
  <si>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</si>
  <si>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</si>
  <si>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</si>
  <si>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</si>
  <si>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</si>
  <si>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</si>
  <si>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</si>
  <si>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</si>
  <si>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</si>
  <si>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</si>
  <si>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</si>
  <si>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</si>
  <si>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</si>
  <si>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</si>
  <si>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</si>
  <si>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</si>
  <si>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</si>
  <si>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</si>
  <si>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</si>
  <si>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</si>
  <si>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</si>
  <si>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</si>
  <si>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</si>
  <si>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</si>
  <si>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</si>
  <si>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</si>
  <si>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</si>
  <si>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</si>
  <si>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</si>
  <si>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</si>
  <si>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</si>
  <si>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</si>
  <si>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</si>
  <si>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</si>
  <si>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</si>
  <si>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</si>
  <si>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</si>
  <si>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</si>
  <si>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</si>
  <si>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</si>
  <si>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</si>
  <si>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</si>
  <si>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</si>
  <si>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</si>
  <si>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</si>
  <si>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</si>
  <si>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</si>
  <si>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</si>
  <si>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</si>
  <si>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</si>
  <si>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</si>
  <si>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</si>
  <si>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</si>
  <si>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</si>
  <si>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</si>
  <si>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</si>
  <si>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</si>
  <si>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</si>
  <si>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</si>
  <si>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</si>
  <si>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</si>
  <si>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</si>
  <si>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</si>
  <si>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</si>
  <si>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</si>
  <si>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</si>
  <si>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</si>
  <si>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</si>
  <si>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</si>
  <si>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</si>
  <si>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</si>
  <si>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</si>
  <si>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</si>
  <si>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</si>
  <si>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</si>
  <si>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</si>
  <si>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</si>
  <si>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</si>
  <si>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</si>
  <si>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</si>
  <si>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</si>
  <si>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</si>
  <si>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</si>
  <si>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</si>
  <si>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</si>
  <si>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</si>
  <si>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</si>
  <si>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</si>
  <si>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</si>
  <si>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</si>
  <si>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</si>
  <si>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</si>
  <si>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</si>
  <si>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</si>
  <si>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</si>
  <si>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</si>
  <si>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</si>
  <si>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</si>
  <si>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</si>
  <si>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</si>
  <si>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</si>
  <si>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</si>
  <si>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</si>
  <si>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</si>
  <si>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</si>
  <si>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</si>
  <si>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</si>
  <si>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</si>
  <si>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</si>
  <si>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</si>
  <si>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</si>
  <si>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</si>
  <si>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</si>
  <si>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</si>
  <si>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</si>
  <si>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</si>
  <si>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</si>
  <si>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</si>
  <si>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</si>
  <si>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</si>
  <si>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</si>
  <si>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</si>
  <si>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</si>
  <si>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</si>
  <si>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</si>
  <si>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</si>
  <si>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</si>
  <si>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</si>
  <si>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</si>
  <si>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</si>
  <si>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</si>
  <si>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</si>
  <si>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</si>
  <si>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</si>
  <si>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</si>
  <si>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</si>
  <si>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</si>
  <si>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</si>
  <si>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</si>
  <si>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</si>
  <si>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</si>
  <si>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</si>
  <si>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</si>
  <si>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</si>
  <si>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</si>
  <si>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</si>
  <si>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</si>
  <si>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</si>
  <si>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</si>
  <si>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</si>
  <si>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</si>
  <si>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</si>
  <si>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</si>
  <si>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</si>
  <si>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</si>
  <si>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</si>
  <si>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</si>
  <si>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</si>
  <si>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</si>
  <si>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</si>
  <si>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</si>
  <si>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</si>
  <si>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</si>
  <si>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</si>
  <si>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</si>
  <si>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</si>
  <si>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</si>
  <si>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</si>
  <si>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</si>
  <si>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</si>
  <si>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</si>
  <si>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</si>
  <si>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</si>
  <si>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</si>
  <si>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</si>
  <si>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</si>
  <si>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</si>
  <si>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</si>
  <si>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</si>
  <si>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</si>
  <si>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</si>
  <si>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</si>
  <si>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</si>
  <si>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</si>
  <si>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</si>
  <si>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</si>
  <si>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</si>
  <si>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</si>
  <si>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</si>
  <si>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</si>
  <si>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</si>
  <si>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</si>
  <si>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</si>
  <si>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</si>
  <si>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</si>
  <si>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</si>
  <si>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</si>
  <si>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</si>
  <si>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</si>
  <si>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</si>
  <si>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</si>
  <si>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</si>
  <si>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</si>
  <si>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</si>
  <si>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</si>
  <si>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</si>
  <si>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</si>
  <si>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</si>
  <si>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</si>
  <si>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</si>
  <si>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</si>
  <si>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</si>
  <si>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</si>
  <si>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</si>
  <si>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</si>
  <si>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</si>
  <si>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</si>
  <si>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</si>
  <si>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</si>
  <si>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</si>
  <si>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</si>
  <si>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</si>
  <si>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</si>
  <si>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</si>
  <si>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</si>
  <si>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</si>
  <si>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</si>
  <si>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</si>
  <si>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</si>
  <si>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</si>
  <si>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</si>
  <si>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</si>
  <si>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</si>
  <si>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</si>
  <si>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</si>
  <si>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</si>
  <si>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</si>
  <si>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</si>
  <si>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</si>
  <si>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</si>
  <si>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</si>
  <si>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</si>
  <si>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</si>
  <si>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</si>
  <si>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</si>
  <si>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</si>
  <si>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</si>
  <si>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</si>
  <si>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</si>
  <si>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</si>
  <si>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</si>
  <si>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</si>
  <si>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</si>
  <si>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</si>
  <si>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</si>
  <si>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</si>
  <si>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</si>
  <si>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</si>
  <si>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</si>
  <si>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</si>
  <si>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</si>
  <si>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</si>
  <si>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</si>
  <si>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</si>
  <si>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</si>
  <si>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</si>
  <si>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</si>
  <si>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</si>
  <si>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</si>
  <si>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</si>
  <si>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</si>
  <si>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</si>
  <si>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</si>
  <si>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</si>
  <si>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</si>
  <si>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</si>
  <si>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</si>
  <si>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</si>
  <si>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</si>
  <si>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</si>
  <si>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</si>
  <si>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</si>
  <si>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</si>
  <si>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</si>
  <si>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</si>
  <si>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</si>
  <si>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</si>
  <si>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</si>
  <si>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</si>
  <si>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</si>
  <si>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</si>
  <si>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</si>
  <si>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</si>
  <si>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</si>
  <si>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</si>
  <si>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</si>
  <si>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</si>
  <si>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</si>
  <si>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</si>
  <si>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</si>
  <si>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</si>
  <si>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</si>
  <si>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</si>
  <si>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</si>
  <si>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</si>
  <si>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</si>
  <si>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</si>
  <si>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</si>
  <si>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</si>
  <si>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</si>
  <si>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</si>
  <si>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</si>
  <si>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</si>
  <si>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</si>
  <si>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</si>
  <si>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</si>
  <si>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</si>
  <si>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</si>
  <si>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</si>
  <si>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</si>
  <si>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</si>
  <si>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</si>
  <si>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</si>
  <si>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</si>
  <si>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</si>
  <si>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</si>
  <si>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</si>
  <si>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</si>
  <si>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</si>
  <si>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</si>
  <si>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</si>
  <si>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</si>
  <si>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</si>
  <si>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</si>
  <si>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</si>
  <si>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</si>
  <si>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</si>
  <si>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</si>
  <si>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</si>
  <si>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</si>
  <si>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</si>
  <si>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</si>
  <si>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</si>
  <si>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</si>
  <si>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</si>
  <si>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</si>
  <si>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</si>
  <si>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</si>
  <si>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</si>
  <si>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</si>
  <si>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</si>
  <si>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</si>
  <si>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</si>
  <si>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</si>
  <si>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</si>
  <si>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</si>
  <si>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</si>
  <si>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</si>
  <si>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</si>
  <si>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</si>
  <si>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</si>
  <si>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</si>
  <si>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</si>
  <si>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</si>
  <si>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</si>
  <si>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</si>
  <si>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</si>
  <si>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</si>
  <si>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</si>
  <si>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</si>
  <si>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</si>
  <si>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</si>
  <si>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</si>
  <si>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</si>
  <si>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</si>
  <si>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</si>
  <si>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</si>
  <si>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</si>
  <si>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</si>
  <si>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</si>
  <si>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</si>
  <si>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</si>
  <si>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</si>
  <si>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</si>
  <si>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</si>
  <si>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</si>
  <si>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</si>
  <si>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</si>
  <si>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</si>
  <si>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</si>
  <si>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</si>
  <si>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</si>
  <si>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</si>
  <si>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</si>
  <si>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</si>
  <si>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</si>
  <si>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</si>
  <si>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</si>
  <si>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</si>
  <si>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</si>
  <si>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</si>
  <si>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</si>
  <si>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</si>
  <si>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</si>
  <si>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</si>
  <si>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</si>
  <si>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</si>
  <si>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</si>
  <si>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</si>
  <si>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</si>
  <si>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</si>
  <si>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</si>
  <si>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</si>
  <si>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</si>
  <si>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</si>
  <si>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</si>
  <si>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</si>
  <si>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</si>
  <si>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</si>
  <si>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</si>
  <si>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</si>
  <si>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</si>
  <si>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</si>
  <si>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</si>
  <si>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</si>
  <si>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</si>
  <si>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</si>
  <si>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</si>
  <si>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</si>
  <si>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</si>
  <si>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</si>
  <si>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</si>
  <si>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</si>
  <si>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</si>
  <si>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</si>
  <si>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</si>
  <si>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</si>
  <si>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</si>
  <si>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</si>
  <si>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</si>
  <si>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</si>
  <si>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</si>
  <si>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</si>
  <si>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</si>
  <si>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</si>
  <si>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</si>
  <si>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</si>
  <si>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</si>
  <si>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</si>
  <si>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</si>
  <si>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</si>
  <si>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</si>
  <si>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</si>
  <si>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</si>
  <si>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</si>
  <si>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</si>
  <si>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</si>
  <si>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</si>
  <si>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</si>
  <si>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</si>
  <si>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</si>
  <si>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</si>
  <si>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</si>
  <si>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</si>
  <si>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</si>
  <si>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</si>
  <si>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</si>
  <si>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</si>
  <si>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</si>
  <si>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</si>
  <si>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</si>
  <si>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</si>
  <si>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</si>
  <si>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</si>
  <si>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</si>
  <si>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</si>
  <si>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</si>
  <si>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</si>
  <si>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</si>
  <si>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</si>
  <si>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</si>
  <si>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</si>
  <si>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</si>
  <si>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</si>
  <si>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</si>
  <si>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</si>
  <si>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</si>
  <si>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</si>
  <si>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</si>
  <si>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</si>
  <si>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</si>
  <si>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</si>
  <si>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</si>
  <si>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</si>
  <si>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</si>
  <si>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</si>
  <si>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</si>
  <si>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</si>
  <si>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</si>
  <si>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</si>
  <si>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</si>
  <si>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</si>
  <si>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</si>
  <si>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</si>
  <si>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</si>
  <si>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</si>
  <si>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</si>
  <si>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</si>
  <si>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</si>
  <si>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</si>
  <si>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</si>
  <si>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</si>
  <si>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</si>
  <si>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</si>
  <si>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</si>
  <si>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</si>
  <si>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</si>
  <si>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</si>
  <si>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</si>
  <si>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</si>
  <si>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</si>
  <si>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</si>
  <si>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</si>
  <si>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</si>
  <si>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</si>
  <si>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</si>
  <si>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</si>
  <si>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</si>
  <si>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</si>
  <si>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</si>
  <si>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</si>
  <si>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</si>
  <si>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</si>
  <si>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</si>
  <si>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</si>
  <si>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</si>
  <si>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</si>
  <si>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</si>
  <si>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</si>
  <si>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</si>
  <si>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</si>
  <si>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</si>
  <si>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</si>
  <si>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</si>
  <si>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</si>
  <si>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</si>
  <si>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</si>
  <si>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</si>
  <si>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</si>
  <si>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</si>
  <si>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</si>
  <si>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</si>
  <si>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</si>
  <si>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</si>
  <si>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</si>
  <si>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</si>
  <si>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</si>
  <si>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</si>
  <si>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</si>
  <si>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</si>
  <si>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</si>
  <si>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</si>
  <si>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</si>
  <si>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</si>
  <si>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</si>
  <si>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</si>
  <si>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</si>
  <si>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</si>
  <si>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</si>
  <si>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</si>
  <si>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</si>
  <si>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</si>
  <si>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</si>
  <si>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</si>
  <si>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</si>
  <si>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</si>
  <si>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</si>
  <si>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</si>
  <si>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</si>
  <si>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</si>
  <si>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</si>
  <si>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</si>
  <si>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</si>
  <si>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</si>
  <si>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</si>
  <si>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</si>
  <si>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</si>
  <si>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</si>
  <si>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</si>
  <si>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</si>
  <si>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</si>
  <si>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</si>
  <si>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</si>
  <si>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</si>
  <si>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</si>
  <si>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</si>
  <si>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</si>
  <si>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</si>
  <si>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</si>
  <si>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</si>
  <si>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</si>
  <si>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</si>
  <si>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</si>
  <si>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</si>
  <si>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</si>
  <si>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</si>
  <si>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</si>
  <si>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</si>
  <si>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</si>
  <si>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</si>
  <si>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</si>
  <si>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</si>
  <si>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</si>
  <si>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</si>
  <si>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</si>
  <si>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</si>
  <si>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</si>
  <si>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</si>
  <si>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</si>
  <si>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</si>
  <si>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</si>
  <si>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</si>
  <si>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</si>
  <si>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</si>
  <si>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</si>
  <si>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</si>
  <si>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</si>
  <si>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</si>
  <si>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</si>
  <si>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</si>
  <si>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</si>
  <si>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</si>
  <si>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</si>
  <si>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</si>
  <si>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</si>
  <si>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</si>
  <si>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</si>
  <si>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</si>
  <si>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</si>
  <si>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</si>
  <si>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</si>
  <si>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</si>
  <si>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</si>
  <si>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</si>
  <si>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</si>
  <si>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</si>
  <si>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</si>
  <si>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</si>
  <si>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</si>
  <si>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</si>
  <si>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</si>
  <si>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</si>
  <si>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</si>
  <si>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</si>
  <si>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</si>
  <si>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</si>
  <si>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</si>
  <si>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</si>
  <si>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</si>
  <si>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</si>
  <si>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</si>
  <si>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</si>
  <si>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</si>
  <si>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</si>
  <si>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</si>
  <si>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</si>
  <si>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</si>
  <si>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</si>
  <si>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</si>
  <si>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</si>
  <si>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</si>
  <si>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</si>
  <si>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</si>
  <si>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</si>
  <si>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</si>
  <si>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</si>
  <si>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</si>
  <si>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</si>
  <si>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</si>
  <si>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</si>
  <si>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</si>
  <si>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</si>
  <si>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</si>
  <si>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</si>
  <si>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</si>
  <si>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</si>
  <si>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</si>
  <si>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</si>
  <si>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</si>
  <si>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</si>
  <si>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</si>
  <si>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</si>
  <si>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</si>
  <si>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</si>
  <si>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</si>
  <si>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</si>
  <si>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</si>
  <si>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</si>
  <si>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</si>
  <si>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</si>
  <si>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</si>
  <si>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</si>
  <si>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</si>
  <si>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</si>
  <si>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</si>
  <si>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</si>
  <si>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</si>
  <si>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</si>
  <si>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</si>
  <si>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</si>
  <si>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</si>
  <si>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</si>
  <si>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</si>
  <si>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</si>
  <si>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</si>
  <si>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</si>
  <si>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</si>
  <si>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</si>
  <si>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</si>
  <si>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</si>
  <si>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</si>
  <si>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</si>
  <si>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</si>
  <si>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</si>
  <si>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</si>
  <si>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</si>
  <si>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</si>
  <si>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</si>
  <si>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</si>
  <si>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</si>
  <si>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</si>
  <si>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</si>
  <si>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</si>
  <si>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</si>
  <si>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</si>
  <si>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</si>
  <si>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</si>
  <si>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</si>
  <si>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</si>
  <si>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</si>
  <si>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</si>
  <si>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</si>
  <si>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</si>
  <si>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</si>
  <si>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</si>
  <si>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</si>
  <si>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</si>
  <si>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</si>
  <si>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</si>
  <si>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</si>
  <si>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</si>
  <si>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</si>
  <si>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</si>
  <si>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</si>
  <si>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</si>
  <si>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</si>
  <si>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</si>
  <si>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</si>
  <si>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</si>
  <si>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</si>
  <si>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</si>
  <si>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</si>
  <si>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</si>
  <si>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</si>
  <si>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</si>
  <si>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</si>
  <si>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</si>
  <si>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</si>
  <si>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</si>
  <si>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</si>
  <si>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</si>
  <si>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</si>
  <si>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</si>
  <si>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</si>
  <si>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</si>
  <si>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</si>
  <si>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</si>
  <si>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</si>
  <si>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</si>
  <si>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</si>
  <si>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</si>
  <si>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</si>
  <si>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</si>
  <si>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</si>
  <si>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</si>
  <si>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</si>
  <si>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</si>
  <si>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</si>
  <si>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</si>
  <si>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</si>
  <si>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</si>
  <si>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</si>
  <si>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</si>
  <si>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</si>
  <si>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</si>
  <si>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</si>
  <si>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</si>
  <si>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</si>
  <si>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</si>
  <si>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</si>
  <si>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</si>
  <si>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</si>
  <si>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</si>
  <si>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</si>
  <si>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</si>
  <si>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</si>
  <si>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</si>
  <si>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</si>
  <si>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</si>
  <si>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</si>
  <si>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</si>
  <si>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</si>
  <si>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</si>
  <si>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</si>
  <si>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</si>
  <si>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</si>
  <si>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</si>
  <si>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</si>
  <si>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</si>
  <si>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</si>
  <si>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</si>
  <si>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</si>
  <si>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</si>
  <si>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</si>
  <si>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</si>
  <si>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</si>
  <si>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</si>
  <si>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</si>
  <si>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</si>
  <si>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</si>
  <si>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</si>
  <si>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</si>
  <si>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</si>
  <si>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</si>
  <si>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</si>
  <si>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</si>
  <si>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</si>
  <si>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</si>
  <si>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</si>
  <si>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</si>
  <si>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</si>
  <si>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</si>
  <si>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</si>
  <si>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</si>
  <si>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</si>
  <si>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</si>
  <si>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</si>
  <si>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</si>
  <si>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</si>
  <si>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</si>
  <si>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</si>
  <si>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</si>
  <si>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</si>
  <si>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</si>
  <si>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</si>
  <si>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</si>
  <si>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</si>
  <si>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</si>
  <si>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</si>
  <si>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</si>
  <si>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</si>
  <si>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</si>
  <si>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</si>
  <si>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</si>
  <si>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</si>
  <si>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</si>
  <si>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</si>
  <si>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</si>
  <si>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</si>
  <si>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</si>
  <si>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</si>
  <si>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</si>
  <si>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</si>
  <si>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</si>
  <si>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</si>
  <si>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</si>
  <si>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</si>
  <si>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</si>
  <si>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</si>
  <si>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</si>
  <si>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</si>
  <si>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</si>
  <si>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</si>
  <si>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</si>
  <si>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</si>
  <si>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</si>
  <si>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</si>
  <si>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</si>
  <si>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</si>
  <si>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</si>
  <si>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</si>
  <si>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</si>
  <si>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</si>
  <si>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</si>
  <si>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</si>
  <si>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</si>
  <si>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</si>
  <si>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</si>
  <si>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</si>
  <si>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</si>
  <si>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</si>
  <si>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</si>
  <si>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</si>
  <si>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</si>
  <si>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</si>
  <si>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</si>
  <si>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</si>
  <si>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</si>
  <si>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</si>
  <si>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</si>
  <si>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</si>
  <si>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</si>
  <si>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</si>
  <si>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</si>
  <si>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</si>
  <si>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</si>
  <si>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</si>
  <si>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</si>
  <si>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</si>
  <si>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</si>
  <si>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</si>
  <si>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</si>
  <si>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</si>
  <si>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</si>
  <si>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</si>
  <si>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</si>
  <si>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</si>
  <si>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</si>
  <si>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</si>
  <si>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</si>
  <si>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</si>
  <si>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</si>
  <si>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</si>
  <si>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</si>
  <si>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</si>
  <si>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</si>
  <si>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</si>
  <si>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</si>
  <si>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</si>
  <si>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</si>
  <si>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</si>
  <si>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</si>
  <si>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</si>
  <si>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</si>
  <si>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</si>
  <si>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</si>
  <si>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</si>
  <si>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</si>
  <si>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</si>
  <si>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</si>
  <si>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</si>
  <si>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</si>
  <si>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</si>
  <si>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</si>
  <si>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</si>
  <si>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</si>
  <si>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</si>
  <si>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</si>
  <si>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</si>
  <si>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</si>
  <si>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</si>
  <si>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</si>
  <si>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</si>
  <si>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</si>
  <si>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</si>
  <si>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</si>
  <si>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</si>
  <si>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</si>
  <si>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</si>
  <si>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</si>
  <si>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</si>
  <si>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</si>
  <si>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</si>
  <si>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</si>
  <si>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</si>
  <si>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</si>
  <si>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</si>
  <si>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</si>
  <si>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</si>
  <si>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</si>
  <si>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</si>
  <si>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</si>
  <si>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</si>
  <si>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</si>
  <si>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</si>
  <si>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</si>
  <si>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</si>
  <si>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</si>
  <si>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</si>
  <si>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</si>
  <si>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</si>
  <si>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</si>
  <si>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</si>
  <si>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</si>
  <si>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</si>
  <si>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</si>
  <si>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</si>
  <si>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</si>
  <si>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</si>
  <si>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</si>
  <si>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</si>
  <si>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</si>
  <si>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</si>
  <si>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</si>
  <si>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</si>
  <si>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</si>
  <si>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</si>
  <si>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</si>
  <si>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</si>
  <si>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</si>
  <si>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</si>
  <si>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</si>
  <si>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</si>
  <si>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</si>
  <si>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</si>
  <si>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</si>
  <si>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</si>
  <si>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</si>
  <si>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</si>
  <si>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</si>
  <si>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</si>
  <si>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</si>
  <si>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</si>
  <si>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</si>
  <si>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</si>
  <si>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</si>
  <si>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</si>
  <si>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</si>
  <si>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</si>
  <si>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</si>
  <si>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</si>
  <si>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</si>
  <si>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</si>
  <si>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</si>
  <si>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</si>
  <si>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</si>
  <si>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</si>
  <si>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</si>
  <si>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</si>
  <si>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</si>
  <si>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</si>
  <si>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</si>
  <si>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</si>
  <si>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</si>
  <si>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</si>
  <si>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</si>
  <si>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</si>
  <si>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</si>
  <si>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</si>
  <si>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</si>
  <si>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</si>
  <si>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</si>
  <si>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</si>
  <si>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</si>
  <si>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</si>
  <si>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</si>
  <si>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</si>
  <si>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</si>
  <si>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</si>
  <si>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</si>
  <si>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</si>
  <si>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</si>
  <si>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</si>
  <si>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</si>
  <si>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</si>
  <si>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</si>
  <si>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</si>
  <si>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</si>
  <si>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</si>
  <si>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</si>
  <si>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</si>
  <si>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</si>
  <si>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</si>
  <si>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</si>
  <si>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</si>
  <si>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</si>
  <si>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</si>
  <si>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</si>
  <si>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</si>
  <si>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</si>
  <si>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</si>
  <si>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</si>
  <si>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</si>
  <si>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</si>
  <si>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</si>
  <si>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</si>
  <si>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</si>
  <si>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</si>
  <si>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</si>
  <si>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</si>
  <si>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</si>
  <si>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</si>
  <si>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</si>
  <si>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</si>
  <si>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</si>
  <si>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</si>
  <si>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</si>
  <si>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</si>
  <si>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</si>
  <si>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</si>
  <si>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</si>
  <si>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</si>
  <si>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</si>
  <si>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</si>
  <si>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</si>
  <si>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</si>
  <si>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</si>
  <si>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</si>
  <si>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</si>
  <si>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</si>
  <si>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</si>
  <si>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</si>
  <si>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</si>
  <si>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</si>
  <si>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</si>
  <si>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</si>
  <si>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</si>
  <si>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</si>
  <si>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</si>
  <si>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</si>
  <si>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</si>
  <si>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</si>
  <si>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</si>
  <si>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</si>
  <si>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</si>
  <si>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</si>
  <si>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</si>
  <si>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</si>
  <si>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</si>
  <si>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</si>
  <si>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</si>
  <si>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</si>
  <si>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</si>
  <si>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</si>
  <si>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</si>
  <si>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</si>
  <si>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</si>
  <si>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</si>
  <si>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</si>
  <si>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</si>
  <si>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</si>
  <si>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</si>
  <si>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</si>
  <si>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</si>
  <si>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</si>
  <si>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</si>
  <si>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</si>
  <si>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</si>
  <si>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</si>
  <si>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</si>
  <si>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</si>
  <si>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</si>
  <si>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</si>
  <si>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</si>
  <si>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</si>
  <si>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</si>
  <si>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</si>
  <si>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</si>
  <si>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</si>
  <si>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</si>
  <si>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</si>
  <si>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</si>
  <si>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</si>
  <si>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</si>
  <si>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</si>
  <si>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</si>
  <si>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</si>
  <si>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</si>
  <si>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</si>
  <si>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</si>
  <si>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</si>
  <si>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</si>
  <si>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</si>
  <si>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</si>
  <si>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</si>
  <si>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</si>
  <si>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</si>
  <si>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</si>
  <si>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</si>
  <si>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</si>
  <si>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</si>
  <si>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</si>
  <si>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</si>
  <si>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</si>
  <si>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</si>
  <si>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</si>
  <si>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</si>
  <si>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</si>
  <si>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</si>
  <si>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</si>
  <si>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</si>
  <si>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</si>
  <si>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</si>
  <si>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</si>
  <si>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</si>
  <si>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</si>
  <si>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</si>
  <si>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</si>
  <si>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</si>
  <si>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</si>
  <si>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</si>
  <si>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</si>
  <si>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</si>
  <si>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</si>
  <si>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</si>
  <si>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</si>
  <si>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</si>
  <si>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</si>
  <si>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</si>
  <si>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</si>
  <si>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</si>
  <si>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</si>
  <si>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</si>
  <si>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</si>
  <si>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</si>
  <si>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</si>
  <si>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</si>
  <si>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</si>
  <si>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</si>
  <si>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</si>
  <si>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</si>
  <si>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</si>
  <si>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</si>
  <si>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</si>
  <si>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</si>
  <si>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</si>
  <si>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</si>
  <si>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</si>
  <si>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</si>
  <si>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</si>
  <si>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</si>
  <si>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</si>
  <si>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</si>
  <si>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</si>
  <si>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</si>
  <si>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</si>
  <si>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</si>
  <si>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</si>
  <si>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</si>
  <si>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</si>
  <si>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</si>
  <si>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</si>
  <si>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</si>
  <si>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</si>
  <si>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</si>
  <si>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</si>
  <si>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</si>
  <si>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</si>
  <si>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</si>
  <si>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</si>
  <si>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</si>
  <si>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</si>
  <si>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</si>
  <si>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</si>
  <si>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</si>
  <si>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</si>
  <si>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</si>
  <si>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</si>
  <si>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</si>
  <si>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</si>
  <si>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</si>
  <si>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</si>
  <si>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</si>
  <si>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</si>
  <si>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</si>
  <si>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</si>
  <si>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</si>
  <si>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</si>
  <si>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</si>
  <si>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</si>
  <si>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</si>
  <si>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</si>
  <si>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</si>
  <si>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</si>
  <si>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</si>
  <si>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</si>
  <si>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</si>
  <si>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</si>
  <si>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</si>
  <si>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</si>
  <si>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</si>
  <si>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</si>
  <si>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</si>
  <si>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</si>
  <si>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</si>
  <si>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</si>
  <si>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</si>
  <si>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</si>
  <si>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</si>
  <si>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</si>
  <si>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</si>
  <si>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</si>
  <si>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</si>
  <si>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</si>
  <si>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</si>
  <si>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</si>
  <si>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</si>
  <si>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</si>
  <si>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</si>
  <si>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</si>
  <si>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</si>
  <si>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</si>
  <si>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</si>
  <si>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</si>
  <si>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</si>
  <si>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</si>
  <si>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</si>
  <si>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</si>
  <si>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</si>
  <si>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</si>
  <si>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</si>
  <si>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</si>
  <si>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</si>
  <si>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</si>
  <si>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</si>
  <si>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</si>
  <si>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</si>
  <si>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</si>
  <si>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</si>
  <si>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</si>
  <si>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</si>
  <si>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</si>
  <si>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</si>
  <si>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</si>
  <si>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</si>
  <si>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</si>
  <si>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</si>
  <si>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</si>
  <si>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</si>
  <si>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</si>
  <si>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</si>
  <si>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</si>
  <si>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</si>
  <si>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</si>
  <si>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</si>
  <si>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</si>
  <si>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</si>
  <si>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</si>
  <si>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</si>
  <si>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</si>
  <si>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</si>
  <si>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</si>
  <si>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</si>
  <si>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</si>
  <si>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</si>
  <si>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</si>
  <si>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</si>
  <si>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</si>
  <si>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</si>
  <si>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</si>
  <si>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</si>
  <si>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</si>
  <si>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</si>
  <si>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</si>
  <si>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</si>
  <si>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</si>
  <si>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</si>
  <si>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</si>
  <si>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</si>
  <si>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</si>
  <si>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</si>
  <si>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</si>
  <si>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</si>
  <si>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</si>
  <si>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</si>
  <si>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</si>
  <si>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</si>
  <si>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</si>
  <si>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</si>
  <si>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</si>
  <si>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</si>
  <si>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</si>
  <si>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</si>
  <si>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</si>
  <si>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</si>
  <si>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</si>
  <si>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</si>
  <si>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</si>
  <si>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</si>
  <si>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</si>
  <si>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</si>
  <si>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</si>
  <si>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</si>
  <si>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</si>
  <si>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</si>
  <si>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</si>
  <si>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</si>
  <si>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</si>
  <si>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</si>
  <si>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</si>
  <si>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</si>
  <si>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</si>
  <si>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</si>
  <si>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</si>
  <si>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</si>
  <si>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</si>
  <si>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</si>
  <si>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</si>
  <si>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</si>
  <si>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</si>
  <si>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</si>
  <si>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</si>
  <si>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</si>
  <si>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</si>
  <si>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</si>
  <si>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</si>
  <si>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</si>
  <si>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</si>
  <si>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</si>
  <si>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</si>
  <si>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</si>
  <si>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</si>
  <si>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</si>
  <si>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</si>
  <si>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</si>
  <si>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</si>
  <si>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</si>
  <si>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</si>
  <si>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</si>
  <si>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</si>
  <si>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</si>
  <si>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</si>
  <si>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</si>
  <si>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</si>
  <si>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</si>
  <si>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</si>
  <si>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</si>
  <si>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</si>
  <si>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</si>
  <si>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</si>
  <si>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</si>
  <si>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</si>
  <si>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</si>
  <si>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</si>
  <si>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</si>
  <si>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</si>
  <si>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</si>
  <si>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</si>
  <si>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</si>
  <si>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</si>
  <si>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</si>
  <si>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</si>
  <si>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</si>
  <si>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</si>
  <si>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</si>
  <si>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</si>
  <si>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</si>
  <si>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</si>
  <si>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所在楼层</t>
  </si>
  <si>
    <t>建筑面积（平方米）</t>
  </si>
  <si>
    <t>现状用途</t>
  </si>
  <si>
    <t>地下车库</t>
  </si>
  <si>
    <t>员工餐厅、配套服务用房</t>
  </si>
  <si>
    <t>展厅、办公</t>
  </si>
  <si>
    <t>附属层</t>
  </si>
  <si>
    <t>合计</t>
  </si>
  <si>
    <t>地上</t>
  </si>
  <si>
    <t>地下</t>
  </si>
  <si>
    <t>是</t>
  </si>
  <si>
    <t>办公</t>
    <phoneticPr fontId="7" type="noConversion"/>
  </si>
  <si>
    <t>车库</t>
    <phoneticPr fontId="7" type="noConversion"/>
  </si>
  <si>
    <t>成新度</t>
  </si>
  <si>
    <t>收益法</t>
  </si>
  <si>
    <t>宗地容积率</t>
  </si>
  <si>
    <t>通路</t>
  </si>
  <si>
    <t>通电</t>
  </si>
  <si>
    <t>通上水</t>
  </si>
  <si>
    <t>通讯</t>
  </si>
  <si>
    <t>通下水</t>
  </si>
  <si>
    <t>平整</t>
  </si>
  <si>
    <t>燃气</t>
  </si>
  <si>
    <t>一般</t>
  </si>
  <si>
    <t>较好</t>
  </si>
  <si>
    <t>好</t>
  </si>
  <si>
    <t>未包含在土地购买价格中</t>
  </si>
  <si>
    <t>全部缴纳</t>
  </si>
  <si>
    <t>已包含在土地取得成本中</t>
  </si>
  <si>
    <t>押一</t>
  </si>
  <si>
    <t>钢混</t>
  </si>
  <si>
    <t>非生产用房</t>
  </si>
  <si>
    <t>否</t>
  </si>
  <si>
    <t>收益法-车库</t>
  </si>
  <si>
    <t>收益法-车库</t>
    <phoneticPr fontId="16" type="noConversion"/>
  </si>
  <si>
    <t>自定义</t>
  </si>
  <si>
    <t>成本法</t>
  </si>
  <si>
    <t>收益法（汇总）</t>
  </si>
  <si>
    <t>总价</t>
  </si>
  <si>
    <t>成本比率</t>
  </si>
  <si>
    <t>情况4</t>
  </si>
  <si>
    <t>正常</t>
  </si>
  <si>
    <t>转让取得</t>
  </si>
  <si>
    <t>购房发票</t>
  </si>
  <si>
    <t>2016年5月1日后购买</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</si>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</sst>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1" xfId="0" applyFont="1" applyBorder="1" applyAlignment="1">
      <alignment horizontal="center" vertical="center"/>
    </xf>
    <xf numFmtId="0" fontId="0" fillId="0" borderId="1" xfId="0" applyBorder="1" applyAlignment="1">
      <alignment horizontal="center" vertical="center"/>
    </xf>
    <xf numFmtId="176" fontId="44" fillId="22" borderId="24" xfId="1" applyNumberFormat="1" applyFont="1" applyFill="1" applyBorder="1" applyAlignment="1" applyProtection="1">
      <alignment horizontal="center" vertical="center"/>
      <protection locked="0"/>
    </xf>
    <xf numFmtId="179" fontId="44" fillId="22" borderId="23" xfId="0" applyNumberFormat="1" applyFont="1" applyFill="1" applyBorder="1" applyAlignment="1" applyProtection="1">
      <alignment horizontal="center" vertical="center"/>
      <protection locked="0"/>
    </xf>
    <xf numFmtId="181" fontId="99" fillId="22" borderId="1" xfId="0" applyNumberFormat="1" applyFont="1" applyFill="1" applyBorder="1" applyAlignment="1" applyProtection="1">
      <alignment horizontal="center" vertical="center"/>
      <protection locked="0"/>
    </xf>
    <xf numFmtId="181" fontId="44" fillId="22"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95" fillId="0" borderId="1" xfId="0" applyFont="1" applyBorder="1" applyAlignment="1">
      <alignment horizontal="center" vertical="center"/>
    </xf>
    <xf numFmtId="0" fontId="0" fillId="0" borderId="1" xfId="0"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190500</xdr:colOff>
      <xdr:row>31</xdr:row>
      <xdr:rowOff>53211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19500" cy="5368161"/>
        </a:xfrm>
        <a:prstGeom prst="rect">
          <a:avLst/>
        </a:prstGeom>
      </xdr:spPr>
    </xdr:pic>
    <xdr:clientData/>
  </xdr:twoCellAnchor>
  <xdr:twoCellAnchor editAs="oneCell">
    <xdr:from>
      <xdr:col>6</xdr:col>
      <xdr:colOff>0</xdr:colOff>
      <xdr:row>0</xdr:row>
      <xdr:rowOff>0</xdr:rowOff>
    </xdr:from>
    <xdr:to>
      <xdr:col>11</xdr:col>
      <xdr:colOff>218619</xdr:colOff>
      <xdr:row>43</xdr:row>
      <xdr:rowOff>8602</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647619" cy="7380952"/>
        </a:xfrm>
        <a:prstGeom prst="rect">
          <a:avLst/>
        </a:prstGeom>
      </xdr:spPr>
    </xdr:pic>
    <xdr:clientData/>
  </xdr:twoCellAnchor>
  <xdr:twoCellAnchor editAs="oneCell">
    <xdr:from>
      <xdr:col>12</xdr:col>
      <xdr:colOff>0</xdr:colOff>
      <xdr:row>0</xdr:row>
      <xdr:rowOff>0</xdr:rowOff>
    </xdr:from>
    <xdr:to>
      <xdr:col>17</xdr:col>
      <xdr:colOff>132905</xdr:colOff>
      <xdr:row>21</xdr:row>
      <xdr:rowOff>94788</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3561905" cy="3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估价对象为北京市房地产，为所有。根据《国有土地使用证》[]，估价对象（分摊）出让国有建设用地使用权面积为6799.81平方米，建筑面积为42466.65平方米。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估价对象为北京市房地产,属开发建设的，该项目尚在开发建设中。根据《国有土地使用证》[]，估价对象（分摊）出让国有建设用地使用权面积为6799.81平方米，规划建筑面积为42466.65平方米。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2025年4月7日</v>
      </c>
    </row>
    <row r="13" spans="1:2" s="1202" customFormat="1">
      <c r="A13" s="1200" t="s">
        <v>529</v>
      </c>
      <c r="B13" s="1201" t="str">
        <f>'预评函-1'!A18</f>
        <v>本次估价的“房地产价值”是指在正常市场情况下，在价值时点2025年4月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150290</v>
      </c>
    </row>
    <row r="21" spans="1:2" s="1202" customFormat="1">
      <c r="A21" s="1200" t="s">
        <v>537</v>
      </c>
      <c r="B21" s="1201">
        <f ca="1">'预评函-2'!D7</f>
        <v>35390</v>
      </c>
    </row>
    <row r="22" spans="1:2" s="1202" customFormat="1">
      <c r="A22" s="1200" t="s">
        <v>538</v>
      </c>
      <c r="B22" s="1201" t="str">
        <f ca="1">'预评函-2'!D6</f>
        <v>壹拾伍亿零贰佰玖拾万元整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150290</v>
      </c>
    </row>
    <row r="31" spans="1:2" s="1202" customFormat="1">
      <c r="A31" s="1200" t="s">
        <v>576</v>
      </c>
      <c r="B31" s="1201">
        <f ca="1">'预评函-2'!D15</f>
        <v>35390</v>
      </c>
    </row>
    <row r="32" spans="1:2" s="1202" customFormat="1">
      <c r="A32" s="1200" t="s">
        <v>543</v>
      </c>
      <c r="B32" s="1201" t="str">
        <f ca="1">'预评函-2'!D14</f>
        <v>壹拾伍亿零贰佰玖拾万元整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150248</v>
      </c>
    </row>
    <row r="39" spans="1:2" s="1202" customFormat="1">
      <c r="A39" s="1200" t="s">
        <v>545</v>
      </c>
      <c r="B39" s="1201">
        <f ca="1">'预评函-2'!D21</f>
        <v>35380</v>
      </c>
    </row>
    <row r="40" spans="1:2" s="1202" customFormat="1">
      <c r="A40" s="1200" t="s">
        <v>546</v>
      </c>
      <c r="B40" s="1201" t="str">
        <f ca="1">'预评函-2'!D20</f>
        <v>壹拾伍亿零贰佰肆拾捌万元整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42466.65</v>
      </c>
    </row>
    <row r="44" spans="1:2" s="1202" customFormat="1">
      <c r="A44" s="1200" t="s">
        <v>575</v>
      </c>
      <c r="B44" s="1201" t="str">
        <f>'预评函-3'!C2</f>
        <v>(分摊)土地面积</v>
      </c>
    </row>
    <row r="45" spans="1:2" s="1202" customFormat="1">
      <c r="A45" s="1200" t="s">
        <v>547</v>
      </c>
      <c r="B45" s="1201">
        <f>'预评函-3'!C4</f>
        <v>6799.81</v>
      </c>
    </row>
    <row r="46" spans="1:2" s="1202" customFormat="1">
      <c r="A46" s="1200" t="s">
        <v>573</v>
      </c>
      <c r="B46" s="1201" t="str">
        <f>'预评函-3'!D2</f>
        <v>出让国有建设用地使用权价值</v>
      </c>
    </row>
    <row r="47" spans="1:2" s="1202" customFormat="1">
      <c r="A47" s="1200" t="s">
        <v>548</v>
      </c>
      <c r="B47" s="1201">
        <f ca="1">'预评函-3'!D4</f>
        <v>99492</v>
      </c>
    </row>
    <row r="48" spans="1:2" s="1202" customFormat="1">
      <c r="A48" s="1200" t="s">
        <v>549</v>
      </c>
      <c r="B48" s="1201">
        <f ca="1">'预评函-3'!E4</f>
        <v>23428</v>
      </c>
    </row>
    <row r="49" spans="1:2" s="1202" customFormat="1">
      <c r="A49" s="1200" t="s">
        <v>550</v>
      </c>
      <c r="B49" s="1201" t="str">
        <f ca="1">'预评函-3'!D5</f>
        <v>玖亿玖仟肆佰玖拾贰万元整</v>
      </c>
    </row>
    <row r="50" spans="1:2" s="1202" customFormat="1">
      <c r="A50" s="1200" t="s">
        <v>574</v>
      </c>
      <c r="B50" s="1201" t="str">
        <f>'预评函-3'!F2</f>
        <v>在建建筑物价值</v>
      </c>
    </row>
    <row r="51" spans="1:2" s="1202" customFormat="1">
      <c r="A51" s="1200" t="s">
        <v>551</v>
      </c>
      <c r="B51" s="1201">
        <f ca="1">'预评函-3'!F4</f>
        <v>50798</v>
      </c>
    </row>
    <row r="52" spans="1:2" s="1202" customFormat="1">
      <c r="A52" s="1200" t="s">
        <v>552</v>
      </c>
      <c r="B52" s="1201">
        <f ca="1">'预评函-3'!G4</f>
        <v>11962</v>
      </c>
    </row>
    <row r="53" spans="1:2" s="1202" customFormat="1">
      <c r="A53" s="1200" t="s">
        <v>580</v>
      </c>
      <c r="B53" s="1201" t="str">
        <f ca="1">'预评函-3'!F5</f>
        <v>伍亿零柒佰玖拾捌万元整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29" sqref="J2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8" t="s">
        <v>3450</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3" t="s">
        <v>385</v>
      </c>
      <c r="C54" s="1550" t="s">
        <v>583</v>
      </c>
    </row>
    <row r="55" spans="1:4">
      <c r="A55" s="3523"/>
      <c r="B55" s="1553" t="s">
        <v>386</v>
      </c>
      <c r="C55" s="1550" t="s">
        <v>584</v>
      </c>
    </row>
    <row r="56" spans="1:4">
      <c r="A56" s="3523"/>
      <c r="B56" s="1553" t="s">
        <v>387</v>
      </c>
      <c r="C56" s="1550" t="s">
        <v>588</v>
      </c>
    </row>
    <row r="57" spans="1:4">
      <c r="A57" s="352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4" t="s">
        <v>2580</v>
      </c>
      <c r="J2" s="3524"/>
      <c r="K2" s="3524"/>
      <c r="L2" s="3524"/>
      <c r="M2" s="3524"/>
      <c r="N2" s="3524"/>
      <c r="O2" s="3524"/>
      <c r="P2" s="3524"/>
      <c r="Q2" s="3524"/>
      <c r="R2" s="3524"/>
    </row>
    <row r="3" spans="1:18">
      <c r="A3" s="3019" t="s">
        <v>2501</v>
      </c>
      <c r="B3" s="3020">
        <f>项目基本情况!D3</f>
        <v>45754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1.7</v>
      </c>
      <c r="D5" s="3024">
        <f>IF(ISERROR(ROUND(POWER(1+E5,A5-C5)*(POWER(1+E5,C5)-1)/(POWER(1+E5,A5)-1),3)),0,ROUND(POWER(1+E5,A5-C5)*(POWER(1+E5,C5)-1)/(POWER(1+E5,A5)-1),4))</f>
        <v>8.1500000000000003E-2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11.7</v>
      </c>
      <c r="D6" s="3024">
        <f>IF(ISERROR(ROUND(POWER(1+E6,A6-C6)*(POWER(1+E6,C6)-1)/(POWER(1+E6,A6)-1),3)),0,ROUND(POWER(1+E6,A6-C6)*(POWER(1+E6,C6)-1)/(POWER(1+E6,A6)-1),4))</f>
        <v>0.42830000000000001</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31.72</v>
      </c>
      <c r="D7" s="3024">
        <f>IF(ISERROR(ROUND(POWER(1+E7,A7-C7)*(POWER(1+E7,C7)-1)/(POWER(1+E7,A7)-1),3)),0,ROUND(POWER(1+E7,A7-C7)*(POWER(1+E7,C7)-1)/(POWER(1+E7,A7)-1),4))</f>
        <v>0.76060000000000005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6" sqref="H3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c r="C3" s="2373" t="s">
        <v>2171</v>
      </c>
      <c r="D3" s="2372">
        <v>45754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3412</v>
      </c>
      <c r="C8" s="2389"/>
      <c r="D8" s="3528" t="s">
        <v>2177</v>
      </c>
      <c r="E8" s="2390" t="s">
        <v>3413</v>
      </c>
      <c r="F8" s="2391"/>
      <c r="G8" s="2662"/>
      <c r="H8" s="2662"/>
      <c r="I8" s="2662"/>
      <c r="J8" s="2438"/>
      <c r="K8" s="2613"/>
      <c r="L8" s="2612"/>
      <c r="M8" s="2612"/>
      <c r="N8" s="2438"/>
      <c r="O8" s="2449"/>
      <c r="P8" s="2438"/>
      <c r="Q8" s="2438"/>
      <c r="R8" s="2438"/>
    </row>
    <row r="9" spans="1:30" ht="13.5" thickBot="1">
      <c r="A9" s="2392" t="s">
        <v>2178</v>
      </c>
      <c r="B9" s="2393" t="s">
        <v>3413</v>
      </c>
      <c r="C9" s="2394"/>
      <c r="D9" s="3529"/>
      <c r="E9" s="2393" t="s">
        <v>587</v>
      </c>
      <c r="F9" s="2395"/>
      <c r="G9" s="2664"/>
      <c r="H9" s="2664"/>
      <c r="I9" s="2664"/>
      <c r="J9" s="2438"/>
      <c r="K9" s="2615"/>
      <c r="L9" s="2612"/>
      <c r="M9" s="2612"/>
      <c r="N9" s="2438"/>
      <c r="O9" s="2449"/>
      <c r="P9" s="2438"/>
      <c r="Q9" s="2438"/>
      <c r="R9" s="2438"/>
    </row>
    <row r="10" spans="1:30" ht="13.5" thickTop="1">
      <c r="A10" s="2396" t="s">
        <v>2179</v>
      </c>
      <c r="B10" s="2397" t="s">
        <v>3414</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3415</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5"/>
      <c r="D13" s="855"/>
      <c r="E13" s="855"/>
      <c r="F13" s="855">
        <f>I13</f>
        <v>62184</v>
      </c>
      <c r="G13" s="855"/>
      <c r="H13" s="855"/>
      <c r="I13" s="855">
        <v>62184</v>
      </c>
      <c r="J13" s="3061"/>
      <c r="K13" s="2612"/>
      <c r="L13" s="2612"/>
      <c r="M13" s="2438"/>
      <c r="N13" s="2449"/>
      <c r="O13" s="2438"/>
      <c r="P13" s="2438"/>
      <c r="Q13" s="2438"/>
      <c r="AD13" s="1744"/>
    </row>
    <row r="14" spans="1:30">
      <c r="A14" s="1080"/>
      <c r="B14" s="2406" t="s">
        <v>2191</v>
      </c>
      <c r="C14" s="2407"/>
      <c r="D14" s="2407"/>
      <c r="E14" s="2407"/>
      <c r="F14" s="2407">
        <v>50</v>
      </c>
      <c r="G14" s="2407"/>
      <c r="H14" s="2407"/>
      <c r="I14" s="2407">
        <v>50</v>
      </c>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45.01</v>
      </c>
      <c r="G15" s="2409" t="str">
        <f>IF(A13="出让",IF(G13="","",ROUNDDOWN(MIN((G13-$D$3)/365,G14),2)),G14)</f>
        <v/>
      </c>
      <c r="H15" s="2409" t="str">
        <f>IF(A13="出让",IF(H13="","",ROUNDDOWN(MIN((H13-$D$3)/365,H14),2)),H14)</f>
        <v/>
      </c>
      <c r="I15" s="2409">
        <f>IF(A13="出让",IF(I13="","",ROUNDDOWN(MIN((I13-$D$3)/365,I14),2)),I14)</f>
        <v>45.01</v>
      </c>
      <c r="J15" s="3063"/>
      <c r="K15" s="2450"/>
      <c r="L15" s="2450"/>
      <c r="M15" s="2508"/>
      <c r="N15" s="2450"/>
      <c r="O15" s="2508"/>
      <c r="P15" s="2438"/>
      <c r="Q15" s="2438"/>
      <c r="AD15" s="1744"/>
    </row>
    <row r="16" spans="1:30">
      <c r="A16" s="2399" t="s">
        <v>2193</v>
      </c>
      <c r="B16" s="3535"/>
      <c r="C16" s="3536"/>
      <c r="D16" s="3537"/>
      <c r="E16" s="2412" t="s">
        <v>2194</v>
      </c>
      <c r="F16" s="3538"/>
      <c r="G16" s="3539"/>
      <c r="H16" s="3539"/>
      <c r="I16" s="3540"/>
      <c r="J16" s="2438"/>
      <c r="K16" s="2616"/>
      <c r="L16" s="2450"/>
      <c r="M16" s="2450"/>
      <c r="N16" s="2508"/>
      <c r="O16" s="2450"/>
      <c r="P16" s="2508"/>
      <c r="Q16" s="2438"/>
      <c r="R16" s="2438"/>
    </row>
    <row r="17" spans="1:28">
      <c r="A17" s="312" t="s">
        <v>2195</v>
      </c>
      <c r="B17" s="301" t="s">
        <v>2196</v>
      </c>
      <c r="C17" s="8">
        <f>'数据-汇总表'!E3</f>
        <v>42466.65</v>
      </c>
      <c r="D17" s="2321" t="s">
        <v>2197</v>
      </c>
      <c r="E17" s="3541" t="s">
        <v>2198</v>
      </c>
      <c r="F17" s="3542"/>
      <c r="G17" s="3542"/>
      <c r="H17" s="3542"/>
      <c r="I17" s="3543"/>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6799.81</v>
      </c>
      <c r="D18" s="1091" t="s">
        <v>2201</v>
      </c>
      <c r="E18" s="3544" t="s">
        <v>2202</v>
      </c>
      <c r="F18" s="3545"/>
      <c r="G18" s="3545"/>
      <c r="H18" s="3545"/>
      <c r="I18" s="3546"/>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31" t="s">
        <v>2206</v>
      </c>
      <c r="C20" s="3532"/>
      <c r="D20" s="3533" t="s">
        <v>2207</v>
      </c>
      <c r="E20" s="3534"/>
      <c r="F20" s="2646" t="s">
        <v>1056</v>
      </c>
      <c r="G20" s="2663"/>
      <c r="H20" s="2663"/>
      <c r="I20" s="2663"/>
      <c r="J20" s="2438"/>
      <c r="K20" s="3530"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3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8"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8"/>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8"/>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9"/>
      <c r="B30" s="301" t="s">
        <v>2218</v>
      </c>
      <c r="C30" s="3550"/>
      <c r="D30" s="3551"/>
      <c r="E30" s="2663"/>
      <c r="F30" s="2663"/>
      <c r="G30" s="2663"/>
      <c r="H30" s="2663"/>
      <c r="I30" s="2663"/>
      <c r="J30" s="2438"/>
      <c r="K30" s="2615"/>
      <c r="L30" s="2612"/>
      <c r="M30" s="2612"/>
      <c r="N30" s="2438"/>
      <c r="O30" s="2449"/>
      <c r="P30" s="2438"/>
      <c r="Q30" s="2438"/>
      <c r="R30" s="2438"/>
      <c r="S30" s="2438"/>
      <c r="T30" s="2438"/>
      <c r="U30" s="2438"/>
      <c r="V30" s="2438"/>
    </row>
    <row r="31" spans="1:28">
      <c r="A31" s="3552"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5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5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47" t="s">
        <v>2228</v>
      </c>
      <c r="T34" s="2427" t="str">
        <f>NUMBERSTRING(7-K34,1)&amp;"通"</f>
        <v>七通</v>
      </c>
      <c r="U34" s="2438"/>
      <c r="V34" s="2438"/>
    </row>
    <row r="35" spans="1:30">
      <c r="A35" s="2428"/>
      <c r="B35" s="3554" t="s">
        <v>2229</v>
      </c>
      <c r="C35" s="3554"/>
      <c r="D35" s="3554"/>
      <c r="E35" s="3554"/>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47"/>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t="s">
        <v>184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t="s">
        <v>155</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6" sqref="I3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6799.81</v>
      </c>
      <c r="B3" s="11">
        <f>IF(C3="否",G5-AT5,G5)</f>
        <v>42466.65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42466.65</v>
      </c>
      <c r="H5" s="13">
        <f t="shared" ref="H5:AT5" si="0">SUM(H13:H656)</f>
        <v>41959.05</v>
      </c>
      <c r="I5" s="13">
        <f t="shared" si="0"/>
        <v>21093.46</v>
      </c>
      <c r="J5" s="13">
        <f t="shared" si="0"/>
        <v>0</v>
      </c>
      <c r="K5" s="13">
        <f t="shared" si="0"/>
        <v>10595.380000000001</v>
      </c>
      <c r="L5" s="13">
        <f t="shared" si="0"/>
        <v>0</v>
      </c>
      <c r="M5" s="13">
        <f t="shared" si="0"/>
        <v>10270.209999999999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507.6</v>
      </c>
      <c r="AD5" s="13">
        <f t="shared" si="0"/>
        <v>0</v>
      </c>
      <c r="AE5" s="13">
        <f t="shared" si="0"/>
        <v>0</v>
      </c>
      <c r="AF5" s="13">
        <f t="shared" si="0"/>
        <v>0</v>
      </c>
      <c r="AG5" s="13">
        <f t="shared" si="0"/>
        <v>0</v>
      </c>
      <c r="AH5" s="13">
        <f t="shared" si="0"/>
        <v>0</v>
      </c>
      <c r="AI5" s="13">
        <f t="shared" si="0"/>
        <v>0</v>
      </c>
      <c r="AJ5" s="13">
        <f t="shared" si="0"/>
        <v>0</v>
      </c>
      <c r="AK5" s="13">
        <f t="shared" si="0"/>
        <v>0</v>
      </c>
      <c r="AL5" s="13">
        <f t="shared" si="0"/>
        <v>507.6</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42466.65</v>
      </c>
      <c r="BA5" s="15">
        <f t="shared" si="1"/>
        <v>41959.05</v>
      </c>
      <c r="BB5" s="15">
        <f t="shared" si="1"/>
        <v>21093.46</v>
      </c>
      <c r="BC5" s="15">
        <f t="shared" si="1"/>
        <v>10595.380000000001</v>
      </c>
      <c r="BD5" s="15">
        <f t="shared" si="1"/>
        <v>10270.209999999999</v>
      </c>
      <c r="BE5" s="15">
        <f t="shared" si="1"/>
        <v>0</v>
      </c>
      <c r="BF5" s="15">
        <f t="shared" si="1"/>
        <v>0</v>
      </c>
      <c r="BG5" s="15">
        <f t="shared" si="1"/>
        <v>0</v>
      </c>
      <c r="BH5" s="15">
        <f t="shared" si="1"/>
        <v>0</v>
      </c>
      <c r="BI5" s="15">
        <f t="shared" si="1"/>
        <v>0</v>
      </c>
      <c r="BJ5" s="15">
        <f t="shared" si="1"/>
        <v>0</v>
      </c>
      <c r="BK5" s="15">
        <f t="shared" si="1"/>
        <v>0</v>
      </c>
      <c r="BL5" s="15">
        <f t="shared" si="1"/>
        <v>507.6</v>
      </c>
      <c r="BM5" s="15">
        <f t="shared" si="1"/>
        <v>0</v>
      </c>
      <c r="BN5" s="15">
        <f t="shared" si="1"/>
        <v>0</v>
      </c>
      <c r="BO5" s="15">
        <f t="shared" si="1"/>
        <v>0</v>
      </c>
      <c r="BP5" s="15">
        <f t="shared" si="1"/>
        <v>0</v>
      </c>
      <c r="BQ5" s="15">
        <f t="shared" si="1"/>
        <v>507.6</v>
      </c>
      <c r="BR5" s="15">
        <f t="shared" si="1"/>
        <v>0</v>
      </c>
      <c r="BS5" s="15">
        <f t="shared" si="1"/>
        <v>0</v>
      </c>
      <c r="BT5" s="16">
        <f t="shared" si="1"/>
        <v>0</v>
      </c>
    </row>
    <row r="6" spans="1:72" s="1588" customFormat="1" ht="12.75">
      <c r="A6" s="12" t="s">
        <v>1072</v>
      </c>
      <c r="B6" s="1585"/>
      <c r="C6" s="1585"/>
      <c r="D6" s="1586"/>
      <c r="E6" s="13">
        <f>H6+AC6+AT6</f>
        <v>6799.81</v>
      </c>
      <c r="F6" s="13" t="s">
        <v>0</v>
      </c>
      <c r="G6" s="13" t="s">
        <v>1</v>
      </c>
      <c r="H6" s="17">
        <f>SUMIF(I$12:AB$12,"总值",I6:AB6)</f>
        <v>6718.5300000000007</v>
      </c>
      <c r="I6" s="13">
        <f t="shared" ref="I6:AB6" si="2">ROUND($A$3*I5/$B$3,2)</f>
        <v>3377.51</v>
      </c>
      <c r="J6" s="13">
        <f t="shared" si="2"/>
        <v>0</v>
      </c>
      <c r="K6" s="13">
        <f t="shared" si="2"/>
        <v>1696.54</v>
      </c>
      <c r="L6" s="13">
        <f t="shared" si="2"/>
        <v>0</v>
      </c>
      <c r="M6" s="13">
        <f t="shared" si="2"/>
        <v>1644.48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81.28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81.28</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6799.81</v>
      </c>
      <c r="AZ6" s="13" t="s">
        <v>2</v>
      </c>
      <c r="BA6" s="13">
        <f>ROUND($AY$6*BA5/$AZ$5,2)</f>
        <v>6718.53</v>
      </c>
      <c r="BB6" s="13">
        <f>ROUND($AY$6*BB5/$AZ$5,2)</f>
        <v>3377.51</v>
      </c>
      <c r="BC6" s="13">
        <f t="shared" ref="BC6:BH6" si="4">ROUND($AY$6*BC5/$AZ$5,2)</f>
        <v>1696.54</v>
      </c>
      <c r="BD6" s="13">
        <f t="shared" si="4"/>
        <v>1644.48</v>
      </c>
      <c r="BE6" s="13">
        <f t="shared" si="4"/>
        <v>0</v>
      </c>
      <c r="BF6" s="13">
        <f t="shared" si="4"/>
        <v>0</v>
      </c>
      <c r="BG6" s="13">
        <f t="shared" si="4"/>
        <v>0</v>
      </c>
      <c r="BH6" s="13">
        <f t="shared" si="4"/>
        <v>0</v>
      </c>
      <c r="BI6" s="13">
        <f t="shared" ref="BI6:BT6" si="5">ROUND($AY$6*BI5/$AZ$5,2)</f>
        <v>0</v>
      </c>
      <c r="BJ6" s="13">
        <f t="shared" si="5"/>
        <v>0</v>
      </c>
      <c r="BK6" s="13">
        <f t="shared" si="5"/>
        <v>0</v>
      </c>
      <c r="BL6" s="13">
        <f t="shared" si="5"/>
        <v>81.28</v>
      </c>
      <c r="BM6" s="13">
        <f t="shared" si="5"/>
        <v>0</v>
      </c>
      <c r="BN6" s="13">
        <f t="shared" si="5"/>
        <v>0</v>
      </c>
      <c r="BO6" s="13">
        <f t="shared" si="5"/>
        <v>0</v>
      </c>
      <c r="BP6" s="13">
        <f t="shared" si="5"/>
        <v>0</v>
      </c>
      <c r="BQ6" s="13">
        <f t="shared" si="5"/>
        <v>81.28</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3424</v>
      </c>
      <c r="J9" s="808"/>
      <c r="K9" s="1602" t="s">
        <v>3425</v>
      </c>
      <c r="L9" s="808"/>
      <c r="M9" s="1602" t="s">
        <v>3425</v>
      </c>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3407</v>
      </c>
      <c r="J10" s="808"/>
      <c r="K10" s="1608" t="s">
        <v>3407</v>
      </c>
      <c r="L10" s="808"/>
      <c r="M10" s="1608" t="s">
        <v>3333</v>
      </c>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公共服务</v>
      </c>
      <c r="BC11" s="1598" t="str">
        <f>K10</f>
        <v>公共服务</v>
      </c>
      <c r="BD11" s="1598" t="str">
        <f>M10</f>
        <v>车库</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3426</v>
      </c>
      <c r="E13" s="13">
        <f>IF($C$3="是",ROUND($A$3*G13/$B$3,2),ROUND($A$3*(G13-AT13)/$B$3,2))</f>
        <v>6799.81</v>
      </c>
      <c r="F13" s="29"/>
      <c r="G13" s="30">
        <f>H13+AC13+AT13</f>
        <v>42466.65</v>
      </c>
      <c r="H13" s="17">
        <f>SUMIF(I$12:AB$12,"总值",I13:AB13)</f>
        <v>41959.05</v>
      </c>
      <c r="I13" s="1625">
        <f>Sheet1!B6+Sheet1!B7+Sheet1!B8+Sheet1!B9+Sheet1!B10</f>
        <v>21093.46</v>
      </c>
      <c r="J13" s="1625"/>
      <c r="K13" s="1625">
        <f>Sheet1!B5+Sheet1!B4</f>
        <v>10595.380000000001</v>
      </c>
      <c r="L13" s="1625"/>
      <c r="M13" s="1625">
        <f>Sheet1!B2+Sheet1!B3</f>
        <v>10270.209999999999</v>
      </c>
      <c r="N13" s="1625"/>
      <c r="O13" s="1625"/>
      <c r="P13" s="1625"/>
      <c r="Q13" s="1625"/>
      <c r="R13" s="1625"/>
      <c r="S13" s="1625"/>
      <c r="T13" s="1625"/>
      <c r="U13" s="1625"/>
      <c r="V13" s="1625"/>
      <c r="W13" s="1625"/>
      <c r="X13" s="1625"/>
      <c r="Y13" s="1625"/>
      <c r="Z13" s="1625"/>
      <c r="AA13" s="1625"/>
      <c r="AB13" s="1625"/>
      <c r="AC13" s="13">
        <f>SUMIF(AD$12:AS$12,"总值",AD13:AS13)</f>
        <v>507.6</v>
      </c>
      <c r="AD13" s="1626"/>
      <c r="AE13" s="1626"/>
      <c r="AF13" s="1626"/>
      <c r="AG13" s="1626"/>
      <c r="AH13" s="1626"/>
      <c r="AI13" s="1626"/>
      <c r="AJ13" s="1626"/>
      <c r="AK13" s="1626"/>
      <c r="AL13" s="1626">
        <f>Sheet1!B11</f>
        <v>507.6</v>
      </c>
      <c r="AM13" s="1626"/>
      <c r="AN13" s="1626"/>
      <c r="AO13" s="1626"/>
      <c r="AP13" s="1626"/>
      <c r="AQ13" s="1626"/>
      <c r="AR13" s="1626"/>
      <c r="AS13" s="1626"/>
      <c r="AT13" s="1627"/>
      <c r="AU13" s="1628"/>
      <c r="AV13" s="8">
        <f t="shared" ref="AV13:AX17" si="6">A13</f>
        <v>0</v>
      </c>
      <c r="AW13" s="8">
        <f t="shared" si="6"/>
        <v>0</v>
      </c>
      <c r="AX13" s="8">
        <f t="shared" si="6"/>
        <v>0</v>
      </c>
      <c r="AY13" s="1348">
        <f>ROUND($AY$6*AZ13/$AZ$5,2)</f>
        <v>6799.81</v>
      </c>
      <c r="AZ13" s="13">
        <f>BA13+BL13</f>
        <v>42466.65</v>
      </c>
      <c r="BA13" s="13">
        <f>SUM(BB13:BK13)</f>
        <v>41959.05</v>
      </c>
      <c r="BB13" s="13">
        <f>IF($D13="是",I13-J13,0)</f>
        <v>21093.46</v>
      </c>
      <c r="BC13" s="13">
        <f>IF($D13="是",K13-L13,0)</f>
        <v>10595.380000000001</v>
      </c>
      <c r="BD13" s="13">
        <f>IF($D13="是",M13-N13,0)</f>
        <v>10270.209999999999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507.6</v>
      </c>
      <c r="BM13" s="13">
        <f>IF($D13="是",AD13-AE13,0)</f>
        <v>0</v>
      </c>
      <c r="BN13" s="13">
        <f>IF($D13="是",AF13-AG13,0)</f>
        <v>0</v>
      </c>
      <c r="BO13" s="13">
        <f>IF($D13="是",AH13-AI13,0)</f>
        <v>0</v>
      </c>
      <c r="BP13" s="13">
        <f>IF($D13="是",AJ13-AK13,0)</f>
        <v>0</v>
      </c>
      <c r="BQ13" s="13">
        <f>IF($D13="是",AL13-AM13,0)</f>
        <v>507.6</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2"/>
  <sheetViews>
    <sheetView workbookViewId="0">
      <selection activeCell="C21" sqref="C21"/>
    </sheetView>
  </sheetViews>
  <sheetFormatPr defaultRowHeight="13.5"/>
  <cols>
    <col min="2" max="2" width="17.75" customWidth="1"/>
    <col min="3" max="3" width="33.125" customWidth="1"/>
  </cols>
  <sheetData>
    <row r="1" spans="1:3">
      <c r="A1" s="3477" t="s">
        <v>3416</v>
      </c>
      <c r="B1" s="3477" t="s">
        <v>3417</v>
      </c>
      <c r="C1" s="3477" t="s">
        <v>3418</v>
      </c>
    </row>
    <row r="2" spans="1:3">
      <c r="A2" s="3478">
        <v>-4</v>
      </c>
      <c r="B2" s="3478">
        <v>4836.4799999999996</v>
      </c>
      <c r="C2" s="3477" t="s">
        <v>3419</v>
      </c>
    </row>
    <row r="3" spans="1:3">
      <c r="A3" s="3478">
        <v>-3</v>
      </c>
      <c r="B3" s="3478">
        <v>5433.73</v>
      </c>
      <c r="C3" s="3477" t="s">
        <v>3419</v>
      </c>
    </row>
    <row r="4" spans="1:3">
      <c r="A4" s="3478">
        <v>-2</v>
      </c>
      <c r="B4" s="3478">
        <v>5289.06</v>
      </c>
      <c r="C4" s="3477" t="s">
        <v>3420</v>
      </c>
    </row>
    <row r="5" spans="1:3">
      <c r="A5" s="3478">
        <v>-1</v>
      </c>
      <c r="B5" s="3478">
        <v>5306.32</v>
      </c>
      <c r="C5" s="3477" t="s">
        <v>3421</v>
      </c>
    </row>
    <row r="6" spans="1:3">
      <c r="A6" s="3478">
        <v>1</v>
      </c>
      <c r="B6" s="3478">
        <v>4356.1000000000004</v>
      </c>
      <c r="C6" s="3555" t="s">
        <v>21</v>
      </c>
    </row>
    <row r="7" spans="1:3">
      <c r="A7" s="3478">
        <v>2</v>
      </c>
      <c r="B7" s="3478">
        <v>4106.5200000000004</v>
      </c>
      <c r="C7" s="3556"/>
    </row>
    <row r="8" spans="1:3">
      <c r="A8" s="3478">
        <v>3</v>
      </c>
      <c r="B8" s="3478">
        <v>4210.28</v>
      </c>
      <c r="C8" s="3556"/>
    </row>
    <row r="9" spans="1:3">
      <c r="A9" s="3478">
        <v>4</v>
      </c>
      <c r="B9" s="3478">
        <v>4210.28</v>
      </c>
      <c r="C9" s="3556"/>
    </row>
    <row r="10" spans="1:3">
      <c r="A10" s="3478">
        <v>5</v>
      </c>
      <c r="B10" s="3478">
        <v>4210.28</v>
      </c>
      <c r="C10" s="3556"/>
    </row>
    <row r="11" spans="1:3">
      <c r="A11" s="3477" t="s">
        <v>3422</v>
      </c>
      <c r="B11" s="3478">
        <v>507.6</v>
      </c>
      <c r="C11" s="3477" t="s">
        <v>3422</v>
      </c>
    </row>
    <row r="12" spans="1:3">
      <c r="A12" s="3477" t="s">
        <v>3423</v>
      </c>
      <c r="B12" s="3478">
        <v>42466.65</v>
      </c>
      <c r="C12" s="3477" t="s">
        <v>43</v>
      </c>
    </row>
  </sheetData>
  <mergeCells count="1">
    <mergeCell ref="C6:C10"/>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3" sqref="I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6" t="s">
        <v>1131</v>
      </c>
      <c r="B2" s="3566"/>
      <c r="C2" s="3566"/>
      <c r="D2" s="795" t="s">
        <v>1107</v>
      </c>
      <c r="E2" s="1638" t="s">
        <v>1108</v>
      </c>
      <c r="F2" s="2658"/>
      <c r="G2" s="2649"/>
      <c r="H2" s="2650"/>
      <c r="I2" s="2324" t="s">
        <v>1132</v>
      </c>
      <c r="J2" s="2658"/>
      <c r="K2" s="2658"/>
      <c r="L2" s="2658"/>
      <c r="M2" s="2658"/>
      <c r="N2" s="2660"/>
      <c r="O2" s="2658"/>
      <c r="P2" s="2658"/>
    </row>
    <row r="3" spans="1:16" ht="15.75" thickBot="1">
      <c r="A3" s="3567" t="s">
        <v>1105</v>
      </c>
      <c r="B3" s="3567"/>
      <c r="C3" s="3567"/>
      <c r="D3" s="43">
        <f>'数据-基础表'!AY6</f>
        <v>6799.81</v>
      </c>
      <c r="E3" s="43">
        <f>'数据-基础表'!AZ5</f>
        <v>42466.65</v>
      </c>
      <c r="F3" s="2658"/>
      <c r="G3" s="1144"/>
      <c r="H3" s="1025" t="s">
        <v>1106</v>
      </c>
      <c r="I3" s="854">
        <f>ROUND('数据-基础表'!B3/'数据-基础表'!A3,2)</f>
        <v>6.25</v>
      </c>
      <c r="J3" s="2658"/>
      <c r="K3" s="2658"/>
      <c r="L3" s="2658"/>
      <c r="M3" s="2658"/>
      <c r="N3" s="2660"/>
      <c r="O3" s="2658"/>
      <c r="P3" s="2658"/>
    </row>
    <row r="4" spans="1:16" ht="15">
      <c r="A4" s="3568"/>
      <c r="B4" s="3569"/>
      <c r="C4" s="3570"/>
      <c r="D4" s="1640" t="s">
        <v>1107</v>
      </c>
      <c r="E4" s="1641" t="s">
        <v>1108</v>
      </c>
      <c r="F4" s="2658"/>
      <c r="G4" s="2651" t="s">
        <v>1133</v>
      </c>
      <c r="H4" s="1025" t="s">
        <v>1113</v>
      </c>
      <c r="I4" s="854">
        <f>ROUND(SUMIF('数据-基础表'!I9:AS9,"地上",'数据-基础表'!I5:AS5)/'数据-基础表'!A3,2)</f>
        <v>3.18</v>
      </c>
      <c r="J4" s="2658"/>
      <c r="K4" s="2658"/>
      <c r="L4" s="2658"/>
      <c r="M4" s="2658"/>
      <c r="N4" s="2660"/>
      <c r="O4" s="2658"/>
      <c r="P4" s="2658"/>
    </row>
    <row r="5" spans="1:16">
      <c r="A5" s="44" t="s">
        <v>1109</v>
      </c>
      <c r="B5" s="3571" t="s">
        <v>1110</v>
      </c>
      <c r="C5" s="3571"/>
      <c r="D5" s="45">
        <f>ROUND($D$3*E5/$E$3,2)</f>
        <v>0</v>
      </c>
      <c r="E5" s="46">
        <f>SUMIF('数据-基础表'!$11:$11,"住宅",'数据-基础表'!$5:$5)</f>
        <v>0</v>
      </c>
      <c r="F5" s="2658"/>
      <c r="G5" s="1144"/>
      <c r="H5" s="1025" t="s">
        <v>1106</v>
      </c>
      <c r="I5" s="854">
        <f>ROUND(E31/D31,2)</f>
        <v>6.25</v>
      </c>
      <c r="J5" s="2658"/>
      <c r="K5" s="2658"/>
      <c r="L5" s="2658"/>
      <c r="M5" s="2658"/>
      <c r="N5" s="2658"/>
      <c r="O5" s="2658"/>
      <c r="P5" s="2658"/>
    </row>
    <row r="6" spans="1:16" ht="15" thickBot="1">
      <c r="A6" s="1643"/>
      <c r="B6" s="3571" t="s">
        <v>1111</v>
      </c>
      <c r="C6" s="3571"/>
      <c r="D6" s="45">
        <f>ROUND($D$3*E6/$E$3,2)</f>
        <v>6799.81</v>
      </c>
      <c r="E6" s="46">
        <f>E3-E5</f>
        <v>42466.65</v>
      </c>
      <c r="F6" s="2658"/>
      <c r="G6" s="2652" t="s">
        <v>1112</v>
      </c>
      <c r="H6" s="1145" t="s">
        <v>1113</v>
      </c>
      <c r="I6" s="2653">
        <f>ROUND(F31/D31,2)</f>
        <v>3.18</v>
      </c>
      <c r="J6" s="2658"/>
      <c r="K6" s="2658"/>
      <c r="L6" s="2658"/>
      <c r="M6" s="2658"/>
      <c r="N6" s="2658"/>
      <c r="O6" s="2658"/>
      <c r="P6" s="2658"/>
    </row>
    <row r="7" spans="1:16" ht="15.75" thickBot="1">
      <c r="A7" s="3563"/>
      <c r="B7" s="3564"/>
      <c r="C7" s="3565"/>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3377.51</v>
      </c>
      <c r="E8" s="48">
        <f>SUMIF('数据-基础表'!BB10:BK10,"地上",'数据-基础表'!BB5:BK5)</f>
        <v>21093.46</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1644.48</v>
      </c>
      <c r="E13" s="48">
        <f>SUMPRODUCT(('数据-基础表'!BB10:BK10="地下")*('数据-基础表'!BB11:BK11="车库")*('数据-基础表'!BB5:BK5))</f>
        <v>10270.209999999999</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5021.99</v>
      </c>
      <c r="E16" s="50">
        <f>SUM(E8:E15)</f>
        <v>31363.67</v>
      </c>
      <c r="F16" s="2658"/>
      <c r="G16" s="2659"/>
      <c r="H16" s="1647" t="s">
        <v>1135</v>
      </c>
      <c r="I16" s="1648"/>
      <c r="J16" s="1138"/>
      <c r="K16" s="3560" t="s">
        <v>1135</v>
      </c>
      <c r="L16" s="3561"/>
      <c r="M16" s="3561"/>
      <c r="N16" s="3561"/>
      <c r="O16" s="3561"/>
      <c r="P16" s="3562"/>
    </row>
    <row r="17" spans="1:19" ht="15">
      <c r="A17" s="1649" t="s">
        <v>1136</v>
      </c>
      <c r="B17" s="1650" t="s">
        <v>1137</v>
      </c>
      <c r="C17" s="1651" t="s">
        <v>1138</v>
      </c>
      <c r="D17" s="1652" t="s">
        <v>1126</v>
      </c>
      <c r="E17" s="1653" t="s">
        <v>1127</v>
      </c>
      <c r="F17" s="1654"/>
      <c r="G17" s="1655"/>
      <c r="H17" s="1656" t="s">
        <v>1139</v>
      </c>
      <c r="I17" s="1657" t="s">
        <v>1124</v>
      </c>
      <c r="J17" s="1138"/>
      <c r="K17" s="3557" t="s">
        <v>1140</v>
      </c>
      <c r="L17" s="3558"/>
      <c r="M17" s="3559"/>
      <c r="N17" s="3557" t="s">
        <v>1141</v>
      </c>
      <c r="O17" s="3558"/>
      <c r="P17" s="355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3427</v>
      </c>
      <c r="D19" s="45">
        <f>ROUND($D$3*E19/$E$3,2)</f>
        <v>5074.05</v>
      </c>
      <c r="E19" s="53">
        <f t="shared" ref="E19:E26" si="1">SUM(F19:G19)</f>
        <v>31688.84</v>
      </c>
      <c r="F19" s="2794">
        <f>'数据-基础表'!I13</f>
        <v>21093.46</v>
      </c>
      <c r="G19" s="2795">
        <f>'数据-基础表'!K13</f>
        <v>10595.380000000001</v>
      </c>
      <c r="H19" s="669">
        <f>ROUND($D$3*I19/$E$3,2)</f>
        <v>61.38</v>
      </c>
      <c r="I19" s="48">
        <f t="shared" ref="I19:I26" si="2">IF($I$17="自定义",P19,M19)</f>
        <v>383.36</v>
      </c>
      <c r="J19" s="1138"/>
      <c r="K19" s="1137">
        <f t="shared" ref="K19:K26" si="3">ROUND(E$28*E19/E$27,2)</f>
        <v>383.36</v>
      </c>
      <c r="L19" s="1025">
        <f t="shared" ref="L19:L26" si="4">ROUND(IF(COUNTIF(C19,"*住宅*")&gt;0,E$29*E19/E$32,0),2)</f>
        <v>0</v>
      </c>
      <c r="M19" s="1149">
        <f>K19+L19</f>
        <v>383.36</v>
      </c>
      <c r="N19" s="1667"/>
      <c r="O19" s="1668"/>
      <c r="P19" s="1149">
        <f>N19+O19</f>
        <v>0</v>
      </c>
      <c r="R19" s="1025">
        <f t="shared" ref="R19:S26" si="5">D19+H19</f>
        <v>5135.43</v>
      </c>
      <c r="S19" s="1026">
        <f t="shared" si="5"/>
        <v>32072.2</v>
      </c>
    </row>
    <row r="20" spans="1:19">
      <c r="A20" s="1669"/>
      <c r="B20" s="47" t="s">
        <v>1153</v>
      </c>
      <c r="C20" s="3416" t="s">
        <v>3428</v>
      </c>
      <c r="D20" s="45">
        <f t="shared" ref="D20:D26" si="6">ROUND($D$3*E20/$E$3,2)</f>
        <v>1644.48</v>
      </c>
      <c r="E20" s="53">
        <f t="shared" si="1"/>
        <v>10270.209999999999</v>
      </c>
      <c r="F20" s="2794"/>
      <c r="G20" s="2795">
        <f>'数据-基础表'!M13</f>
        <v>10270.209999999999</v>
      </c>
      <c r="H20" s="669">
        <f t="shared" ref="H20:H26" si="7">ROUND($D$3*I20/$E$3,2)</f>
        <v>19.89</v>
      </c>
      <c r="I20" s="48">
        <f t="shared" si="2"/>
        <v>124.24</v>
      </c>
      <c r="J20" s="1138"/>
      <c r="K20" s="1137">
        <f t="shared" si="3"/>
        <v>124.24</v>
      </c>
      <c r="L20" s="1025">
        <f t="shared" si="4"/>
        <v>0</v>
      </c>
      <c r="M20" s="1149">
        <f t="shared" ref="M20:M26" si="8">K20+L20</f>
        <v>124.24</v>
      </c>
      <c r="N20" s="1667"/>
      <c r="O20" s="1668"/>
      <c r="P20" s="1149">
        <f t="shared" ref="P20:P26" si="9">N20+O20</f>
        <v>0</v>
      </c>
      <c r="R20" s="1025">
        <f t="shared" si="5"/>
        <v>1664.3700000000001</v>
      </c>
      <c r="S20" s="1026">
        <f t="shared" si="5"/>
        <v>10394.449999999999</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29.25" thickBot="1">
      <c r="A27" s="1669"/>
      <c r="B27" s="45"/>
      <c r="C27" s="1672" t="s">
        <v>1154</v>
      </c>
      <c r="D27" s="1139">
        <f>SUM(D19:D26)</f>
        <v>6718.5300000000007</v>
      </c>
      <c r="E27" s="1140">
        <f>IF(SUM(E19:E26)='数据-基础表'!BA5,SUM(E19:E26),IF(F27="地上面积有误","面积有误","地下面积有误"))</f>
        <v>41959.05</v>
      </c>
      <c r="F27" s="1139">
        <f>IF(SUM(F19:F26)=E8,SUM(F19:F26),"地上面积有误")</f>
        <v>21093.46</v>
      </c>
      <c r="G27" s="1141">
        <f>SUM(G19:G26)</f>
        <v>20865.59</v>
      </c>
      <c r="H27" s="1142">
        <f>SUM(H19:H26)</f>
        <v>81.27000000000001</v>
      </c>
      <c r="I27" s="1143">
        <f>SUM(I19:I26)</f>
        <v>507.6</v>
      </c>
      <c r="J27" s="1138"/>
      <c r="K27" s="1146">
        <f>SUM(K19:K26)</f>
        <v>507.6</v>
      </c>
      <c r="L27" s="1147">
        <f>SUM(L19:L26)</f>
        <v>0</v>
      </c>
      <c r="M27" s="1150">
        <f>SUM(M19:M26)</f>
        <v>507.6</v>
      </c>
      <c r="N27" s="1146">
        <f t="shared" ref="N27:O27" si="10">SUM(N19:N26)</f>
        <v>0</v>
      </c>
      <c r="O27" s="1147">
        <f t="shared" si="10"/>
        <v>0</v>
      </c>
      <c r="P27" s="1148">
        <f>SUM(P19:P26)</f>
        <v>0</v>
      </c>
      <c r="R27" s="1027" t="str">
        <f>IF(SUM(R19:R26)=$D$3,SUM(R19:R26),SUM(R19:R26)&amp;"误差"&amp;ROUND(SUM(R19:R26)-$D$3,2))</f>
        <v>6799.8误差-0.01</v>
      </c>
      <c r="S27" s="1025">
        <f>IF(SUM(S19:S26)=$E$3,SUM(S19:S26),SUM(S19:S26)&amp;"误差"&amp;ROUND(SUM(S19:S26)-E3,2))</f>
        <v>42466.65</v>
      </c>
    </row>
    <row r="28" spans="1:19">
      <c r="A28" s="1669"/>
      <c r="B28" s="47" t="s">
        <v>1155</v>
      </c>
      <c r="C28" s="1037" t="s">
        <v>1156</v>
      </c>
      <c r="D28" s="45">
        <f>ROUND($D$3*E28/$E$3,2)</f>
        <v>81.28</v>
      </c>
      <c r="E28" s="53">
        <f>SUM(F28:G28)</f>
        <v>507.6</v>
      </c>
      <c r="F28" s="56">
        <f>'数据-基础表'!BQ5+'数据-基础表'!BS5</f>
        <v>507.6</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81.28</v>
      </c>
      <c r="E30" s="1139">
        <f>SUM(E28:E29)</f>
        <v>507.6</v>
      </c>
      <c r="F30" s="1139">
        <f>SUM(F28:F29)</f>
        <v>507.6</v>
      </c>
      <c r="G30" s="1141">
        <f>SUM(G28:G29)</f>
        <v>0</v>
      </c>
      <c r="H30" s="2658"/>
      <c r="I30" s="2658"/>
      <c r="J30" s="2658"/>
      <c r="K30" s="2658"/>
      <c r="L30" s="2658"/>
      <c r="M30" s="2658"/>
      <c r="N30" s="2658"/>
      <c r="O30" s="2658"/>
      <c r="P30" s="2658"/>
    </row>
    <row r="31" spans="1:19" ht="15.75" thickBot="1">
      <c r="A31" s="1675"/>
      <c r="B31" s="1676"/>
      <c r="C31" s="834" t="s">
        <v>1158</v>
      </c>
      <c r="D31" s="675">
        <f>D27+D30</f>
        <v>6799.81</v>
      </c>
      <c r="E31" s="675">
        <f>E27+E30</f>
        <v>42466.65</v>
      </c>
      <c r="F31" s="676">
        <f>F27+F30</f>
        <v>21601.059999999998</v>
      </c>
      <c r="G31" s="677">
        <f>G27+G30</f>
        <v>20865.59</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W29" sqref="W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8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45754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3429</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3407</v>
      </c>
      <c r="D6" s="857">
        <f>SUMIF(项目基本情况!C$12:I$12,C6,项目基本情况!C$14:I$14)</f>
        <v>50</v>
      </c>
      <c r="E6" s="856">
        <f>IF(B6="","",SUMIF(项目基本情况!C$12:I$12,C6,项目基本情况!C$13:I$13))</f>
        <v>62184</v>
      </c>
      <c r="F6" s="64">
        <f>SUMIF(项目基本情况!C$12:I$12,C6,项目基本情况!C$15:I$15)</f>
        <v>45.01</v>
      </c>
      <c r="G6" s="65">
        <f>IF(ISERROR(ROUND(POWER(1+H6,D6-F6)*(POWER(1+H6,F6)-1)/(POWER(1+H6,D6)-1),3)),0,ROUND(POWER(1+H6,D6-F6)*(POWER(1+H6,F6)-1)/(POWER(1+H6,D6)-1),3))</f>
        <v>0.97399999999999998</v>
      </c>
      <c r="H6" s="731">
        <v>0.05</v>
      </c>
      <c r="I6" s="3481">
        <v>5.5E-2</v>
      </c>
      <c r="J6" s="66">
        <v>7.0000000000000007E-2</v>
      </c>
      <c r="K6" s="1029">
        <f>SUMIF('数据-汇总表'!C$19:C$33,A6,'数据-汇总表'!E$19:E$33)</f>
        <v>31688.84</v>
      </c>
      <c r="L6" s="732">
        <v>6000</v>
      </c>
      <c r="M6" s="67">
        <f t="shared" ref="M6:M14" si="0">ROUND(K6*L6/10000,0)</f>
        <v>19013</v>
      </c>
      <c r="N6" s="730">
        <v>0.87</v>
      </c>
      <c r="O6" s="67" t="str">
        <f>IF($N$5="成新度","——",ROUND(M6*N6,0))</f>
        <v>——</v>
      </c>
      <c r="P6" s="68" t="str">
        <f>IF($N$5="成新度","——",M6-O6)</f>
        <v>——</v>
      </c>
      <c r="Q6" s="733">
        <v>0.2</v>
      </c>
      <c r="R6" s="69">
        <f ca="1">SUMIF('数据-汇总表'!C$19:C$33,A6,'数据-汇总表'!R$19:R$27)</f>
        <v>5135.43</v>
      </c>
      <c r="S6" s="51">
        <f>IF('数据-汇总表'!$I$17="按面积比例",SUMIF('数据-汇总表'!C$19:C$33,A6,'数据-汇总表'!K$19:K$33),SUMIF('数据-汇总表'!C$19:C$33,A6,'数据-汇总表'!N$19:N$33))</f>
        <v>383.36</v>
      </c>
      <c r="T6" s="1171">
        <f>ROUND($L$14*S6/10000,0)</f>
        <v>230</v>
      </c>
      <c r="U6" s="3480">
        <v>9</v>
      </c>
      <c r="V6" s="3482">
        <v>0.02</v>
      </c>
      <c r="W6" s="70">
        <v>0.1</v>
      </c>
      <c r="X6" s="1039"/>
      <c r="Y6" s="71">
        <f>N6</f>
        <v>0.87</v>
      </c>
      <c r="Z6" s="72"/>
      <c r="AA6" s="66"/>
      <c r="AB6" s="66"/>
      <c r="AC6" s="1039"/>
      <c r="AD6" s="73"/>
      <c r="AE6" s="1040">
        <f ca="1">IF(AN6="",0,SUMIF(INDIRECT("'"&amp;AN6&amp;"'"&amp;"!E:E"),$AE$5,INDIRECT("'"&amp;AN6&amp;"'"&amp;"!F:F")))</f>
        <v>45.01</v>
      </c>
      <c r="AF6" s="1347"/>
      <c r="AG6" s="137">
        <f>IF(AF6="",0,AE6-AF6)</f>
        <v>0</v>
      </c>
      <c r="AH6" s="74"/>
      <c r="AI6" s="76">
        <v>365</v>
      </c>
      <c r="AJ6" s="77"/>
      <c r="AK6" s="78">
        <v>4.0000000000000001E-3</v>
      </c>
      <c r="AL6" s="79">
        <v>1.5E-3</v>
      </c>
      <c r="AM6" s="80">
        <v>5.0000000000000001E-3</v>
      </c>
      <c r="AN6" s="1714" t="s">
        <v>3430</v>
      </c>
      <c r="AO6" s="52">
        <f ca="1">SUMIF(INDIRECT("'"&amp;AN6&amp;"'"&amp;"!A:A"),"总价",INDIRECT("'"&amp;AN6&amp;"'"&amp;"!B:B"))</f>
        <v>169926</v>
      </c>
      <c r="AP6" s="1715">
        <f>IF(C6="住宅",K6*L6,0)</f>
        <v>0</v>
      </c>
      <c r="AQ6" s="52">
        <f>ROUND($L$14*$N$14*S6/10000,0)</f>
        <v>200</v>
      </c>
      <c r="AR6" s="52">
        <f>ROUND($L$14*(1-$N$14)*S6/10000,0)</f>
        <v>30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3333</v>
      </c>
      <c r="D7" s="857">
        <f>SUMIF(项目基本情况!C$12:I$12,C7,项目基本情况!C$14:I$14)</f>
        <v>50</v>
      </c>
      <c r="E7" s="856">
        <f>IF(B7="","",SUMIF(项目基本情况!C$12:I$12,C7,项目基本情况!C$13:I$13))</f>
        <v>62184</v>
      </c>
      <c r="F7" s="64">
        <f>SUMIF(项目基本情况!C$12:I$12,C7,项目基本情况!C$15:I$15)</f>
        <v>45.01</v>
      </c>
      <c r="G7" s="65">
        <f t="shared" ref="G7:G11" si="2">IF(ISERROR(ROUND(POWER(1+H7,D7-F7)*(POWER(1+H7,F7)-1)/(POWER(1+H7,D7)-1),3)),0,ROUND(POWER(1+H7,D7-F7)*(POWER(1+H7,F7)-1)/(POWER(1+H7,D7)-1),3))</f>
        <v>0.96899999999999997</v>
      </c>
      <c r="H7" s="731">
        <v>4.4999999999999998E-2</v>
      </c>
      <c r="I7" s="731">
        <v>0.05</v>
      </c>
      <c r="J7" s="66">
        <v>7.0000000000000007E-2</v>
      </c>
      <c r="K7" s="1029">
        <f>SUMIF('数据-汇总表'!C$19:C$33,A7,'数据-汇总表'!E$19:E$33)</f>
        <v>10270.209999999999</v>
      </c>
      <c r="L7" s="732">
        <f>L6</f>
        <v>6000</v>
      </c>
      <c r="M7" s="67">
        <f t="shared" si="0"/>
        <v>6162</v>
      </c>
      <c r="N7" s="730">
        <v>0.87</v>
      </c>
      <c r="O7" s="67" t="str">
        <f t="shared" ref="O7:O14" si="3">IF($N$5="成新度","——",ROUND(M7*N7,0))</f>
        <v>——</v>
      </c>
      <c r="P7" s="68" t="str">
        <f t="shared" ref="P7:P14" si="4">IF($N$5="成新度","——",M7-O7)</f>
        <v>——</v>
      </c>
      <c r="Q7" s="733">
        <v>0.05</v>
      </c>
      <c r="R7" s="69">
        <f ca="1">SUMIF('数据-汇总表'!C$19:C$33,A7,'数据-汇总表'!R$19:R$27)</f>
        <v>1664.3700000000001</v>
      </c>
      <c r="S7" s="51">
        <f>IF('数据-汇总表'!$I$17="按面积比例",SUMIF('数据-汇总表'!C$19:C$33,A7,'数据-汇总表'!K$19:K$33),SUMIF('数据-汇总表'!C$19:C$33,A7,'数据-汇总表'!N$19:N$33))</f>
        <v>124.24</v>
      </c>
      <c r="T7" s="1171">
        <f t="shared" ref="T7:T13" si="5">ROUND($L$14*S7/10000,0)</f>
        <v>75</v>
      </c>
      <c r="U7" s="3427">
        <v>1200</v>
      </c>
      <c r="V7" s="70">
        <v>0.02</v>
      </c>
      <c r="W7" s="70">
        <v>0.1</v>
      </c>
      <c r="X7" s="1039"/>
      <c r="Y7" s="71">
        <f>N7</f>
        <v>0.87</v>
      </c>
      <c r="Z7" s="72"/>
      <c r="AA7" s="66"/>
      <c r="AB7" s="66"/>
      <c r="AC7" s="1039"/>
      <c r="AD7" s="73"/>
      <c r="AE7" s="1040">
        <f t="shared" ref="AE7:AE13" ca="1" si="6">IF(AN7="",0,SUMIF(INDIRECT("'"&amp;AN7&amp;"'"&amp;"!E:E"),$AE$5,INDIRECT("'"&amp;AN7&amp;"'"&amp;"!F:F")))</f>
        <v>45.01</v>
      </c>
      <c r="AF7" s="1347"/>
      <c r="AG7" s="137">
        <f t="shared" ref="AG7:AG13" si="7">IF(AF7="",0,AE7-AF7)</f>
        <v>0</v>
      </c>
      <c r="AH7" s="74">
        <v>158</v>
      </c>
      <c r="AI7" s="76">
        <v>12</v>
      </c>
      <c r="AJ7" s="77"/>
      <c r="AK7" s="78">
        <v>4.0000000000000001E-3</v>
      </c>
      <c r="AL7" s="79">
        <v>1.5E-3</v>
      </c>
      <c r="AM7" s="80">
        <v>5.0000000000000001E-3</v>
      </c>
      <c r="AN7" s="1714" t="s">
        <v>3449</v>
      </c>
      <c r="AO7" s="52">
        <f t="shared" ref="AO7:AO13" ca="1" si="8">SUMIF(INDIRECT("'"&amp;AN7&amp;"'"&amp;"!A:A"),"总价",INDIRECT("'"&amp;AN7&amp;"'"&amp;"!B:B"))</f>
        <v>3068</v>
      </c>
      <c r="AP7" s="1715">
        <f t="shared" ref="AP7:AP13" si="9">IF(C7="住宅",K7*L7,0)</f>
        <v>0</v>
      </c>
      <c r="AQ7" s="52">
        <f t="shared" ref="AQ7:AQ13" si="10">ROUND($L$14*$N$14*S7/10000,0)</f>
        <v>65</v>
      </c>
      <c r="AR7" s="52">
        <f t="shared" ref="AR7:AR13" si="11">ROUND($L$14*(1-$N$14)*S7/10000,0)</f>
        <v>10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507.6</v>
      </c>
      <c r="L14" s="82">
        <f>L6</f>
        <v>6000</v>
      </c>
      <c r="M14" s="67">
        <f t="shared" si="0"/>
        <v>305</v>
      </c>
      <c r="N14" s="83">
        <v>0.87</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0.97299999999999998</v>
      </c>
      <c r="H16" s="90">
        <f>ROUND(SUMPRODUCT(H6:H13,K6:K13)/SUMPRODUCT((H6:H13&gt;0)*(K6:K13)),3)</f>
        <v>4.9000000000000002E-2</v>
      </c>
      <c r="I16" s="91"/>
      <c r="J16" s="91"/>
      <c r="K16" s="92">
        <f>SUM(K6:K15)</f>
        <v>42466.65</v>
      </c>
      <c r="L16" s="93">
        <f>ROUND(M16*10000/SUM(K6:K14),0)</f>
        <v>6000</v>
      </c>
      <c r="M16" s="93">
        <f>SUM(M6:M14)</f>
        <v>25480</v>
      </c>
      <c r="N16" s="94">
        <f>ROUND(SUMPRODUCT(M6:M14,N6:N14)/M16,3)</f>
        <v>0.87</v>
      </c>
      <c r="O16" s="93">
        <f>SUM(O6:O14)</f>
        <v>0</v>
      </c>
      <c r="P16" s="93">
        <f>SUM(P6:P14)</f>
        <v>0</v>
      </c>
      <c r="Q16" s="95">
        <f>ROUND(SUMPRODUCT(Q6:Q13,K6:K13)/SUMPRODUCT((Q6:Q13&gt;0)*(K6:K13)),2)</f>
        <v>0.16</v>
      </c>
      <c r="R16" s="1033">
        <f ca="1">SUM(R6:R13)</f>
        <v>6799.8</v>
      </c>
      <c r="S16" s="96">
        <f>SUM(S6:S13)</f>
        <v>507.6</v>
      </c>
      <c r="T16" s="97">
        <f>IF(SUMIF(T6:T13,"&lt;9E307")=M14,SUMIF(T6:T13,"&lt;9E307"),"有误，请检查")</f>
        <v>305</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3479">
        <v>3</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3479">
        <v>3</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4">
        <f>B19+B20</f>
        <v>3</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4">
        <f>B19+B21</f>
        <v>3</v>
      </c>
      <c r="C23" s="2672"/>
      <c r="D23" s="2675"/>
      <c r="E23" s="2672"/>
      <c r="F23" s="2672"/>
      <c r="G23" s="2672"/>
      <c r="H23" s="2672"/>
      <c r="I23" s="2672"/>
      <c r="J23" s="2672"/>
      <c r="K23" s="2671"/>
      <c r="L23" s="2671"/>
      <c r="M23" s="2670"/>
      <c r="N23" s="2670"/>
      <c r="O23" s="2670"/>
      <c r="P23" s="2670"/>
      <c r="Q23" s="2670"/>
      <c r="R23" s="2670"/>
      <c r="S23" s="2670"/>
      <c r="T23" s="2670"/>
      <c r="U23" s="2670">
        <f>'数据-基础表'!I13</f>
        <v>21093.46</v>
      </c>
      <c r="V23" s="2670">
        <v>11.3</v>
      </c>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5">
        <f>B20-B21</f>
        <v>0</v>
      </c>
      <c r="C24" s="2672"/>
      <c r="D24" s="2675"/>
      <c r="E24" s="2672"/>
      <c r="F24" s="2672"/>
      <c r="G24" s="2672"/>
      <c r="H24" s="2672"/>
      <c r="I24" s="2672"/>
      <c r="J24" s="2672"/>
      <c r="K24" s="2671"/>
      <c r="L24" s="2671"/>
      <c r="M24" s="2670"/>
      <c r="N24" s="2670"/>
      <c r="O24" s="2670"/>
      <c r="P24" s="2670"/>
      <c r="Q24" s="2670"/>
      <c r="R24" s="2670"/>
      <c r="S24" s="2670"/>
      <c r="T24" s="2670"/>
      <c r="U24" s="2670">
        <f>'数据-基础表'!K13</f>
        <v>10595.380000000001</v>
      </c>
      <c r="V24" s="2670">
        <f>V23*0.4</f>
        <v>4.5200000000000005</v>
      </c>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f>U23+U24</f>
        <v>31688.84</v>
      </c>
      <c r="V25" s="2670">
        <f>(U23*V23+U24*V24)/U25</f>
        <v>9.0330607115943664</v>
      </c>
      <c r="W25" s="2670"/>
      <c r="X25" s="2670"/>
      <c r="Y25" s="2670">
        <v>9.6</v>
      </c>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6">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09">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 ca="1">成本法!C10</f>
        <v>849</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4">
        <v>2.5000000000000001E-2</v>
      </c>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2">
        <v>2.5000000000000001E-2</v>
      </c>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7.0000000000000007E-2</v>
      </c>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184</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2" t="s">
        <v>2286</v>
      </c>
      <c r="B1" s="3573"/>
      <c r="C1" s="3573"/>
      <c r="D1" s="3573"/>
      <c r="E1" s="3573"/>
      <c r="F1" s="3573"/>
      <c r="G1" s="357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N29" sqref="N2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42466.65</v>
      </c>
      <c r="C1" s="2685"/>
      <c r="D1" s="2685"/>
      <c r="E1" s="2685"/>
      <c r="F1" s="2685"/>
      <c r="G1" s="2686"/>
      <c r="H1" s="2687"/>
      <c r="I1" s="2687"/>
      <c r="J1" s="2687"/>
      <c r="K1" s="2687"/>
    </row>
    <row r="2" spans="1:11" ht="16.5">
      <c r="A2" s="2511" t="s">
        <v>653</v>
      </c>
      <c r="B2" s="2511">
        <f>SUM(C14:C23)</f>
        <v>6799.81</v>
      </c>
      <c r="C2" s="2685"/>
      <c r="D2" s="2685"/>
      <c r="E2" s="2685"/>
      <c r="F2" s="2685"/>
      <c r="G2" s="2686"/>
      <c r="H2" s="2687"/>
      <c r="I2" s="2687"/>
      <c r="J2" s="2687"/>
      <c r="K2" s="2687"/>
    </row>
    <row r="3" spans="1:11" ht="16.5">
      <c r="A3" s="2511" t="s">
        <v>662</v>
      </c>
      <c r="B3" s="2513">
        <f>项目基本情况!D3</f>
        <v>45754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150290</v>
      </c>
      <c r="C5" s="2511">
        <f ca="1">IF(B5=D14,结果表!H102,ROUND(B5*10000/$B$1,0))</f>
        <v>35390</v>
      </c>
      <c r="D5" s="2511">
        <f ca="1">ROUND(B5*10000/$B$2,0)</f>
        <v>221021</v>
      </c>
      <c r="E5" s="2685"/>
      <c r="F5" s="2686"/>
      <c r="G5" s="2686"/>
      <c r="H5" s="2687"/>
      <c r="I5" s="2687"/>
      <c r="J5" s="2687"/>
      <c r="K5" s="2687"/>
    </row>
    <row r="6" spans="1:11" ht="16.5">
      <c r="A6" s="2511" t="s">
        <v>656</v>
      </c>
      <c r="B6" s="2511">
        <f ca="1">SUM(G14:G23)</f>
        <v>150290</v>
      </c>
      <c r="C6" s="2511">
        <f ca="1">IF(B6=G14,结果表!H108,ROUND(B6*10000/$B$1,0))</f>
        <v>35390</v>
      </c>
      <c r="D6" s="2511">
        <f ca="1">ROUND(B6*10000/$B$2,0)</f>
        <v>221021</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 ca="1">SUM(I14:I23)</f>
        <v>150248</v>
      </c>
      <c r="C8" s="2511">
        <f ca="1">IF(B8=I14,结果表!H112,ROUND(B8*10000/$B$1,0))</f>
        <v>35380</v>
      </c>
      <c r="D8" s="2511">
        <f ca="1">ROUND(B8*10000/$B$2,0)</f>
        <v>220959</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42466.65</v>
      </c>
      <c r="C14" s="2517">
        <f>'数据-汇总表'!D3</f>
        <v>6799.81</v>
      </c>
      <c r="D14" s="2517">
        <f ca="1">结果表!G19</f>
        <v>150290</v>
      </c>
      <c r="E14" s="2517">
        <f ca="1">ROUND(D14*10000/B14,0)</f>
        <v>35390</v>
      </c>
      <c r="F14" s="2517">
        <f ca="1">ROUND(D14*10000/C14,0)</f>
        <v>221021</v>
      </c>
      <c r="G14" s="2517">
        <f ca="1">D14</f>
        <v>150290</v>
      </c>
      <c r="H14" s="2517"/>
      <c r="I14" s="2517">
        <f ca="1">结果表!N59</f>
        <v>150248</v>
      </c>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9" zoomScale="70" zoomScaleNormal="100" zoomScaleSheetLayoutView="70" zoomScalePageLayoutView="80" workbookViewId="0">
      <selection activeCell="Q30" sqref="Q30"/>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41" t="str">
        <f>项目基本情况!S2</f>
        <v>北京市房地产</v>
      </c>
      <c r="B2" s="3642"/>
      <c r="C2" s="3642"/>
      <c r="D2" s="3642"/>
      <c r="E2" s="3642"/>
      <c r="F2" s="3642"/>
      <c r="G2" s="3642"/>
      <c r="H2" s="3642"/>
      <c r="I2" s="3643"/>
    </row>
    <row r="3" spans="1:12" ht="12.75">
      <c r="A3" s="3645" t="s">
        <v>1264</v>
      </c>
      <c r="B3" s="3646"/>
      <c r="C3" s="3646"/>
      <c r="D3" s="3646"/>
      <c r="E3" s="3646"/>
      <c r="F3" s="3646"/>
      <c r="G3" s="3646"/>
      <c r="H3" s="3646"/>
      <c r="I3" s="3646"/>
    </row>
    <row r="4" spans="1:12" ht="14.25">
      <c r="A4" s="1753" t="s">
        <v>1265</v>
      </c>
      <c r="B4" s="1754" t="s">
        <v>1266</v>
      </c>
      <c r="C4" s="1755" t="s">
        <v>3452</v>
      </c>
      <c r="D4" s="1755" t="s">
        <v>3453</v>
      </c>
      <c r="E4" s="3650" t="s">
        <v>1267</v>
      </c>
      <c r="F4" s="3651"/>
      <c r="G4" s="3651"/>
      <c r="H4" s="3651"/>
      <c r="I4" s="365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89" t="s">
        <v>1268</v>
      </c>
      <c r="B5" s="3644">
        <v>25</v>
      </c>
      <c r="C5" s="3647"/>
      <c r="D5" s="3635"/>
      <c r="E5" s="130" t="s">
        <v>1269</v>
      </c>
      <c r="F5" s="1756"/>
      <c r="G5" s="1756"/>
      <c r="H5" s="1756"/>
      <c r="I5" s="1372"/>
    </row>
    <row r="6" spans="1:12" ht="12.75">
      <c r="A6" s="3589"/>
      <c r="B6" s="3644"/>
      <c r="C6" s="3649"/>
      <c r="D6" s="3635"/>
      <c r="E6" s="130" t="s">
        <v>1270</v>
      </c>
      <c r="F6" s="1756"/>
      <c r="G6" s="1756"/>
      <c r="H6" s="1756"/>
      <c r="I6" s="1372"/>
    </row>
    <row r="7" spans="1:12" ht="12.75">
      <c r="A7" s="3589"/>
      <c r="B7" s="3644"/>
      <c r="C7" s="3648"/>
      <c r="D7" s="3635"/>
      <c r="E7" s="130" t="s">
        <v>1271</v>
      </c>
      <c r="F7" s="1756"/>
      <c r="G7" s="1756"/>
      <c r="H7" s="1756"/>
      <c r="I7" s="1372"/>
    </row>
    <row r="8" spans="1:12" ht="12.75">
      <c r="A8" s="3589" t="s">
        <v>1272</v>
      </c>
      <c r="B8" s="3644">
        <v>15</v>
      </c>
      <c r="C8" s="3647"/>
      <c r="D8" s="3635"/>
      <c r="E8" s="130" t="s">
        <v>1273</v>
      </c>
      <c r="F8" s="1756"/>
      <c r="G8" s="1756"/>
      <c r="H8" s="1756"/>
      <c r="I8" s="1372"/>
    </row>
    <row r="9" spans="1:12" ht="12.75">
      <c r="A9" s="3589"/>
      <c r="B9" s="3644"/>
      <c r="C9" s="3648"/>
      <c r="D9" s="3635"/>
      <c r="E9" s="130" t="s">
        <v>1274</v>
      </c>
      <c r="F9" s="1756"/>
      <c r="G9" s="1756"/>
      <c r="H9" s="1756"/>
      <c r="I9" s="1372"/>
    </row>
    <row r="10" spans="1:12" ht="12.75">
      <c r="A10" s="3589" t="s">
        <v>1275</v>
      </c>
      <c r="B10" s="3644">
        <v>15</v>
      </c>
      <c r="C10" s="3647"/>
      <c r="D10" s="3635"/>
      <c r="E10" s="130" t="s">
        <v>1276</v>
      </c>
      <c r="F10" s="1756"/>
      <c r="G10" s="1756"/>
      <c r="H10" s="1756"/>
      <c r="I10" s="1372"/>
    </row>
    <row r="11" spans="1:12" ht="12.75">
      <c r="A11" s="3589"/>
      <c r="B11" s="3644"/>
      <c r="C11" s="3648"/>
      <c r="D11" s="3635"/>
      <c r="E11" s="130" t="s">
        <v>1277</v>
      </c>
      <c r="F11" s="1756"/>
      <c r="G11" s="1756"/>
      <c r="H11" s="1756"/>
      <c r="I11" s="1372"/>
    </row>
    <row r="12" spans="1:12" ht="12.75">
      <c r="A12" s="3589" t="s">
        <v>1278</v>
      </c>
      <c r="B12" s="3644">
        <v>15</v>
      </c>
      <c r="C12" s="3647"/>
      <c r="D12" s="3635"/>
      <c r="E12" s="130" t="s">
        <v>1279</v>
      </c>
      <c r="F12" s="1756"/>
      <c r="G12" s="1756"/>
      <c r="H12" s="1756"/>
      <c r="I12" s="1372"/>
    </row>
    <row r="13" spans="1:12" ht="12.75">
      <c r="A13" s="3589"/>
      <c r="B13" s="3644"/>
      <c r="C13" s="3648"/>
      <c r="D13" s="3635"/>
      <c r="E13" s="130" t="s">
        <v>1280</v>
      </c>
      <c r="F13" s="1756"/>
      <c r="G13" s="1756"/>
      <c r="H13" s="1756"/>
      <c r="I13" s="1372"/>
    </row>
    <row r="14" spans="1:12" ht="12.75">
      <c r="A14" s="3589" t="s">
        <v>1281</v>
      </c>
      <c r="B14" s="3644">
        <v>30</v>
      </c>
      <c r="C14" s="3647">
        <v>3</v>
      </c>
      <c r="D14" s="3635">
        <v>7</v>
      </c>
      <c r="E14" s="130" t="s">
        <v>1282</v>
      </c>
      <c r="F14" s="1756"/>
      <c r="G14" s="1756"/>
      <c r="H14" s="1756"/>
      <c r="I14" s="1372"/>
    </row>
    <row r="15" spans="1:12" ht="12.75">
      <c r="A15" s="3589"/>
      <c r="B15" s="3644"/>
      <c r="C15" s="3649"/>
      <c r="D15" s="3635"/>
      <c r="E15" s="130" t="s">
        <v>1283</v>
      </c>
      <c r="F15" s="1756"/>
      <c r="G15" s="1756"/>
      <c r="H15" s="1756"/>
      <c r="I15" s="1372"/>
    </row>
    <row r="16" spans="1:12" ht="12.75">
      <c r="A16" s="3589"/>
      <c r="B16" s="3644"/>
      <c r="C16" s="3648"/>
      <c r="D16" s="3635"/>
      <c r="E16" s="130" t="s">
        <v>1284</v>
      </c>
      <c r="F16" s="1756"/>
      <c r="G16" s="1756"/>
      <c r="H16" s="1756"/>
      <c r="I16" s="1372"/>
    </row>
    <row r="17" spans="1:36" ht="15">
      <c r="A17" s="1757" t="s">
        <v>1285</v>
      </c>
      <c r="B17" s="56"/>
      <c r="C17" s="131">
        <f>SUM(C5:C16)</f>
        <v>3</v>
      </c>
      <c r="D17" s="131">
        <f>SUM(D5:D16)</f>
        <v>7</v>
      </c>
      <c r="E17" s="128"/>
      <c r="F17" s="128"/>
      <c r="G17" s="128"/>
      <c r="H17" s="128"/>
      <c r="I17" s="128"/>
      <c r="K17" s="301"/>
      <c r="L17" s="301" t="s">
        <v>1286</v>
      </c>
      <c r="M17" s="301" t="s">
        <v>1287</v>
      </c>
    </row>
    <row r="18" spans="1:36" ht="31.9" customHeight="1" thickBot="1">
      <c r="A18" s="1758" t="s">
        <v>1288</v>
      </c>
      <c r="B18" s="1759"/>
      <c r="C18" s="132">
        <f>ROUND(C17/SUM(C17:D17),2)</f>
        <v>0.3</v>
      </c>
      <c r="D18" s="132">
        <f>1-C18</f>
        <v>0.7</v>
      </c>
      <c r="E18" s="3666" t="s">
        <v>2131</v>
      </c>
      <c r="F18" s="3667"/>
      <c r="G18" s="3667"/>
      <c r="H18" s="3667"/>
      <c r="I18" s="3667"/>
      <c r="K18" s="301" t="s">
        <v>1289</v>
      </c>
      <c r="L18" s="301">
        <f>IF(C1="",'数据-汇总表'!E3,SUMIF(项目类型,C1,'数据-汇总表'!E17:E26)+SUMIF(项目类型,C1,'数据-汇总表'!I17:I26))</f>
        <v>42466.65</v>
      </c>
      <c r="M18" s="301">
        <f>IF(C1="",'数据-汇总表'!E3,SUMIF(项目类型,C1,'数据-汇总表'!E17:E26))</f>
        <v>42466.65</v>
      </c>
    </row>
    <row r="19" spans="1:36" ht="15">
      <c r="A19" s="1760" t="s">
        <v>1290</v>
      </c>
      <c r="B19" s="1761" t="s">
        <v>1291</v>
      </c>
      <c r="C19" s="133">
        <f ca="1">SUMIF(INDIRECT("'"&amp;C4&amp;"'"&amp;"!A:A"),结果表!B19,INDIRECT("'"&amp;C4&amp;"'"&amp;"!B:B"))</f>
        <v>97313</v>
      </c>
      <c r="D19" s="134">
        <f ca="1">SUMIF(INDIRECT("'"&amp;D4&amp;"'"&amp;"!A:A"),结果表!B19,INDIRECT("'"&amp;D4&amp;"'"&amp;"!B:B"))</f>
        <v>172994</v>
      </c>
      <c r="E19" s="1760" t="s">
        <v>1292</v>
      </c>
      <c r="F19" s="1761" t="s">
        <v>1291</v>
      </c>
      <c r="G19" s="135">
        <f ca="1">ROUND(C19*$C$18+D19*$D$18,0)</f>
        <v>150290</v>
      </c>
      <c r="H19" s="1762" t="s">
        <v>1293</v>
      </c>
      <c r="I19" s="128">
        <v>2024</v>
      </c>
      <c r="J19" s="724">
        <v>2023</v>
      </c>
      <c r="K19" s="301" t="s">
        <v>1294</v>
      </c>
      <c r="L19" s="301">
        <f>IF(C1="",'数据-汇总表'!D3,SUMIF(项目类型,C1,'数据-汇总表'!D17:D26)+SUMIF(项目类型,C1,'数据-汇总表'!H17:H27))</f>
        <v>6799.81</v>
      </c>
      <c r="M19" s="301">
        <f>IF(C1="",'数据-汇总表'!D3,SUMIF(项目类型,C1,'数据-汇总表'!D17:D26))</f>
        <v>6799.81</v>
      </c>
    </row>
    <row r="20" spans="1:36" ht="15">
      <c r="A20" s="1763"/>
      <c r="B20" s="1025" t="s">
        <v>1295</v>
      </c>
      <c r="C20" s="136">
        <f ca="1">SUMIF(INDIRECT("'"&amp;C4&amp;"'"&amp;"!A:A"),结果表!B20,INDIRECT("'"&amp;C4&amp;"'"&amp;"!B:B"))</f>
        <v>22915</v>
      </c>
      <c r="D20" s="137">
        <f ca="1">SUMIF(INDIRECT("'"&amp;D4&amp;"'"&amp;"!A:A"),结果表!B20,INDIRECT("'"&amp;D4&amp;"'"&amp;"!B:B"))</f>
        <v>40736</v>
      </c>
      <c r="E20" s="1763"/>
      <c r="F20" s="1025" t="s">
        <v>1295</v>
      </c>
      <c r="G20" s="138">
        <f ca="1">ROUND(C20*$C$18+D20*$D$18,0)</f>
        <v>35390</v>
      </c>
      <c r="H20" s="807" t="s">
        <v>1296</v>
      </c>
      <c r="I20" s="128">
        <v>159091</v>
      </c>
      <c r="J20" s="724">
        <v>167013</v>
      </c>
    </row>
    <row r="21" spans="1:36" ht="15" customHeight="1" thickBot="1">
      <c r="A21" s="827"/>
      <c r="B21" s="1764" t="s">
        <v>1297</v>
      </c>
      <c r="C21" s="718">
        <f ca="1">ROUND(C19*10000/L19,0)</f>
        <v>143111</v>
      </c>
      <c r="D21" s="719">
        <f ca="1">ROUND(D19*10000/L19,0)</f>
        <v>254410</v>
      </c>
      <c r="E21" s="827"/>
      <c r="F21" s="1764" t="s">
        <v>1297</v>
      </c>
      <c r="G21" s="139">
        <f ca="1">ROUND(G19*10000/L19,0)</f>
        <v>221021</v>
      </c>
      <c r="H21" s="1765" t="s">
        <v>1296</v>
      </c>
      <c r="I21" s="128"/>
    </row>
    <row r="22" spans="1:36" ht="15" thickBot="1">
      <c r="A22" s="1687" t="s">
        <v>1298</v>
      </c>
      <c r="B22" s="1766"/>
      <c r="C22" s="1767"/>
      <c r="D22" s="720">
        <f ca="1">IF(C19&lt;D19,D19/C19-1,C19/D19-1)</f>
        <v>0.77770698673353</v>
      </c>
      <c r="E22" s="128"/>
      <c r="F22" s="128"/>
      <c r="G22" s="128"/>
      <c r="H22" s="128"/>
      <c r="I22" s="128"/>
    </row>
    <row r="23" spans="1:36" ht="13.5" thickBot="1">
      <c r="A23" s="1746"/>
      <c r="B23" s="1746"/>
      <c r="C23" s="1746"/>
      <c r="D23" s="1746"/>
      <c r="E23" s="128"/>
      <c r="F23" s="128"/>
      <c r="G23" s="128"/>
      <c r="H23" s="128"/>
      <c r="I23" s="128"/>
    </row>
    <row r="24" spans="1:36" ht="14.25">
      <c r="A24" s="3659" t="s">
        <v>1299</v>
      </c>
      <c r="B24" s="1761" t="s">
        <v>1291</v>
      </c>
      <c r="C24" s="135">
        <f>IF(B30=0,0,D30)</f>
        <v>0</v>
      </c>
      <c r="D24" s="1768"/>
      <c r="E24" s="128"/>
      <c r="F24" s="128"/>
      <c r="G24" s="128"/>
      <c r="H24" s="128"/>
      <c r="I24" s="128"/>
    </row>
    <row r="25" spans="1:36" ht="14.25">
      <c r="A25" s="3660"/>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150290</v>
      </c>
      <c r="D32" s="1774" t="s">
        <v>3454</v>
      </c>
      <c r="E32" s="128"/>
      <c r="F32" s="128"/>
      <c r="G32" s="128"/>
      <c r="H32" s="128"/>
      <c r="I32" s="128"/>
    </row>
    <row r="33" spans="1:15" ht="15">
      <c r="A33" s="785" t="s">
        <v>1306</v>
      </c>
      <c r="B33" s="1775"/>
      <c r="C33" s="1776" t="s">
        <v>3455</v>
      </c>
      <c r="D33" s="1777" t="s">
        <v>3452</v>
      </c>
      <c r="E33" s="1778" t="s">
        <v>1307</v>
      </c>
      <c r="F33" s="1779" t="str">
        <f>IF(D32="楼面单价","取值（单价）","取值（总价）")</f>
        <v>取值（总价）</v>
      </c>
      <c r="G33" s="128"/>
      <c r="H33" s="128"/>
      <c r="I33" s="128"/>
    </row>
    <row r="34" spans="1:15" ht="15">
      <c r="A34" s="1780"/>
      <c r="B34" s="1781" t="s">
        <v>1308</v>
      </c>
      <c r="C34" s="147">
        <f ca="1">IF(C33="自定义",F34,C32-C35)</f>
        <v>99492</v>
      </c>
      <c r="D34" s="860">
        <f ca="1">IF(C33="自定义",ROUND(C34/C32,3),IF(C33="收益比率",SUMIF(INDIRECT("'"&amp;D33&amp;"'"&amp;"!b:b"),"土地收益比率",INDIRECT("'"&amp;D33&amp;"'"&amp;"!c:c")),SUMIF(INDIRECT("'"&amp;D33&amp;"'"&amp;"!b:b"),"土地成本比率",INDIRECT("'"&amp;D33&amp;"'"&amp;"!c:c"))))</f>
        <v>0.66199999999999992</v>
      </c>
      <c r="E34" s="1782" t="s">
        <v>1309</v>
      </c>
      <c r="F34" s="1329"/>
      <c r="G34" s="128"/>
      <c r="H34" s="128"/>
      <c r="I34" s="128"/>
    </row>
    <row r="35" spans="1:15" ht="15.75" thickBot="1">
      <c r="A35" s="1783"/>
      <c r="B35" s="1784" t="s">
        <v>1310</v>
      </c>
      <c r="C35" s="1169">
        <f ca="1">IF(C33="自定义",F35,ROUND(C32*D35,0))</f>
        <v>50798</v>
      </c>
      <c r="D35" s="1170">
        <f ca="1">IF(C33="自定义",ROUND(C35/C32,3),IF(C33="收益比率",SUMIF(INDIRECT("'"&amp;D33&amp;"'"&amp;"!b:b"),"建筑物收益比率",INDIRECT("'"&amp;D33&amp;"'"&amp;"!c:c")),SUMIF(INDIRECT("'"&amp;D33&amp;"'"&amp;"!b:b"),"建筑物成本比率",INDIRECT("'"&amp;D33&amp;"'"&amp;"!c:c"))))</f>
        <v>0.33800000000000002</v>
      </c>
      <c r="E35" s="1785" t="s">
        <v>1311</v>
      </c>
      <c r="F35" s="153"/>
      <c r="G35" s="128"/>
      <c r="H35" s="128"/>
      <c r="I35" s="128"/>
    </row>
    <row r="36" spans="1:15" ht="15.75" thickBot="1">
      <c r="A36" s="3636" t="s">
        <v>1312</v>
      </c>
      <c r="B36" s="1786" t="s">
        <v>1313</v>
      </c>
      <c r="C36" s="144"/>
      <c r="D36" s="1787"/>
      <c r="E36" s="1788"/>
      <c r="F36" s="1789"/>
      <c r="G36" s="128"/>
      <c r="H36" s="128"/>
      <c r="I36" s="128"/>
    </row>
    <row r="37" spans="1:15" ht="15.75" thickBot="1">
      <c r="A37" s="3637"/>
      <c r="B37" s="1673" t="s">
        <v>1314</v>
      </c>
      <c r="C37" s="146"/>
      <c r="D37" s="1138"/>
      <c r="E37" s="1138"/>
      <c r="F37" s="1789"/>
      <c r="G37" s="128"/>
      <c r="H37" s="128"/>
      <c r="I37" s="128"/>
    </row>
    <row r="38" spans="1:15" ht="15.75" thickBot="1">
      <c r="A38" s="3638"/>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6" t="s">
        <v>1326</v>
      </c>
      <c r="B45" s="3657"/>
      <c r="C45" s="3658"/>
      <c r="D45" s="154">
        <f ca="1">ROUND(H101*F45,0)</f>
        <v>84162</v>
      </c>
      <c r="E45" s="155" t="s">
        <v>1327</v>
      </c>
      <c r="F45" s="156">
        <v>0.56000000000000005</v>
      </c>
      <c r="G45" s="157" t="s">
        <v>1328</v>
      </c>
      <c r="H45" s="128"/>
      <c r="I45" s="128"/>
      <c r="J45" s="3576" t="s">
        <v>1329</v>
      </c>
      <c r="K45" s="3576"/>
      <c r="L45" s="3576"/>
      <c r="M45" s="3576"/>
      <c r="N45" s="3576"/>
      <c r="O45" s="3576"/>
    </row>
    <row r="46" spans="1:15" ht="14.25" customHeight="1">
      <c r="A46" s="3653" t="s">
        <v>1330</v>
      </c>
      <c r="B46" s="3654"/>
      <c r="C46" s="3654"/>
      <c r="D46" s="3654"/>
      <c r="E46" s="3654"/>
      <c r="F46" s="3654"/>
      <c r="G46" s="3655"/>
      <c r="H46" s="1805"/>
      <c r="I46" s="158"/>
      <c r="J46" s="2522">
        <v>1</v>
      </c>
      <c r="K46" s="3577" t="s">
        <v>1331</v>
      </c>
      <c r="L46" s="3577"/>
      <c r="M46" s="3578"/>
      <c r="N46" s="3578"/>
      <c r="O46" s="3578"/>
    </row>
    <row r="47" spans="1:15" ht="12" customHeight="1">
      <c r="A47" s="159" t="s">
        <v>1332</v>
      </c>
      <c r="B47" s="160"/>
      <c r="C47" s="161"/>
      <c r="D47" s="1086" t="s">
        <v>1333</v>
      </c>
      <c r="E47" s="301" t="s">
        <v>1334</v>
      </c>
      <c r="F47" s="162" t="s">
        <v>1335</v>
      </c>
      <c r="G47" s="2545" t="s">
        <v>1336</v>
      </c>
      <c r="H47" s="2546"/>
      <c r="I47" s="158"/>
      <c r="J47" s="2522">
        <v>2</v>
      </c>
      <c r="K47" s="3577" t="s">
        <v>1337</v>
      </c>
      <c r="L47" s="3577"/>
      <c r="M47" s="3579">
        <f>'数据-取费表'!B2</f>
        <v>45754</v>
      </c>
      <c r="N47" s="3579"/>
      <c r="O47" s="3579"/>
    </row>
    <row r="48" spans="1:15" ht="25.5">
      <c r="A48" s="3639" t="s">
        <v>1338</v>
      </c>
      <c r="B48" s="3640"/>
      <c r="C48" s="3640"/>
      <c r="D48" s="2323">
        <f ca="1">IF(H48="情况1",0,IF(H48="情况2",D52,IF(H48="情况3",D53,IF(H48="情况4",D54))))</f>
        <v>0</v>
      </c>
      <c r="E48" s="2333" t="str">
        <f>IF(H48="情况4","(销售额-原购置价)×税（费）率","销售额×税（费）率")</f>
        <v>(销售额-原购置价)×税（费）率</v>
      </c>
      <c r="F48" s="2547">
        <f>IF(H48="情况1","免征",'数据-取费表'!B41)</f>
        <v>5.6000000000000001E-2</v>
      </c>
      <c r="G48" s="2548" t="s">
        <v>1339</v>
      </c>
      <c r="H48" s="2549" t="s">
        <v>3456</v>
      </c>
      <c r="I48" s="1805"/>
      <c r="J48" s="2522">
        <v>3</v>
      </c>
      <c r="K48" s="3577" t="s">
        <v>1340</v>
      </c>
      <c r="L48" s="3577"/>
      <c r="M48" s="3580">
        <f ca="1">H101</f>
        <v>150290</v>
      </c>
      <c r="N48" s="3580"/>
      <c r="O48" s="3580"/>
    </row>
    <row r="49" spans="1:35" ht="25.5" customHeight="1">
      <c r="A49" s="2332" t="s">
        <v>1341</v>
      </c>
      <c r="B49" s="3625" t="s">
        <v>1342</v>
      </c>
      <c r="C49" s="3625"/>
      <c r="D49" s="1589">
        <v>0</v>
      </c>
      <c r="E49" s="323" t="s">
        <v>1343</v>
      </c>
      <c r="F49" s="2423" t="s">
        <v>28</v>
      </c>
      <c r="G49" s="3608"/>
      <c r="H49" s="2309" t="s">
        <v>2134</v>
      </c>
      <c r="I49" s="2310"/>
      <c r="J49" s="2522">
        <v>4</v>
      </c>
      <c r="K49" s="3577" t="str">
        <f>IF(项目基本情况!E8="房地产抵押价值","房地产抵押价值","抵押担保权已注销时的房地产抵押价值")</f>
        <v>房地产抵押价值</v>
      </c>
      <c r="L49" s="3577"/>
      <c r="M49" s="3580">
        <f ca="1">IF(项目基本情况!E8="房地产抵押价值",H107,H109)</f>
        <v>150290</v>
      </c>
      <c r="N49" s="3580"/>
      <c r="O49" s="3580"/>
    </row>
    <row r="50" spans="1:35" ht="25.5" customHeight="1">
      <c r="A50" s="2550"/>
      <c r="B50" s="3625" t="s">
        <v>1344</v>
      </c>
      <c r="C50" s="3625"/>
      <c r="D50" s="2551"/>
      <c r="E50" s="331"/>
      <c r="F50" s="2423"/>
      <c r="G50" s="3609"/>
      <c r="H50" s="2311" t="s">
        <v>2135</v>
      </c>
      <c r="I50" s="2310"/>
      <c r="J50" s="3576" t="s">
        <v>1345</v>
      </c>
      <c r="K50" s="3576"/>
      <c r="L50" s="3576"/>
      <c r="M50" s="3576"/>
      <c r="N50" s="3576"/>
      <c r="O50" s="3576"/>
    </row>
    <row r="51" spans="1:35" ht="20.45" customHeight="1">
      <c r="A51" s="2552"/>
      <c r="B51" s="3625" t="s">
        <v>1346</v>
      </c>
      <c r="C51" s="3625"/>
      <c r="D51" s="1086"/>
      <c r="E51" s="326"/>
      <c r="F51" s="2423"/>
      <c r="G51" s="3610"/>
      <c r="H51" s="2311" t="s">
        <v>2136</v>
      </c>
      <c r="I51" s="2310"/>
      <c r="J51" s="2523" t="s">
        <v>1347</v>
      </c>
      <c r="K51" s="3577" t="s">
        <v>1348</v>
      </c>
      <c r="L51" s="3577"/>
      <c r="M51" s="2523" t="s">
        <v>1349</v>
      </c>
      <c r="N51" s="2523" t="s">
        <v>1350</v>
      </c>
      <c r="O51" s="2523" t="s">
        <v>1351</v>
      </c>
    </row>
    <row r="52" spans="1:35" ht="24" customHeight="1">
      <c r="A52" s="2334" t="s">
        <v>1352</v>
      </c>
      <c r="B52" s="3625" t="s">
        <v>1353</v>
      </c>
      <c r="C52" s="3625"/>
      <c r="D52" s="1086">
        <f ca="1">ROUND(D45*'数据-取费表'!B41/(1+'数据-取费表'!C42),0)</f>
        <v>4489</v>
      </c>
      <c r="E52" s="2333" t="s">
        <v>1354</v>
      </c>
      <c r="F52" s="2553">
        <f>'数据-取费表'!B41</f>
        <v>5.6000000000000001E-2</v>
      </c>
      <c r="G52" s="2554"/>
      <c r="H52" s="2543"/>
      <c r="I52" s="1806"/>
      <c r="J52" s="2522">
        <v>1</v>
      </c>
      <c r="K52" s="3602" t="s">
        <v>1355</v>
      </c>
      <c r="L52" s="3602"/>
      <c r="M52" s="2524">
        <f ca="1">D48</f>
        <v>0</v>
      </c>
      <c r="N52" s="2522" t="str">
        <f>E48</f>
        <v>(销售额-原购置价)×税（费）率</v>
      </c>
      <c r="O52" s="2525">
        <f>F48</f>
        <v>5.6000000000000001E-2</v>
      </c>
    </row>
    <row r="53" spans="1:35" ht="12" customHeight="1">
      <c r="A53" s="2334" t="s">
        <v>1356</v>
      </c>
      <c r="B53" s="3626" t="s">
        <v>2291</v>
      </c>
      <c r="C53" s="3627"/>
      <c r="D53" s="1086">
        <f ca="1">ROUND(D45*'数据-取费表'!B41/(1+'数据-取费表'!C42),0)</f>
        <v>4489</v>
      </c>
      <c r="E53" s="2333" t="s">
        <v>1354</v>
      </c>
      <c r="F53" s="2553">
        <f>'数据-取费表'!B41</f>
        <v>5.6000000000000001E-2</v>
      </c>
      <c r="G53" s="2554"/>
      <c r="H53" s="2543"/>
      <c r="I53" s="1806"/>
      <c r="J53" s="2522">
        <v>2</v>
      </c>
      <c r="K53" s="3602" t="s">
        <v>1357</v>
      </c>
      <c r="L53" s="3602"/>
      <c r="M53" s="2524">
        <f t="shared" ref="M53:O54" ca="1" si="0">D55</f>
        <v>42</v>
      </c>
      <c r="N53" s="2522" t="str">
        <f t="shared" si="0"/>
        <v>销售额×税（费）率</v>
      </c>
      <c r="O53" s="2525">
        <f t="shared" si="0"/>
        <v>5.0000000000000001E-4</v>
      </c>
    </row>
    <row r="54" spans="1:35" ht="12" customHeight="1">
      <c r="A54" s="2334" t="s">
        <v>1358</v>
      </c>
      <c r="B54" s="3626" t="s">
        <v>2292</v>
      </c>
      <c r="C54" s="3627"/>
      <c r="D54" s="1086">
        <f ca="1">C68</f>
        <v>0</v>
      </c>
      <c r="E54" s="326" t="s">
        <v>1359</v>
      </c>
      <c r="F54" s="2553">
        <f>'数据-取费表'!B41</f>
        <v>5.6000000000000001E-2</v>
      </c>
      <c r="G54" s="2554"/>
      <c r="H54" s="2555"/>
      <c r="I54" s="1806"/>
      <c r="J54" s="2522">
        <v>3</v>
      </c>
      <c r="K54" s="3602" t="s">
        <v>1360</v>
      </c>
      <c r="L54" s="3602"/>
      <c r="M54" s="2524">
        <f t="shared" ca="1" si="0"/>
        <v>0</v>
      </c>
      <c r="N54" s="2522" t="str">
        <f t="shared" si="0"/>
        <v>增值额×税（费）率</v>
      </c>
      <c r="O54" s="2526" t="str">
        <f t="shared" si="0"/>
        <v>——</v>
      </c>
    </row>
    <row r="55" spans="1:35" ht="24" customHeight="1">
      <c r="A55" s="3662" t="s">
        <v>1361</v>
      </c>
      <c r="B55" s="3640"/>
      <c r="C55" s="3640"/>
      <c r="D55" s="2323">
        <f ca="1">IF(H55="个人住宅",0,ROUND(D45*I55,0))</f>
        <v>42</v>
      </c>
      <c r="E55" s="2333" t="s">
        <v>1362</v>
      </c>
      <c r="F55" s="2553">
        <f>IF(H55="正常",I55,"免征")</f>
        <v>5.0000000000000001E-4</v>
      </c>
      <c r="G55" s="2554"/>
      <c r="H55" s="2549" t="s">
        <v>3457</v>
      </c>
      <c r="I55" s="164">
        <f>'数据-取费表'!B49</f>
        <v>5.0000000000000001E-4</v>
      </c>
      <c r="J55" s="2522" t="str">
        <f>IF(H59="非个人房产","",4)</f>
        <v/>
      </c>
      <c r="K55" s="3602" t="str">
        <f>IF(H59="非个人房产","——","个人所得税")</f>
        <v>——</v>
      </c>
      <c r="L55" s="3602"/>
      <c r="M55" s="2527" t="str">
        <f>D59</f>
        <v>——</v>
      </c>
      <c r="N55" s="2039" t="str">
        <f>E59</f>
        <v>——</v>
      </c>
      <c r="O55" s="2528" t="str">
        <f>F59</f>
        <v>——</v>
      </c>
    </row>
    <row r="56" spans="1:35" ht="24.75">
      <c r="A56" s="3662" t="s">
        <v>1363</v>
      </c>
      <c r="B56" s="3640"/>
      <c r="C56" s="3640"/>
      <c r="D56" s="2323">
        <f ca="1">IF(H56="个人住宅",D57,D58)</f>
        <v>0</v>
      </c>
      <c r="E56" s="2333" t="s">
        <v>1364</v>
      </c>
      <c r="F56" s="2553" t="str">
        <f>IF(H56="正常",F58,"免征")</f>
        <v>——</v>
      </c>
      <c r="G56" s="2556" t="s">
        <v>1365</v>
      </c>
      <c r="H56" s="2557" t="s">
        <v>3457</v>
      </c>
      <c r="I56" s="1807"/>
      <c r="J56" s="2522" t="str">
        <f>IF(项目基本情况!K6="上海银行",IF(J55="",4,J55+1),"")</f>
        <v/>
      </c>
      <c r="K56" s="3583" t="str">
        <f>IF(项目基本情况!K6="上海银行","其他处置费用","")</f>
        <v/>
      </c>
      <c r="L56" s="3584"/>
      <c r="M56" s="2524" t="str">
        <f>IF(项目基本情况!K6="上海银行",M69,"")</f>
        <v/>
      </c>
      <c r="N56" s="3583" t="str">
        <f>IF(项目基本情况!K6="上海银行","包含处置中涉及的律师、诉讼、拍卖、评估等费用","")</f>
        <v/>
      </c>
      <c r="O56" s="3586"/>
    </row>
    <row r="57" spans="1:35" ht="12.75">
      <c r="A57" s="2334" t="s">
        <v>1341</v>
      </c>
      <c r="B57" s="3626" t="s">
        <v>1366</v>
      </c>
      <c r="C57" s="3627"/>
      <c r="D57" s="1589">
        <v>0</v>
      </c>
      <c r="E57" s="323" t="s">
        <v>1343</v>
      </c>
      <c r="F57" s="301"/>
      <c r="G57" s="2554"/>
      <c r="H57" s="2558"/>
      <c r="I57" s="1807"/>
      <c r="J57" s="3602">
        <f>IF(AND(J55="",J56=""),4,IF(项目基本情况!K6="上海银行",结果表!J56+1,结果表!J55+1))</f>
        <v>4</v>
      </c>
      <c r="K57" s="3602" t="s">
        <v>1367</v>
      </c>
      <c r="L57" s="2529" t="s">
        <v>1368</v>
      </c>
      <c r="M57" s="2530"/>
      <c r="N57" s="2531">
        <f ca="1">SUMIF(M52:M56,"&lt;9e307")</f>
        <v>42</v>
      </c>
      <c r="O57" s="2532"/>
      <c r="P57" s="2689">
        <f ca="1">N57/M49</f>
        <v>2.7945971122496507E-4</v>
      </c>
    </row>
    <row r="58" spans="1:35" ht="24.75">
      <c r="A58" s="2334" t="s">
        <v>1352</v>
      </c>
      <c r="B58" s="3626" t="s">
        <v>1369</v>
      </c>
      <c r="C58" s="3625"/>
      <c r="D58" s="2323">
        <f ca="1">IF(H58="转让取得",C81,C97)</f>
        <v>0</v>
      </c>
      <c r="E58" s="2333" t="s">
        <v>1364</v>
      </c>
      <c r="F58" s="301" t="s">
        <v>28</v>
      </c>
      <c r="G58" s="2554"/>
      <c r="H58" s="2557" t="s">
        <v>3458</v>
      </c>
      <c r="I58" s="1807"/>
      <c r="J58" s="3602"/>
      <c r="K58" s="3602"/>
      <c r="L58" s="2529" t="s">
        <v>1370</v>
      </c>
      <c r="M58" s="2533"/>
      <c r="N58" s="2534" t="str">
        <f ca="1">NUMBERSTRING(INT(N57*10000),2)&amp;"元整"</f>
        <v>肆拾贰万元整</v>
      </c>
      <c r="O58" s="2535"/>
    </row>
    <row r="59" spans="1:35" ht="24.75" thickBot="1">
      <c r="A59" s="3606" t="s">
        <v>1371</v>
      </c>
      <c r="B59" s="3607"/>
      <c r="C59" s="3607"/>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3461</v>
      </c>
      <c r="I59" s="2312" t="s">
        <v>2137</v>
      </c>
      <c r="J59" s="3604">
        <f>J57+1</f>
        <v>5</v>
      </c>
      <c r="K59" s="3602" t="s">
        <v>1372</v>
      </c>
      <c r="L59" s="2522" t="s">
        <v>1368</v>
      </c>
      <c r="M59" s="2536"/>
      <c r="N59" s="2537">
        <f ca="1">M49-N57</f>
        <v>150248</v>
      </c>
      <c r="O59" s="2538"/>
    </row>
    <row r="60" spans="1:35" ht="12" customHeight="1">
      <c r="A60" s="1808"/>
      <c r="B60" s="1746"/>
      <c r="C60" s="1746"/>
      <c r="D60" s="1746"/>
      <c r="E60" s="1577"/>
      <c r="F60" s="1807"/>
      <c r="G60" s="1807"/>
      <c r="H60" s="1809"/>
      <c r="I60" s="128"/>
      <c r="J60" s="3605"/>
      <c r="K60" s="3602"/>
      <c r="L60" s="2529" t="s">
        <v>1370</v>
      </c>
      <c r="M60" s="2533"/>
      <c r="N60" s="2534" t="str">
        <f ca="1">NUMBERSTRING(INT(N59*10000),2)&amp;"元整"</f>
        <v>壹拾伍亿零贰佰肆拾捌万元整</v>
      </c>
      <c r="O60" s="2535"/>
    </row>
    <row r="61" spans="1:35" ht="13.5" thickBot="1">
      <c r="A61" s="3661" t="s">
        <v>1373</v>
      </c>
      <c r="B61" s="3661"/>
      <c r="C61" s="3661"/>
      <c r="D61" s="3661"/>
      <c r="E61" s="3661"/>
      <c r="F61" s="1807"/>
      <c r="G61" s="1807"/>
      <c r="H61" s="1809"/>
      <c r="I61" s="128"/>
      <c r="J61" s="2522">
        <f>J59+1</f>
        <v>6</v>
      </c>
      <c r="K61" s="3602" t="s">
        <v>1374</v>
      </c>
      <c r="L61" s="3602"/>
      <c r="M61" s="2539"/>
      <c r="N61" s="2540">
        <f ca="1">ROUND(N59*10000/'数据-汇总表'!E3,0)</f>
        <v>35380</v>
      </c>
      <c r="O61" s="2541"/>
    </row>
    <row r="62" spans="1:35" ht="12.75">
      <c r="A62" s="3621" t="s">
        <v>1375</v>
      </c>
      <c r="B62" s="3622"/>
      <c r="C62" s="2020"/>
      <c r="D62" s="2020" t="s">
        <v>1376</v>
      </c>
      <c r="E62" s="165" t="s">
        <v>1377</v>
      </c>
      <c r="F62" s="1807"/>
      <c r="G62" s="1807"/>
      <c r="H62" s="1809"/>
      <c r="I62" s="128"/>
    </row>
    <row r="63" spans="1:35" ht="12.75">
      <c r="A63" s="172" t="s">
        <v>330</v>
      </c>
      <c r="B63" s="166" t="s">
        <v>1378</v>
      </c>
      <c r="C63" s="2563">
        <f ca="1">ROUND((C64+C65)/(1+'数据-取费表'!C42),0)</f>
        <v>80154</v>
      </c>
      <c r="D63" s="166"/>
      <c r="E63" s="167"/>
      <c r="F63" s="1807"/>
      <c r="G63" s="1807"/>
      <c r="H63" s="1809"/>
      <c r="I63" s="128"/>
      <c r="J63" s="3585" t="s">
        <v>1379</v>
      </c>
      <c r="K63" s="1331" t="s">
        <v>1380</v>
      </c>
      <c r="L63" s="1331">
        <f ca="1">IF(M49&gt;10000,M49*0.5%,IF(AND(M49&gt;1000,M49&lt;=10000),M49*1%,IF(AND(M49&gt;100,M49&lt;=1000),M49*3%,IF(AND(M49&gt;10,M49&lt;=100),M49*5%,M49*8%))))</f>
        <v>751.45</v>
      </c>
      <c r="M63" s="301">
        <f ca="1">ROUND(L63,1)</f>
        <v>751.5</v>
      </c>
      <c r="N63" s="2542"/>
      <c r="Z63" s="1751"/>
      <c r="AI63" s="1752"/>
    </row>
    <row r="64" spans="1:35" ht="14.25" customHeight="1">
      <c r="A64" s="168" t="s">
        <v>325</v>
      </c>
      <c r="B64" s="169" t="s">
        <v>1381</v>
      </c>
      <c r="C64" s="2564">
        <f ca="1">D45</f>
        <v>84162</v>
      </c>
      <c r="D64" s="169" t="s">
        <v>26</v>
      </c>
      <c r="E64" s="171"/>
      <c r="F64" s="1807"/>
      <c r="G64" s="1807"/>
      <c r="H64" s="1809"/>
      <c r="I64" s="128"/>
      <c r="J64" s="3585"/>
      <c r="K64" s="1331" t="s">
        <v>1382</v>
      </c>
      <c r="L64" s="1331">
        <f ca="1">IF(M49&gt;2000,M49*0.5%,IF(AND(M49&gt;1000,M49&lt;=2000),M49*0.6%,IF(AND(M49&gt;500,M49&lt;=1000),M49*0.7%,IF(AND(M49&gt;200,M49&lt;=500),M49*0.8%,IF(AND(M49&gt;100,M49&lt;=200),M49*0.9%,IF(AND(M49&gt;50,M49&lt;=100),M49*1%,IF(AND(M49&gt;20,M49&lt;=50),M49*1.5%,IF(AND(M49&gt;10,M49&lt;=20),M49*2%,IF(AND(M49&gt;1,M49&lt;=10),M49*2.5%)))))))))</f>
        <v>751.45</v>
      </c>
      <c r="M64" s="301">
        <f t="shared" ref="M64:M65" ca="1" si="1">ROUND(L64,1)</f>
        <v>751.5</v>
      </c>
      <c r="N64" s="2543" t="s">
        <v>1383</v>
      </c>
      <c r="Z64" s="1751"/>
      <c r="AI64" s="1752"/>
    </row>
    <row r="65" spans="1:35" ht="14.25" customHeight="1">
      <c r="A65" s="168" t="s">
        <v>326</v>
      </c>
      <c r="B65" s="169" t="s">
        <v>1384</v>
      </c>
      <c r="C65" s="2565"/>
      <c r="D65" s="169"/>
      <c r="E65" s="171"/>
      <c r="F65" s="1807"/>
      <c r="G65" s="1807"/>
      <c r="H65" s="1809"/>
      <c r="I65" s="128"/>
      <c r="J65" s="3585"/>
      <c r="K65" s="1331" t="s">
        <v>1385</v>
      </c>
      <c r="L65" s="1331">
        <f ca="1">IF(M49&gt;1000,M49*0.1%,IF(AND(M49&gt;500,M49&lt;=1000),M49*0.5%,IF(AND(M49&gt;50,M49&lt;=500),M49*1%,IF(AND(M49&gt;1,M49&lt;=50),M49*1.5%))))</f>
        <v>150.29</v>
      </c>
      <c r="M65" s="301">
        <f t="shared" ca="1" si="1"/>
        <v>150.30000000000001</v>
      </c>
      <c r="N65" s="2543" t="s">
        <v>1383</v>
      </c>
      <c r="Z65" s="1751"/>
      <c r="AI65" s="1752"/>
    </row>
    <row r="66" spans="1:35" ht="14.25" customHeight="1">
      <c r="A66" s="172" t="s">
        <v>327</v>
      </c>
      <c r="B66" s="173" t="s">
        <v>1386</v>
      </c>
      <c r="C66" s="2566">
        <f>C75/1.05</f>
        <v>84382.857142857145</v>
      </c>
      <c r="D66" s="173" t="s">
        <v>26</v>
      </c>
      <c r="E66" s="1337" t="s">
        <v>671</v>
      </c>
      <c r="F66" s="1807"/>
      <c r="G66" s="1807"/>
      <c r="H66" s="1809"/>
      <c r="I66" s="128"/>
      <c r="J66" s="3585"/>
      <c r="K66" s="1331" t="s">
        <v>1387</v>
      </c>
      <c r="L66" s="1331">
        <f ca="1">M49*0.5%</f>
        <v>751.45</v>
      </c>
      <c r="M66" s="301">
        <f ca="1">IF(L66&gt;0.5,0.5,ROUND(L66,0))</f>
        <v>0.5</v>
      </c>
      <c r="N66" s="2543" t="s">
        <v>1388</v>
      </c>
      <c r="Z66" s="1751"/>
      <c r="AI66" s="1752"/>
    </row>
    <row r="67" spans="1:35" ht="14.25" customHeight="1">
      <c r="A67" s="172" t="s">
        <v>328</v>
      </c>
      <c r="B67" s="173" t="s">
        <v>1389</v>
      </c>
      <c r="C67" s="2567">
        <f ca="1">C63-C66</f>
        <v>-4228.8571428571449</v>
      </c>
      <c r="D67" s="169" t="s">
        <v>26</v>
      </c>
      <c r="E67" s="171"/>
      <c r="F67" s="1807"/>
      <c r="G67" s="1807"/>
      <c r="H67" s="1809"/>
      <c r="I67" s="128"/>
      <c r="J67" s="3585"/>
      <c r="K67" s="1331" t="s">
        <v>1390</v>
      </c>
      <c r="L67" s="1331">
        <f ca="1">IF(M49&gt;=10000,(8.25+(M49-10000)*0.01%),IF(AND(M49&gt;=8000,M49&lt;10000),(7.85+(M49-8000)*0.02%),IF(AND(M49&gt;=5000,M49&lt;8000),(6.65+(M49-5000)*0.04%),IF(AND(M49&gt;=2000,M49&lt;5000),(4.25+(PM49-2000)*0.08%),IF(AND(M49&gt;=1000,M49&lt;2000),(2.75+(M49-1000)*0.15%),IF(AND(M49&gt;=100,M49&lt;1000),(0.5+(M49-100)*0.25%),IF(AND(M49&gt;0,M49&lt;100),M49*0.5%)))))))</f>
        <v>22.279</v>
      </c>
      <c r="M67" s="301">
        <f ca="1">ROUND(L67*0.9,1)</f>
        <v>20.100000000000001</v>
      </c>
      <c r="N67" s="2542"/>
      <c r="Z67" s="1751"/>
      <c r="AI67" s="1752"/>
    </row>
    <row r="68" spans="1:35" ht="14.25" customHeight="1" thickBot="1">
      <c r="A68" s="175" t="s">
        <v>329</v>
      </c>
      <c r="B68" s="176" t="s">
        <v>1391</v>
      </c>
      <c r="C68" s="2568">
        <f ca="1">IF(C67&lt;=0,0,ROUND(C67*D68,0))</f>
        <v>0</v>
      </c>
      <c r="D68" s="2569">
        <f>'数据-取费表'!B41</f>
        <v>5.6000000000000001E-2</v>
      </c>
      <c r="E68" s="177"/>
      <c r="F68" s="1807"/>
      <c r="G68" s="1807"/>
      <c r="H68" s="1809"/>
      <c r="I68" s="128"/>
      <c r="J68" s="3585"/>
      <c r="K68" s="1331" t="s">
        <v>1392</v>
      </c>
      <c r="L68" s="1331">
        <f ca="1">IF(M49&gt;10000,M49*0.5%,IF(AND(M49&gt;5000,M49&lt;=10000),M49*1%,IF(AND(M49&gt;1000,M49&lt;=5000),M49*2%,IF(AND(M49&gt;200,M49&lt;=1000),M49*3%,M49*5%))))</f>
        <v>751.45</v>
      </c>
      <c r="M68" s="301">
        <f ca="1">ROUND(L68,1)</f>
        <v>751.5</v>
      </c>
      <c r="N68" s="2542"/>
      <c r="Z68" s="1751"/>
      <c r="AI68" s="1752"/>
    </row>
    <row r="69" spans="1:35" s="1771" customFormat="1" ht="16.5" customHeight="1">
      <c r="A69" s="1810"/>
      <c r="B69" s="1811"/>
      <c r="C69" s="1812"/>
      <c r="D69" s="1813"/>
      <c r="E69" s="1814"/>
      <c r="F69" s="1577"/>
      <c r="G69" s="1577"/>
      <c r="H69" s="1576"/>
      <c r="I69" s="1746"/>
      <c r="J69" s="3585"/>
      <c r="K69" s="1331" t="s">
        <v>1393</v>
      </c>
      <c r="L69" s="1331"/>
      <c r="M69" s="301">
        <f ca="1">ROUND(SUM(M63:M68),0)</f>
        <v>2425</v>
      </c>
      <c r="N69" s="2544">
        <f ca="1">M69/M49</f>
        <v>1.6135471421917624E-2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9" t="s">
        <v>1394</v>
      </c>
      <c r="B70" s="3630"/>
      <c r="C70" s="3630"/>
      <c r="D70" s="3630"/>
      <c r="E70" s="3630"/>
      <c r="F70" s="3630"/>
      <c r="G70" s="3630"/>
      <c r="H70" s="3630"/>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1" t="s">
        <v>1375</v>
      </c>
      <c r="B71" s="3622"/>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80154</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122879</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122398</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f>88602</f>
        <v>88602</v>
      </c>
      <c r="D75" s="169" t="s">
        <v>26</v>
      </c>
      <c r="E75" s="183" t="s">
        <v>1399</v>
      </c>
      <c r="F75" s="2571" t="s">
        <v>3459</v>
      </c>
      <c r="G75" s="183" t="s">
        <v>1400</v>
      </c>
      <c r="H75" s="2572">
        <v>8</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35441</v>
      </c>
      <c r="D76" s="2573">
        <v>0.05</v>
      </c>
      <c r="E76" s="3626" t="s">
        <v>1402</v>
      </c>
      <c r="F76" s="3625"/>
      <c r="G76" s="3625"/>
      <c r="H76" s="362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2574</v>
      </c>
      <c r="D77" s="2574">
        <f>'数据-取费表'!B48+'数据-取费表'!B49</f>
        <v>3.0499999999999999E-2</v>
      </c>
      <c r="E77" s="2323" t="s">
        <v>1404</v>
      </c>
      <c r="F77" s="185"/>
      <c r="G77" s="1821" t="s">
        <v>3460</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481</v>
      </c>
      <c r="D78" s="2576">
        <f>'数据-取费表'!B43</f>
        <v>6.000000000000001E-3</v>
      </c>
      <c r="E78" s="3618" t="s">
        <v>1406</v>
      </c>
      <c r="F78" s="3619"/>
      <c r="G78" s="3619"/>
      <c r="H78" s="362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-42725</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0</v>
      </c>
      <c r="D80" s="169"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0</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9" t="s">
        <v>1410</v>
      </c>
      <c r="B83" s="3630"/>
      <c r="C83" s="3630"/>
      <c r="D83" s="3630"/>
      <c r="E83" s="3630"/>
      <c r="F83" s="3630"/>
      <c r="G83" s="3630"/>
      <c r="H83" s="363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1" t="s">
        <v>1375</v>
      </c>
      <c r="B84" s="3622"/>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80154</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481</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87" t="s">
        <v>2129</v>
      </c>
      <c r="H90" s="3588"/>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618" t="s">
        <v>1419</v>
      </c>
      <c r="F91" s="3619"/>
      <c r="G91" s="361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618" t="s">
        <v>1422</v>
      </c>
      <c r="F92" s="3619"/>
      <c r="G92" s="3619"/>
      <c r="H92" s="3620"/>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481</v>
      </c>
      <c r="D93" s="2576">
        <f>'数据-取费表'!B43</f>
        <v>6.000000000000001E-3</v>
      </c>
      <c r="E93" s="3618" t="s">
        <v>1406</v>
      </c>
      <c r="F93" s="3619"/>
      <c r="G93" s="3619"/>
      <c r="H93" s="362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663" t="s">
        <v>1426</v>
      </c>
      <c r="F94" s="3664"/>
      <c r="G94" s="3664"/>
      <c r="H94" s="366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79673</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165.64033264033264</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47635</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68" t="s">
        <v>1428</v>
      </c>
      <c r="B100" s="3569"/>
      <c r="C100" s="3569"/>
      <c r="D100" s="3603"/>
      <c r="E100" s="3569" t="s">
        <v>1429</v>
      </c>
      <c r="F100" s="3569"/>
      <c r="G100" s="3569"/>
      <c r="H100" s="3603"/>
      <c r="I100" s="128"/>
    </row>
    <row r="101" spans="1:35" ht="18.75" customHeight="1">
      <c r="A101" s="3611" t="s">
        <v>1430</v>
      </c>
      <c r="B101" s="3612"/>
      <c r="C101" s="2584" t="str">
        <f>C4</f>
        <v>成本法</v>
      </c>
      <c r="D101" s="2585" t="str">
        <f>D4</f>
        <v>收益法（汇总）</v>
      </c>
      <c r="E101" s="3581" t="s">
        <v>1431</v>
      </c>
      <c r="F101" s="3582"/>
      <c r="G101" s="1826" t="s">
        <v>1432</v>
      </c>
      <c r="H101" s="2594">
        <f ca="1">H118</f>
        <v>150290</v>
      </c>
      <c r="I101" s="128"/>
    </row>
    <row r="102" spans="1:35" ht="18.75" customHeight="1">
      <c r="A102" s="3613" t="s">
        <v>1433</v>
      </c>
      <c r="B102" s="2583" t="s">
        <v>1432</v>
      </c>
      <c r="C102" s="2584">
        <f ca="1">IF(D32="楼面单价",ROUND(C19,0),C19)</f>
        <v>97313</v>
      </c>
      <c r="D102" s="2585">
        <f ca="1">IF(D32="楼面单价",ROUND(D19,0),D19)</f>
        <v>172994</v>
      </c>
      <c r="E102" s="3581"/>
      <c r="F102" s="3582"/>
      <c r="G102" s="1826" t="s">
        <v>1434</v>
      </c>
      <c r="H102" s="2554">
        <f ca="1">I118</f>
        <v>35390</v>
      </c>
      <c r="I102" s="128"/>
    </row>
    <row r="103" spans="1:35" ht="42.75" customHeight="1">
      <c r="A103" s="3613"/>
      <c r="B103" s="2583" t="s">
        <v>1434</v>
      </c>
      <c r="C103" s="2586">
        <f ca="1">C20</f>
        <v>22915</v>
      </c>
      <c r="D103" s="2587">
        <f ca="1">D20</f>
        <v>40736</v>
      </c>
      <c r="E103" s="3574" t="s">
        <v>1435</v>
      </c>
      <c r="F103" s="3575"/>
      <c r="G103" s="1827" t="s">
        <v>1436</v>
      </c>
      <c r="H103" s="2594">
        <f>IF(D36="正常操作",H104+H105+H106,H105+H106)</f>
        <v>0</v>
      </c>
      <c r="I103" s="128"/>
    </row>
    <row r="104" spans="1:35" ht="18.75" customHeight="1">
      <c r="A104" s="3613" t="s">
        <v>1437</v>
      </c>
      <c r="B104" s="2588" t="s">
        <v>1432</v>
      </c>
      <c r="C104" s="2589">
        <f ca="1">H118</f>
        <v>150290</v>
      </c>
      <c r="D104" s="2590"/>
      <c r="E104" s="1673" t="s">
        <v>1438</v>
      </c>
      <c r="F104" s="1665"/>
      <c r="G104" s="1827" t="s">
        <v>1436</v>
      </c>
      <c r="H104" s="2595">
        <f>IF(D36="同一抵押权人同一抵押物续贷",C36&amp;"（续贷，未扣减，详见特别提示）",C36)</f>
        <v>0</v>
      </c>
      <c r="I104" s="128"/>
    </row>
    <row r="105" spans="1:35" ht="18.75" customHeight="1" thickBot="1">
      <c r="A105" s="3623"/>
      <c r="B105" s="2591" t="s">
        <v>1434</v>
      </c>
      <c r="C105" s="2592">
        <f ca="1">I118</f>
        <v>35390</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614" t="str">
        <f>IF(项目基本情况!E8="已注销","——","3.房地产抵押价值")</f>
        <v>3.房地产抵押价值</v>
      </c>
      <c r="F107" s="3582"/>
      <c r="G107" s="1826" t="s">
        <v>1432</v>
      </c>
      <c r="H107" s="2594">
        <f ca="1">IF(E107="——","——",H101-H103)</f>
        <v>150290</v>
      </c>
      <c r="I107" s="128"/>
    </row>
    <row r="108" spans="1:35" ht="18.75" customHeight="1">
      <c r="A108" s="128"/>
      <c r="B108" s="128"/>
      <c r="C108" s="128"/>
      <c r="D108" s="128"/>
      <c r="E108" s="3614"/>
      <c r="F108" s="3582"/>
      <c r="G108" s="1826" t="s">
        <v>1434</v>
      </c>
      <c r="H108" s="2554">
        <f ca="1">IF(H107=H101,H102,ROUND(H107*10000/'数据-汇总表'!E3,0))</f>
        <v>35390</v>
      </c>
      <c r="I108" s="128"/>
    </row>
    <row r="109" spans="1:35" ht="18.75" customHeight="1">
      <c r="A109" s="128"/>
      <c r="B109" s="128"/>
      <c r="C109" s="128"/>
      <c r="D109" s="128"/>
      <c r="E109" s="3614" t="str">
        <f>IF(项目基本情况!E8="已注销及未注销","4.抵押担保权已注销时的房地产抵押价值",IF(项目基本情况!E8="已注销","3.抵押担保权已注销时的房地产抵押价值","——"))</f>
        <v>——</v>
      </c>
      <c r="F109" s="3582"/>
      <c r="G109" s="1826" t="s">
        <v>1432</v>
      </c>
      <c r="H109" s="2597" t="str">
        <f>IF(E109="——","——",H101-H105-H106)</f>
        <v>——</v>
      </c>
      <c r="I109" s="128"/>
    </row>
    <row r="110" spans="1:35" ht="18.75" customHeight="1">
      <c r="A110" s="128"/>
      <c r="B110" s="128"/>
      <c r="C110" s="128"/>
      <c r="D110" s="128"/>
      <c r="E110" s="3614"/>
      <c r="F110" s="3582"/>
      <c r="G110" s="1826" t="s">
        <v>1434</v>
      </c>
      <c r="H110" s="2554" t="str">
        <f>IF(H109="——","——",ROUND(H109*10000/'数据-汇总表'!E3,0))</f>
        <v>——</v>
      </c>
      <c r="I110" s="128"/>
    </row>
    <row r="111" spans="1:35" ht="18.75" customHeight="1">
      <c r="A111" s="128"/>
      <c r="B111" s="128"/>
      <c r="C111" s="128"/>
      <c r="D111" s="128"/>
      <c r="E111" s="3615" t="str">
        <f>IF(项目基本情况!E9="抵押净值",IF(OR(项目基本情况!E8="已注销",项目基本情况!E8="房地产抵押价值"),"4.抵押净值","5.抵押净值"),"——")</f>
        <v>4.抵押净值</v>
      </c>
      <c r="F111" s="3601"/>
      <c r="G111" s="1826" t="s">
        <v>1432</v>
      </c>
      <c r="H111" s="2594">
        <f ca="1">IF(E111="——","——",N59)</f>
        <v>150248</v>
      </c>
      <c r="I111" s="128"/>
    </row>
    <row r="112" spans="1:35" ht="18.75" customHeight="1" thickBot="1">
      <c r="A112" s="128"/>
      <c r="B112" s="128"/>
      <c r="C112" s="128"/>
      <c r="D112" s="128"/>
      <c r="E112" s="3616"/>
      <c r="F112" s="3617"/>
      <c r="G112" s="1829" t="s">
        <v>1434</v>
      </c>
      <c r="H112" s="2598">
        <f ca="1">IF(E111="——","——",N61)</f>
        <v>35380</v>
      </c>
      <c r="I112" s="128"/>
    </row>
    <row r="113" spans="1:27" ht="18.75" customHeight="1">
      <c r="A113" s="128"/>
      <c r="B113" s="128"/>
      <c r="C113" s="128"/>
      <c r="D113" s="128"/>
      <c r="E113" s="3624" t="s">
        <v>1440</v>
      </c>
      <c r="F113" s="3624"/>
      <c r="G113" s="3624"/>
      <c r="H113" s="3624"/>
      <c r="I113" s="128"/>
    </row>
    <row r="114" spans="1:27" ht="3.75" customHeight="1">
      <c r="A114" s="1746"/>
      <c r="B114" s="1746"/>
      <c r="C114" s="1746"/>
      <c r="D114" s="1746"/>
      <c r="E114" s="1808"/>
      <c r="F114" s="1808"/>
      <c r="G114" s="1808"/>
      <c r="H114" s="1808"/>
      <c r="I114" s="1746"/>
    </row>
    <row r="115" spans="1:27" ht="18.75" customHeight="1">
      <c r="A115" s="3632" t="s">
        <v>1442</v>
      </c>
      <c r="B115" s="3633"/>
      <c r="C115" s="3633"/>
      <c r="D115" s="3633"/>
      <c r="E115" s="3633"/>
      <c r="F115" s="3633"/>
      <c r="G115" s="3633"/>
      <c r="H115" s="3633"/>
      <c r="I115" s="3634"/>
    </row>
    <row r="116" spans="1:27" ht="27" customHeight="1">
      <c r="A116" s="3589" t="s">
        <v>1443</v>
      </c>
      <c r="B116" s="3593" t="s">
        <v>1444</v>
      </c>
      <c r="C116" s="3593" t="s">
        <v>1445</v>
      </c>
      <c r="D116" s="3599" t="s">
        <v>1446</v>
      </c>
      <c r="E116" s="3600"/>
      <c r="F116" s="3631" t="s">
        <v>1447</v>
      </c>
      <c r="G116" s="3631"/>
      <c r="H116" s="3589" t="s">
        <v>1448</v>
      </c>
      <c r="I116" s="3589"/>
    </row>
    <row r="117" spans="1:27" ht="18.75" customHeight="1">
      <c r="A117" s="3589"/>
      <c r="B117" s="3594"/>
      <c r="C117" s="3594"/>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42466.65</v>
      </c>
      <c r="C118" s="2328">
        <f>M19</f>
        <v>6799.81</v>
      </c>
      <c r="D118" s="2328">
        <f ca="1">ROUND(IF(D32="总价",C34,E118*B118/10000),0)</f>
        <v>99492</v>
      </c>
      <c r="E118" s="2328">
        <f ca="1">ROUND(IF(C33="自定义",IF(D32="楼面单价",C34,D118*10000/B118),I118-G118),0)</f>
        <v>23428</v>
      </c>
      <c r="F118" s="2328">
        <f ca="1">ROUND(IF(D32="总价",C35,G118*B118/10000),0)</f>
        <v>50798</v>
      </c>
      <c r="G118" s="2328">
        <f ca="1">ROUND(IF(D32="楼面单价",C35,F118*10000/B118),0)</f>
        <v>11962</v>
      </c>
      <c r="H118" s="2328">
        <f ca="1">ROUND(IF(D32="总价",C32,I118*B118/10000),0)</f>
        <v>150290</v>
      </c>
      <c r="I118" s="2328">
        <f ca="1">ROUND(IF(D32="楼面单价",C32,H118*10000/B118),0)</f>
        <v>35390</v>
      </c>
    </row>
    <row r="119" spans="1:27" ht="18.75" customHeight="1">
      <c r="A119" s="3589" t="s">
        <v>1452</v>
      </c>
      <c r="B119" s="3589"/>
      <c r="C119" s="3589"/>
      <c r="D119" s="3595" t="str">
        <f ca="1">NUMBERSTRING(INT(D118*10000),2)&amp;"元整"</f>
        <v>玖亿玖仟肆佰玖拾贰万元整</v>
      </c>
      <c r="E119" s="3596"/>
      <c r="F119" s="3595" t="str">
        <f ca="1">NUMBERSTRING(INT(F118*10000),2)&amp;"元整"</f>
        <v>伍亿零柒佰玖拾捌万元整</v>
      </c>
      <c r="G119" s="3596"/>
      <c r="H119" s="3595" t="str">
        <f ca="1">NUMBERSTRING(INT(H118*10000),2)&amp;"元整"</f>
        <v>壹拾伍亿零贰佰玖拾万元整</v>
      </c>
      <c r="I119" s="3596"/>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5" t="s">
        <v>1452</v>
      </c>
      <c r="B121" s="3597"/>
      <c r="C121" s="3596"/>
      <c r="D121" s="3595" t="str">
        <f>IF(D120=0,"零元整",NUMBERSTRING(INT(D120*10000),2)&amp;"元整")</f>
        <v>零元整</v>
      </c>
      <c r="E121" s="3597"/>
      <c r="F121" s="3597"/>
      <c r="G121" s="3597"/>
      <c r="H121" s="3597"/>
      <c r="I121" s="3596"/>
      <c r="AA121" s="724"/>
    </row>
    <row r="122" spans="1:27" ht="18.75" customHeight="1">
      <c r="A122" s="3601" t="str">
        <f>IF(项目基本情况!B9="房地产市场价值","",MID(E107,3,LEN(E107)-2))</f>
        <v>房地产抵押价值</v>
      </c>
      <c r="B122" s="3601"/>
      <c r="C122" s="3601"/>
      <c r="D122" s="3590">
        <f ca="1">H107</f>
        <v>150290</v>
      </c>
      <c r="E122" s="3591"/>
      <c r="F122" s="3591"/>
      <c r="G122" s="3591"/>
      <c r="H122" s="3591"/>
      <c r="I122" s="3592"/>
      <c r="AA122" s="724"/>
    </row>
    <row r="123" spans="1:27" ht="18.75" customHeight="1">
      <c r="A123" s="3589" t="s">
        <v>1452</v>
      </c>
      <c r="B123" s="3589"/>
      <c r="C123" s="3589"/>
      <c r="D123" s="3595" t="str">
        <f ca="1">NUMBERSTRING(INT(D122*10000),2)&amp;"元整"</f>
        <v>壹拾伍亿零贰佰玖拾万元整</v>
      </c>
      <c r="E123" s="3597"/>
      <c r="F123" s="3597"/>
      <c r="G123" s="3597"/>
      <c r="H123" s="3597"/>
      <c r="I123" s="3596"/>
      <c r="AA123" s="724"/>
    </row>
    <row r="124" spans="1:27" ht="18.75" customHeight="1">
      <c r="A124" s="3601" t="str">
        <f>IF(项目基本情况!B9="房地产市场价值","",MID(E109,3,LEN(E109)-2))</f>
        <v/>
      </c>
      <c r="B124" s="3601"/>
      <c r="C124" s="3601"/>
      <c r="D124" s="3590" t="str">
        <f>H109</f>
        <v>——</v>
      </c>
      <c r="E124" s="3591"/>
      <c r="F124" s="3591"/>
      <c r="G124" s="3591"/>
      <c r="H124" s="3591"/>
      <c r="I124" s="3592"/>
      <c r="AA124" s="724"/>
    </row>
    <row r="125" spans="1:27" ht="18.75" customHeight="1">
      <c r="A125" s="3589" t="s">
        <v>1452</v>
      </c>
      <c r="B125" s="3589"/>
      <c r="C125" s="3589"/>
      <c r="D125" s="3595" t="e">
        <f>NUMBERSTRING(INT(D124*10000),2)&amp;"元整"</f>
        <v>#VALUE!</v>
      </c>
      <c r="E125" s="3597"/>
      <c r="F125" s="3597"/>
      <c r="G125" s="3597"/>
      <c r="H125" s="3597"/>
      <c r="I125" s="3596"/>
      <c r="AA125" s="724"/>
    </row>
    <row r="126" spans="1:27" ht="18.75" customHeight="1">
      <c r="A126" s="3601" t="str">
        <f>IF(项目基本情况!B9="房地产市场价值","",MID(E111,3,LEN(E111)-2))</f>
        <v>抵押净值</v>
      </c>
      <c r="B126" s="3601"/>
      <c r="C126" s="3601"/>
      <c r="D126" s="3590">
        <f ca="1">H111</f>
        <v>150248</v>
      </c>
      <c r="E126" s="3591"/>
      <c r="F126" s="3591"/>
      <c r="G126" s="3591"/>
      <c r="H126" s="3591"/>
      <c r="I126" s="3592"/>
      <c r="AA126" s="724"/>
    </row>
    <row r="127" spans="1:27" ht="18.75" customHeight="1">
      <c r="A127" s="3589" t="s">
        <v>1452</v>
      </c>
      <c r="B127" s="3589"/>
      <c r="C127" s="3589"/>
      <c r="D127" s="3595" t="str">
        <f ca="1">NUMBERSTRING(INT(D126*10000),2)&amp;"元整"</f>
        <v>壹拾伍亿零贰佰肆拾捌万元整</v>
      </c>
      <c r="E127" s="3597"/>
      <c r="F127" s="3597"/>
      <c r="G127" s="3597"/>
      <c r="H127" s="3597"/>
      <c r="I127" s="3596"/>
      <c r="AA127" s="724"/>
    </row>
    <row r="128" spans="1:27" ht="21.75" customHeight="1">
      <c r="A128" s="3598" t="s">
        <v>1453</v>
      </c>
      <c r="B128" s="3598"/>
      <c r="C128" s="3598"/>
      <c r="D128" s="3598"/>
      <c r="E128" s="3598"/>
      <c r="F128" s="3598"/>
      <c r="G128" s="3598"/>
      <c r="H128" s="3598"/>
      <c r="I128" s="3598"/>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3" t="str">
        <f>项目基本情况!B1</f>
        <v>北京市房地产抵押价值预评估</v>
      </c>
      <c r="C37" s="3483"/>
      <c r="D37" s="3483"/>
      <c r="E37" s="3483"/>
      <c r="F37" s="3483"/>
      <c r="G37" s="3483"/>
      <c r="H37" s="3483"/>
      <c r="I37" s="348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50" sqref="M50"/>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8</v>
      </c>
    </row>
    <row r="2" spans="1:9" s="199" customFormat="1" ht="18" customHeight="1">
      <c r="A2" s="200" t="s">
        <v>1462</v>
      </c>
      <c r="B2" s="201">
        <f ca="1">IF(D2="——",C52,C52-E2)</f>
        <v>97313</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22915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45929</v>
      </c>
      <c r="D5" s="210" t="s">
        <v>1469</v>
      </c>
      <c r="E5" s="211" t="s">
        <v>1470</v>
      </c>
      <c r="F5" s="211" t="s">
        <v>1471</v>
      </c>
      <c r="G5" s="212"/>
    </row>
    <row r="6" spans="1:9" s="213" customFormat="1" ht="13.5" customHeight="1">
      <c r="A6" s="777" t="s">
        <v>1472</v>
      </c>
      <c r="B6" s="214" t="s">
        <v>1473</v>
      </c>
      <c r="C6" s="215">
        <f>基准地价修正!B2</f>
        <v>43746</v>
      </c>
      <c r="D6" s="216"/>
      <c r="E6" s="217"/>
      <c r="F6" s="217"/>
      <c r="G6" s="218"/>
    </row>
    <row r="7" spans="1:9" s="213" customFormat="1" ht="13.5" customHeight="1">
      <c r="A7" s="777" t="s">
        <v>1474</v>
      </c>
      <c r="B7" s="214" t="s">
        <v>1475</v>
      </c>
      <c r="C7" s="219">
        <f>ROUND(C6*F7,0)</f>
        <v>1334</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849</v>
      </c>
      <c r="D8" s="221"/>
      <c r="E8" s="219"/>
      <c r="F8" s="220"/>
      <c r="G8" s="1855" t="s">
        <v>3442</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3443</v>
      </c>
      <c r="H9" s="1136"/>
      <c r="I9" s="1857" t="s">
        <v>1479</v>
      </c>
    </row>
    <row r="10" spans="1:9" s="213" customFormat="1" ht="13.5" customHeight="1">
      <c r="A10" s="778" t="s">
        <v>356</v>
      </c>
      <c r="B10" s="223" t="s">
        <v>1480</v>
      </c>
      <c r="C10" s="224">
        <f ca="1">ROUND(D10*E10/10000,0)</f>
        <v>849</v>
      </c>
      <c r="D10" s="844">
        <f ca="1">IF(B1="",'数据-汇总表'!E6,IF(INDIRECT("'数据-取费表'!c"&amp;$G$1)="住宅",INDIRECT("'数据-取费表'!s"&amp;$G$1),INDIRECT("'数据-取费表'!k"&amp;$G$1)+INDIRECT("'数据-取费表'!s"&amp;$G$1)))</f>
        <v>42466.65</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42466.65</v>
      </c>
      <c r="E19" s="210">
        <f>'数据-取费表'!B31</f>
        <v>200</v>
      </c>
      <c r="F19" s="230"/>
      <c r="G19" s="1855" t="s">
        <v>3444</v>
      </c>
    </row>
    <row r="20" spans="1:7" s="213" customFormat="1" ht="13.5" customHeight="1">
      <c r="A20" s="254" t="s">
        <v>1493</v>
      </c>
      <c r="B20" s="209" t="s">
        <v>1494</v>
      </c>
      <c r="C20" s="231">
        <f ca="1">ROUND((C5+C19)*F20,0)</f>
        <v>1148</v>
      </c>
      <c r="D20" s="231"/>
      <c r="E20" s="231"/>
      <c r="F20" s="232">
        <f>'数据-取费表'!B37</f>
        <v>2.5000000000000001E-2</v>
      </c>
      <c r="G20" s="233" t="s">
        <v>1495</v>
      </c>
    </row>
    <row r="21" spans="1:7" s="213" customFormat="1" ht="13.5" customHeight="1">
      <c r="A21" s="254" t="s">
        <v>1496</v>
      </c>
      <c r="B21" s="209" t="s">
        <v>1497</v>
      </c>
      <c r="C21" s="234">
        <f>F21</f>
        <v>2.5000000000000001E-2</v>
      </c>
      <c r="D21" s="235" t="s">
        <v>1498</v>
      </c>
      <c r="E21" s="231"/>
      <c r="F21" s="232">
        <f>'数据-取费表'!B38</f>
        <v>2.5000000000000001E-2</v>
      </c>
      <c r="G21" s="233" t="s">
        <v>1499</v>
      </c>
    </row>
    <row r="22" spans="1:7" s="213" customFormat="1" ht="13.5" customHeight="1">
      <c r="A22" s="254" t="s">
        <v>1500</v>
      </c>
      <c r="B22" s="209" t="s">
        <v>1501</v>
      </c>
      <c r="C22" s="1103">
        <f ca="1">ROUND(SUM(C23:C25),0)</f>
        <v>4459</v>
      </c>
      <c r="D22" s="234">
        <f ca="1">C26</f>
        <v>1.1999999999999999E-3</v>
      </c>
      <c r="E22" s="235" t="s">
        <v>1498</v>
      </c>
      <c r="F22" s="236">
        <f ca="1">'数据-取费表'!B40</f>
        <v>3.1E-2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4405</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54</v>
      </c>
      <c r="D25" s="237"/>
      <c r="E25" s="240"/>
      <c r="F25" s="238"/>
      <c r="G25" s="241" t="s">
        <v>1510</v>
      </c>
    </row>
    <row r="26" spans="1:7" s="213" customFormat="1">
      <c r="A26" s="779" t="s">
        <v>350</v>
      </c>
      <c r="B26" s="214" t="s">
        <v>1511</v>
      </c>
      <c r="C26" s="237">
        <f ca="1">ROUND(IF('数据-取费表'!B22&lt;=1,F21*F22*'数据-取费表'!B23/2,F21*(POWER((1+F22),'数据-取费表'!B23/2)-1)),4)</f>
        <v>1.1999999999999999E-3</v>
      </c>
      <c r="D26" s="237"/>
      <c r="E26" s="240"/>
      <c r="F26" s="238"/>
      <c r="G26" s="242"/>
    </row>
    <row r="27" spans="1:7" s="213" customFormat="1" ht="24.75">
      <c r="A27" s="254" t="s">
        <v>1512</v>
      </c>
      <c r="B27" s="243" t="s">
        <v>1513</v>
      </c>
      <c r="C27" s="244">
        <f ca="1">C28</f>
        <v>7532</v>
      </c>
      <c r="D27" s="234">
        <f ca="1">C29</f>
        <v>4.0000000000000001E-3</v>
      </c>
      <c r="E27" s="235" t="s">
        <v>1514</v>
      </c>
      <c r="F27" s="245">
        <f ca="1">IF(B1="",'数据-取费表'!Q16,INDIRECT("'数据-取费表'!q"&amp;$G$1))</f>
        <v>0.16</v>
      </c>
      <c r="G27" s="246" t="s">
        <v>1515</v>
      </c>
    </row>
    <row r="28" spans="1:7" s="213" customFormat="1" ht="13.5" customHeight="1">
      <c r="A28" s="779" t="s">
        <v>346</v>
      </c>
      <c r="B28" s="247" t="s">
        <v>1516</v>
      </c>
      <c r="C28" s="248">
        <f ca="1">ROUND((C5+C19+C20)*F27*'数据-取费表'!B21/'数据-取费表'!B20,0)</f>
        <v>7532</v>
      </c>
      <c r="D28" s="234"/>
      <c r="E28" s="235"/>
      <c r="F28" s="245"/>
      <c r="G28" s="246"/>
    </row>
    <row r="29" spans="1:7" s="213" customFormat="1" ht="13.5" customHeight="1">
      <c r="A29" s="779"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64450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27985</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25480</v>
      </c>
      <c r="D34" s="216"/>
      <c r="E34" s="219"/>
      <c r="F34" s="256">
        <f ca="1">IF('数据-取费表'!B24=0,1,IF(B1="",'数据-取费表'!N16,INDIRECT("'数据-取费表'!n"&amp;$G$1)))</f>
        <v>1</v>
      </c>
      <c r="G34" s="218" t="s">
        <v>1526</v>
      </c>
    </row>
    <row r="35" spans="1:7" ht="13.5" customHeight="1">
      <c r="A35" s="779" t="s">
        <v>351</v>
      </c>
      <c r="B35" s="214" t="s">
        <v>1527</v>
      </c>
      <c r="C35" s="219">
        <f ca="1">ROUND(C34*F35,0)</f>
        <v>1274</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849</v>
      </c>
      <c r="D37" s="216">
        <f ca="1">D19</f>
        <v>42466.65</v>
      </c>
      <c r="E37" s="248">
        <f>'数据-取费表'!B35</f>
        <v>200</v>
      </c>
      <c r="F37" s="258"/>
      <c r="G37" s="260" t="s">
        <v>1532</v>
      </c>
    </row>
    <row r="38" spans="1:7" ht="13.5" customHeight="1">
      <c r="A38" s="779" t="s">
        <v>354</v>
      </c>
      <c r="B38" s="214" t="s">
        <v>1533</v>
      </c>
      <c r="C38" s="219">
        <f ca="1">ROUND(C34*F38,0)</f>
        <v>382</v>
      </c>
      <c r="D38" s="219"/>
      <c r="E38" s="219"/>
      <c r="F38" s="258">
        <f>'数据-取费表'!B36</f>
        <v>1.4999999999999999E-2</v>
      </c>
      <c r="G38" s="218" t="s">
        <v>1528</v>
      </c>
    </row>
    <row r="39" spans="1:7" s="213" customFormat="1" ht="13.5" customHeight="1">
      <c r="A39" s="254" t="s">
        <v>1534</v>
      </c>
      <c r="B39" s="209" t="s">
        <v>1535</v>
      </c>
      <c r="C39" s="231">
        <f ca="1">ROUND(C33*F20,0)</f>
        <v>700</v>
      </c>
      <c r="D39" s="231"/>
      <c r="E39" s="231"/>
      <c r="F39" s="232">
        <f>F20</f>
        <v>2.5000000000000001E-2</v>
      </c>
      <c r="G39" s="233" t="s">
        <v>1536</v>
      </c>
    </row>
    <row r="40" spans="1:7" s="213" customFormat="1" ht="13.5" customHeight="1">
      <c r="A40" s="254" t="s">
        <v>1537</v>
      </c>
      <c r="B40" s="209" t="s">
        <v>1538</v>
      </c>
      <c r="C40" s="1326">
        <f>F21</f>
        <v>2.5000000000000001E-2</v>
      </c>
      <c r="D40" s="235" t="s">
        <v>1539</v>
      </c>
      <c r="E40" s="231"/>
      <c r="F40" s="232">
        <f>F21</f>
        <v>2.5000000000000001E-2</v>
      </c>
      <c r="G40" s="233" t="s">
        <v>1540</v>
      </c>
    </row>
    <row r="41" spans="1:7" s="213" customFormat="1" ht="13.5" customHeight="1">
      <c r="A41" s="254" t="s">
        <v>1541</v>
      </c>
      <c r="B41" s="209" t="s">
        <v>1542</v>
      </c>
      <c r="C41" s="231">
        <f ca="1">ROUND(SUM(C42:C43),0)</f>
        <v>1344</v>
      </c>
      <c r="D41" s="234">
        <f ca="1">C44</f>
        <v>1.1999999999999999E-3</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1311</v>
      </c>
      <c r="D42" s="237"/>
      <c r="E42" s="237"/>
      <c r="F42" s="238"/>
      <c r="G42" s="3668" t="s">
        <v>1544</v>
      </c>
    </row>
    <row r="43" spans="1:7" ht="13.5" customHeight="1">
      <c r="A43" s="779" t="s">
        <v>347</v>
      </c>
      <c r="B43" s="214" t="s">
        <v>1545</v>
      </c>
      <c r="C43" s="237">
        <f ca="1">ROUND(IF('数据-取费表'!B22&lt;=1,C39*F22*'数据-取费表'!B21/2,C39*(POWER((1+F22),'数据-取费表'!B21/2)-1)),0)</f>
        <v>33</v>
      </c>
      <c r="D43" s="237"/>
      <c r="E43" s="237"/>
      <c r="F43" s="238"/>
      <c r="G43" s="3669"/>
    </row>
    <row r="44" spans="1:7" ht="13.5" customHeight="1">
      <c r="A44" s="779" t="s">
        <v>348</v>
      </c>
      <c r="B44" s="214" t="s">
        <v>1546</v>
      </c>
      <c r="C44" s="237">
        <f ca="1">ROUND(IF('数据-取费表'!B22&lt;=1,C40*F22*'数据-取费表'!B21/2,C40*(POWER((1+F22),'数据-取费表'!B21/2)-1)),4)</f>
        <v>1.1999999999999999E-3</v>
      </c>
      <c r="D44" s="237"/>
      <c r="E44" s="237"/>
      <c r="F44" s="238"/>
      <c r="G44" s="3670"/>
    </row>
    <row r="45" spans="1:7" s="213" customFormat="1" ht="13.5" customHeight="1">
      <c r="A45" s="254" t="s">
        <v>1547</v>
      </c>
      <c r="B45" s="243" t="s">
        <v>1513</v>
      </c>
      <c r="C45" s="244">
        <f ca="1">C46</f>
        <v>4590</v>
      </c>
      <c r="D45" s="234">
        <f ca="1">C47</f>
        <v>4.0000000000000001E-3</v>
      </c>
      <c r="E45" s="235" t="s">
        <v>1539</v>
      </c>
      <c r="F45" s="245">
        <f ca="1">F27</f>
        <v>0.16</v>
      </c>
      <c r="G45" s="246" t="s">
        <v>1548</v>
      </c>
    </row>
    <row r="46" spans="1:7" s="213" customFormat="1" ht="13.5" customHeight="1">
      <c r="A46" s="779" t="s">
        <v>346</v>
      </c>
      <c r="B46" s="247" t="s">
        <v>1549</v>
      </c>
      <c r="C46" s="248">
        <f ca="1">ROUND((C33+C39)*F27,0)</f>
        <v>4590</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37773</v>
      </c>
      <c r="D49" s="231"/>
      <c r="E49" s="231"/>
      <c r="F49" s="263"/>
      <c r="G49" s="233" t="s">
        <v>1554</v>
      </c>
    </row>
    <row r="50" spans="1:7" s="257" customFormat="1" ht="24">
      <c r="A50" s="254" t="s">
        <v>1555</v>
      </c>
      <c r="B50" s="209" t="s">
        <v>1556</v>
      </c>
      <c r="C50" s="231"/>
      <c r="D50" s="231"/>
      <c r="E50" s="231"/>
      <c r="F50" s="263">
        <f>IF('数据-取费表'!B24=0,'数据-取费表'!N16,1)</f>
        <v>0.87</v>
      </c>
      <c r="G50" s="246" t="s">
        <v>1557</v>
      </c>
    </row>
    <row r="51" spans="1:7" ht="16.5" customHeight="1">
      <c r="A51" s="254" t="s">
        <v>1558</v>
      </c>
      <c r="B51" s="209" t="s">
        <v>1559</v>
      </c>
      <c r="C51" s="231">
        <f ca="1">ROUND(C49*F50,0)</f>
        <v>32863</v>
      </c>
      <c r="D51" s="231"/>
      <c r="E51" s="231"/>
      <c r="F51" s="263"/>
      <c r="G51" s="233" t="s">
        <v>1560</v>
      </c>
    </row>
    <row r="52" spans="1:7" s="207" customFormat="1" ht="16.5" thickBot="1">
      <c r="A52" s="264" t="s">
        <v>1561</v>
      </c>
      <c r="B52" s="265"/>
      <c r="C52" s="266">
        <f ca="1">C31+C51</f>
        <v>97313</v>
      </c>
      <c r="D52" s="265"/>
      <c r="E52" s="265"/>
      <c r="F52" s="265"/>
      <c r="G52" s="267"/>
    </row>
    <row r="55" spans="1:7" ht="15">
      <c r="B55" s="269" t="s">
        <v>1562</v>
      </c>
      <c r="C55" s="270"/>
    </row>
    <row r="56" spans="1:7">
      <c r="B56" s="272" t="s">
        <v>802</v>
      </c>
      <c r="C56" s="274">
        <f ca="1">1-C57</f>
        <v>0.66199999999999992</v>
      </c>
    </row>
    <row r="57" spans="1:7">
      <c r="B57" s="272" t="s">
        <v>803</v>
      </c>
      <c r="C57" s="273">
        <f ca="1">ROUND(C51/C52,3)</f>
        <v>0.33800000000000002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61" sqref="G6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8</v>
      </c>
      <c r="H1" s="1060" t="str">
        <f>IF(ISERROR(FIND("住宅",B1)),"非住宅","住宅")</f>
        <v>非住宅</v>
      </c>
    </row>
    <row r="2" spans="1:8" s="199" customFormat="1" ht="18" customHeight="1">
      <c r="A2" s="200" t="s">
        <v>1462</v>
      </c>
      <c r="B2" s="3423">
        <f ca="1">ROUND(IF(D2="——",C52/10000,C52/10000-E2),4)</f>
        <v>35246.150999999998</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8300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8493330</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8493330</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8493330</v>
      </c>
      <c r="D10" s="844">
        <f ca="1">IF(B1="",'数据-汇总表'!E6,IF(INDIRECT("'数据-取费表'!c"&amp;$G$1)="住宅",INDIRECT("'数据-取费表'!s"&amp;$G$1),INDIRECT("'数据-取费表'!k"&amp;$G$1)+INDIRECT("'数据-取费表'!s"&amp;$G$1)))</f>
        <v>42466.65</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8493330</v>
      </c>
      <c r="D19" s="848">
        <f ca="1">D9+D10</f>
        <v>42466.65</v>
      </c>
      <c r="E19" s="210">
        <f>'数据-取费表'!B31</f>
        <v>200</v>
      </c>
      <c r="F19" s="230"/>
      <c r="G19" s="1855"/>
    </row>
    <row r="20" spans="1:7" s="213" customFormat="1" ht="13.5" customHeight="1">
      <c r="A20" s="254" t="s">
        <v>1574</v>
      </c>
      <c r="B20" s="209" t="s">
        <v>1575</v>
      </c>
      <c r="C20" s="231">
        <f ca="1">ROUND((C5+C19)*F20,0)</f>
        <v>424667</v>
      </c>
      <c r="D20" s="231"/>
      <c r="E20" s="231"/>
      <c r="F20" s="232">
        <f>'数据-取费表'!B37</f>
        <v>2.5000000000000001E-2</v>
      </c>
      <c r="G20" s="233" t="s">
        <v>1576</v>
      </c>
    </row>
    <row r="21" spans="1:7" s="213" customFormat="1" ht="13.5" customHeight="1">
      <c r="A21" s="254" t="s">
        <v>1577</v>
      </c>
      <c r="B21" s="209" t="s">
        <v>1578</v>
      </c>
      <c r="C21" s="234">
        <f>F21</f>
        <v>2.5000000000000001E-2</v>
      </c>
      <c r="D21" s="235" t="s">
        <v>1579</v>
      </c>
      <c r="E21" s="231"/>
      <c r="F21" s="232">
        <f>'数据-取费表'!B38</f>
        <v>2.5000000000000001E-2</v>
      </c>
      <c r="G21" s="233" t="s">
        <v>1580</v>
      </c>
    </row>
    <row r="22" spans="1:7" s="213" customFormat="1" ht="13.5" customHeight="1">
      <c r="A22" s="254" t="s">
        <v>1581</v>
      </c>
      <c r="B22" s="209" t="s">
        <v>1582</v>
      </c>
      <c r="C22" s="1126">
        <f ca="1">ROUND(SUM(C23:C25),0)</f>
        <v>1649137</v>
      </c>
      <c r="D22" s="234">
        <f ca="1">C26</f>
        <v>1.1999999999999999E-3</v>
      </c>
      <c r="E22" s="235" t="s">
        <v>1579</v>
      </c>
      <c r="F22" s="236">
        <f ca="1">'数据-取费表'!B40</f>
        <v>3.1E-2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814619</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814619</v>
      </c>
      <c r="D24" s="237"/>
      <c r="E24" s="237"/>
      <c r="F24" s="238"/>
      <c r="G24" s="239" t="s">
        <v>1586</v>
      </c>
    </row>
    <row r="25" spans="1:7" s="213" customFormat="1" ht="24">
      <c r="A25" s="779" t="s">
        <v>1476</v>
      </c>
      <c r="B25" s="214" t="s">
        <v>1587</v>
      </c>
      <c r="C25" s="1127">
        <f ca="1">ROUND(IF('数据-取费表'!B22&lt;=1,C20*F22*'数据-取费表'!B22/2,C20*(POWER((1+F22),'数据-取费表'!B22/2)-1)),0)</f>
        <v>19899</v>
      </c>
      <c r="D25" s="237"/>
      <c r="E25" s="240"/>
      <c r="F25" s="238"/>
      <c r="G25" s="241" t="s">
        <v>1588</v>
      </c>
    </row>
    <row r="26" spans="1:7" s="213" customFormat="1">
      <c r="A26" s="779" t="s">
        <v>350</v>
      </c>
      <c r="B26" s="214" t="s">
        <v>1511</v>
      </c>
      <c r="C26" s="237">
        <f ca="1">ROUND(IF('数据-取费表'!B22&lt;=1,F21*F22*'数据-取费表'!B22/2,F21*(POWER((1+F22),'数据-取费表'!B22/2)-1)),4)</f>
        <v>1.1999999999999999E-3</v>
      </c>
      <c r="D26" s="237"/>
      <c r="E26" s="240"/>
      <c r="F26" s="238"/>
      <c r="G26" s="242"/>
    </row>
    <row r="27" spans="1:7" s="213" customFormat="1" ht="24.75">
      <c r="A27" s="254" t="s">
        <v>1512</v>
      </c>
      <c r="B27" s="243" t="s">
        <v>1513</v>
      </c>
      <c r="C27" s="244">
        <f ca="1">C28</f>
        <v>2785812</v>
      </c>
      <c r="D27" s="234">
        <f ca="1">C29</f>
        <v>4.0000000000000001E-3</v>
      </c>
      <c r="E27" s="235" t="s">
        <v>1514</v>
      </c>
      <c r="F27" s="245">
        <f ca="1">IF(B1="",'数据-取费表'!Q16,INDIRECT("'数据-取费表'!q"&amp;$G$1))</f>
        <v>0.16</v>
      </c>
      <c r="G27" s="246" t="s">
        <v>1515</v>
      </c>
    </row>
    <row r="28" spans="1:7" s="213" customFormat="1" ht="13.5" customHeight="1">
      <c r="A28" s="779" t="s">
        <v>346</v>
      </c>
      <c r="B28" s="247" t="s">
        <v>1516</v>
      </c>
      <c r="C28" s="248">
        <f ca="1">ROUND((C5+C19+C20)*F27,0)</f>
        <v>2785812</v>
      </c>
      <c r="D28" s="234"/>
      <c r="E28" s="235"/>
      <c r="F28" s="245"/>
      <c r="G28" s="246"/>
    </row>
    <row r="29" spans="1:7" s="213" customFormat="1" ht="13.5" customHeight="1">
      <c r="A29" s="779"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23836635</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279855224</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254799900</v>
      </c>
      <c r="D34" s="216"/>
      <c r="E34" s="219"/>
      <c r="F34" s="256"/>
      <c r="G34" s="218"/>
    </row>
    <row r="35" spans="1:7" ht="13.5" customHeight="1">
      <c r="A35" s="779" t="s">
        <v>351</v>
      </c>
      <c r="B35" s="214" t="s">
        <v>1527</v>
      </c>
      <c r="C35" s="219">
        <f ca="1">ROUND(C34*F35,0)</f>
        <v>12739995</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8493330</v>
      </c>
      <c r="D37" s="216">
        <f ca="1">D19</f>
        <v>42466.65</v>
      </c>
      <c r="E37" s="248">
        <f>'数据-取费表'!B35</f>
        <v>200</v>
      </c>
      <c r="F37" s="258"/>
      <c r="G37" s="260"/>
    </row>
    <row r="38" spans="1:7" ht="13.5" customHeight="1">
      <c r="A38" s="779" t="s">
        <v>354</v>
      </c>
      <c r="B38" s="214" t="s">
        <v>1533</v>
      </c>
      <c r="C38" s="219">
        <f ca="1">ROUND(C34*F38,0)</f>
        <v>3821999</v>
      </c>
      <c r="D38" s="219"/>
      <c r="E38" s="219"/>
      <c r="F38" s="258">
        <f>'数据-取费表'!B36</f>
        <v>1.4999999999999999E-2</v>
      </c>
      <c r="G38" s="218" t="s">
        <v>1528</v>
      </c>
    </row>
    <row r="39" spans="1:7" s="213" customFormat="1" ht="13.5" customHeight="1">
      <c r="A39" s="254" t="s">
        <v>1534</v>
      </c>
      <c r="B39" s="209" t="s">
        <v>1535</v>
      </c>
      <c r="C39" s="231">
        <f ca="1">ROUND(C33*F20,0)</f>
        <v>6996381</v>
      </c>
      <c r="D39" s="231"/>
      <c r="E39" s="231"/>
      <c r="F39" s="232">
        <f>F20</f>
        <v>2.5000000000000001E-2</v>
      </c>
      <c r="G39" s="233" t="s">
        <v>1536</v>
      </c>
    </row>
    <row r="40" spans="1:7" s="213" customFormat="1" ht="13.5" customHeight="1">
      <c r="A40" s="254" t="s">
        <v>1537</v>
      </c>
      <c r="B40" s="209" t="s">
        <v>1538</v>
      </c>
      <c r="C40" s="1326">
        <f>F21</f>
        <v>2.5000000000000001E-2</v>
      </c>
      <c r="D40" s="235" t="s">
        <v>1539</v>
      </c>
      <c r="E40" s="231"/>
      <c r="F40" s="232">
        <f>F21</f>
        <v>2.5000000000000001E-2</v>
      </c>
      <c r="G40" s="233" t="s">
        <v>1540</v>
      </c>
    </row>
    <row r="41" spans="1:7" s="213" customFormat="1" ht="13.5" customHeight="1">
      <c r="A41" s="254" t="s">
        <v>1541</v>
      </c>
      <c r="B41" s="209" t="s">
        <v>1542</v>
      </c>
      <c r="C41" s="231">
        <f ca="1">ROUND(SUM(C42:C43),0)</f>
        <v>13441446</v>
      </c>
      <c r="D41" s="234">
        <f ca="1">C44</f>
        <v>1.1999999999999999E-3</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13113606</v>
      </c>
      <c r="D42" s="237"/>
      <c r="E42" s="237"/>
      <c r="F42" s="238"/>
      <c r="G42" s="3668" t="s">
        <v>1591</v>
      </c>
    </row>
    <row r="43" spans="1:7" ht="13.5" customHeight="1">
      <c r="A43" s="779" t="s">
        <v>347</v>
      </c>
      <c r="B43" s="214" t="s">
        <v>1545</v>
      </c>
      <c r="C43" s="237">
        <f ca="1">ROUND(IF('数据-取费表'!B22&lt;=1,C39*F22*'数据-取费表'!B20/2,C39*(POWER((1+F22),'数据-取费表'!B20/2)-1)),0)</f>
        <v>327840</v>
      </c>
      <c r="D43" s="237"/>
      <c r="E43" s="237"/>
      <c r="F43" s="238"/>
      <c r="G43" s="3669"/>
    </row>
    <row r="44" spans="1:7" ht="13.5" customHeight="1">
      <c r="A44" s="779" t="s">
        <v>348</v>
      </c>
      <c r="B44" s="214" t="s">
        <v>1546</v>
      </c>
      <c r="C44" s="237">
        <f ca="1">ROUND(IF('数据-取费表'!B22&lt;=1,C40*F22*'数据-取费表'!B20/2,C40*(POWER((1+F22),'数据-取费表'!B20/2)-1)),4)</f>
        <v>1.1999999999999999E-3</v>
      </c>
      <c r="D44" s="237"/>
      <c r="E44" s="237"/>
      <c r="F44" s="238"/>
      <c r="G44" s="3670"/>
    </row>
    <row r="45" spans="1:7" s="213" customFormat="1" ht="13.5" customHeight="1">
      <c r="A45" s="254" t="s">
        <v>1547</v>
      </c>
      <c r="B45" s="243" t="s">
        <v>1513</v>
      </c>
      <c r="C45" s="244">
        <f ca="1">C46</f>
        <v>45896257</v>
      </c>
      <c r="D45" s="234">
        <f ca="1">C47</f>
        <v>4.0000000000000001E-3</v>
      </c>
      <c r="E45" s="235" t="s">
        <v>1539</v>
      </c>
      <c r="F45" s="245">
        <f ca="1">F27</f>
        <v>0.16</v>
      </c>
      <c r="G45" s="246" t="s">
        <v>1548</v>
      </c>
    </row>
    <row r="46" spans="1:7" s="213" customFormat="1" ht="13.5" customHeight="1">
      <c r="A46" s="779" t="s">
        <v>346</v>
      </c>
      <c r="B46" s="247" t="s">
        <v>1549</v>
      </c>
      <c r="C46" s="248">
        <f ca="1">ROUND((C33+C39)*F27,0)</f>
        <v>45896257</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377729741</v>
      </c>
      <c r="D49" s="231"/>
      <c r="E49" s="231"/>
      <c r="F49" s="263"/>
      <c r="G49" s="233" t="s">
        <v>1554</v>
      </c>
    </row>
    <row r="50" spans="1:7" s="257" customFormat="1">
      <c r="A50" s="254" t="s">
        <v>1555</v>
      </c>
      <c r="B50" s="209" t="s">
        <v>1556</v>
      </c>
      <c r="C50" s="231"/>
      <c r="D50" s="231"/>
      <c r="E50" s="231"/>
      <c r="F50" s="263">
        <f>IF('数据-取费表'!B24=0,'数据-取费表'!N16,1)</f>
        <v>0.87</v>
      </c>
      <c r="G50" s="246"/>
    </row>
    <row r="51" spans="1:7" ht="16.5" customHeight="1">
      <c r="A51" s="254" t="s">
        <v>1558</v>
      </c>
      <c r="B51" s="209" t="s">
        <v>1593</v>
      </c>
      <c r="C51" s="231">
        <f ca="1">ROUND(C49*F50,0)</f>
        <v>328624875</v>
      </c>
      <c r="D51" s="231"/>
      <c r="E51" s="231"/>
      <c r="F51" s="263"/>
      <c r="G51" s="233" t="s">
        <v>1560</v>
      </c>
    </row>
    <row r="52" spans="1:7" s="207" customFormat="1" ht="16.5" thickBot="1">
      <c r="A52" s="264" t="s">
        <v>1561</v>
      </c>
      <c r="B52" s="265"/>
      <c r="C52" s="266">
        <f ca="1">C31+C51</f>
        <v>352461510</v>
      </c>
      <c r="D52" s="265"/>
      <c r="E52" s="265"/>
      <c r="F52" s="265"/>
      <c r="G52" s="267"/>
    </row>
    <row r="55" spans="1:7" ht="15">
      <c r="B55" s="269" t="s">
        <v>1562</v>
      </c>
      <c r="C55" s="270"/>
    </row>
    <row r="56" spans="1:7">
      <c r="B56" s="272" t="s">
        <v>802</v>
      </c>
      <c r="C56" s="274">
        <f ca="1">1-C57</f>
        <v>6.7999999999999949E-2</v>
      </c>
    </row>
    <row r="57" spans="1:7">
      <c r="B57" s="272" t="s">
        <v>803</v>
      </c>
      <c r="C57" s="273">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1" sqref="G61"/>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8</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42466.65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42466.65</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849</v>
      </c>
      <c r="D20" s="845">
        <f ca="1">IF(C1="",'数据-汇总表'!E6,IF(INDIRECT("'数据-取费表'!c"&amp;$K$1)="住宅",INDIRECT("'数据-取费表'!s"&amp;$K$1),INDIRECT("'数据-取费表'!k"&amp;$K$1)+INDIRECT("'数据-取费表'!s"&amp;$K$1)))</f>
        <v>42466.65</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2.5000000000000001E-2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2.5000000000000001E-2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0.16</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3333</v>
      </c>
      <c r="D1" s="1361" t="s">
        <v>43</v>
      </c>
      <c r="E1" s="1362" t="s">
        <v>678</v>
      </c>
      <c r="F1" s="1061">
        <f ca="1">J53</f>
        <v>45.01</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3068</v>
      </c>
      <c r="C2" s="1386" t="s">
        <v>805</v>
      </c>
      <c r="D2" s="1386"/>
      <c r="E2" s="1387"/>
      <c r="F2" s="1388"/>
      <c r="G2" s="2705"/>
      <c r="H2" s="2694"/>
      <c r="I2" s="2694"/>
      <c r="J2" s="2694"/>
      <c r="K2" s="2695"/>
      <c r="L2" s="2694"/>
      <c r="M2" s="2694"/>
    </row>
    <row r="3" spans="1:37" ht="18" customHeight="1" thickBot="1">
      <c r="A3" s="1389" t="s">
        <v>806</v>
      </c>
      <c r="B3" s="1390">
        <f ca="1">IF(ISERROR(B2*10000/F43),0,ROUND(B2*10000/F43,0))</f>
        <v>2987</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205</v>
      </c>
      <c r="D5" s="1363" t="s">
        <v>693</v>
      </c>
      <c r="E5" s="1070"/>
      <c r="F5" s="1071"/>
      <c r="G5" s="1383"/>
      <c r="H5" s="298">
        <v>1</v>
      </c>
      <c r="I5" s="299" t="s">
        <v>692</v>
      </c>
      <c r="J5" s="1069">
        <f ca="1">J6+J10+J12</f>
        <v>0</v>
      </c>
      <c r="K5" s="1363" t="s">
        <v>693</v>
      </c>
      <c r="L5" s="1070"/>
      <c r="M5" s="1071"/>
    </row>
    <row r="6" spans="1:37" ht="18" customHeight="1">
      <c r="A6" s="1068" t="s">
        <v>398</v>
      </c>
      <c r="B6" s="3671" t="s">
        <v>694</v>
      </c>
      <c r="C6" s="1073">
        <f ca="1">ROUND(F6*F8*F7*(1-F9)/10000,0)</f>
        <v>205</v>
      </c>
      <c r="D6" s="154" t="s">
        <v>2109</v>
      </c>
      <c r="E6" s="301" t="s">
        <v>696</v>
      </c>
      <c r="F6" s="302">
        <f ca="1">INDIRECT("'数据-取费表'!u"&amp;$G$1)</f>
        <v>1200</v>
      </c>
      <c r="G6" s="1383"/>
      <c r="H6" s="1068" t="s">
        <v>398</v>
      </c>
      <c r="I6" s="3671" t="s">
        <v>694</v>
      </c>
      <c r="J6" s="300">
        <f ca="1">ROUND(M6*M8*M7*(1-M9)/10000,0)</f>
        <v>0</v>
      </c>
      <c r="K6" s="154" t="s">
        <v>2108</v>
      </c>
      <c r="L6" s="301" t="s">
        <v>696</v>
      </c>
      <c r="M6" s="302">
        <f ca="1">INDIRECT("'数据-取费表'!z"&amp;$G$1)</f>
        <v>0</v>
      </c>
    </row>
    <row r="7" spans="1:37" ht="18" customHeight="1">
      <c r="A7" s="1072"/>
      <c r="B7" s="3672"/>
      <c r="C7" s="1074"/>
      <c r="D7" s="306"/>
      <c r="E7" s="3469" t="s">
        <v>697</v>
      </c>
      <c r="F7" s="302">
        <f ca="1">IF(INDIRECT("'数据-取费表'!ah"&amp;$G$1)="",INDIRECT("'数据-取费表'!k"&amp;$G$1),INDIRECT("'数据-取费表'!ah"&amp;$G$1))</f>
        <v>158</v>
      </c>
      <c r="G7" s="1383"/>
      <c r="H7" s="303"/>
      <c r="I7" s="3672"/>
      <c r="J7" s="305"/>
      <c r="K7" s="306"/>
      <c r="L7" s="301" t="s">
        <v>697</v>
      </c>
      <c r="M7" s="302">
        <f ca="1">F7</f>
        <v>158</v>
      </c>
    </row>
    <row r="8" spans="1:37" ht="18" customHeight="1">
      <c r="A8" s="303"/>
      <c r="B8" s="3672"/>
      <c r="C8" s="305"/>
      <c r="D8" s="306"/>
      <c r="E8" s="301" t="s">
        <v>698</v>
      </c>
      <c r="F8" s="302">
        <f ca="1">INDIRECT("'数据-取费表'!ai"&amp;$G$1)</f>
        <v>12</v>
      </c>
      <c r="G8" s="1383"/>
      <c r="H8" s="303"/>
      <c r="I8" s="3672"/>
      <c r="J8" s="305"/>
      <c r="K8" s="306"/>
      <c r="L8" s="301" t="s">
        <v>698</v>
      </c>
      <c r="M8" s="302">
        <f ca="1">INDIRECT("'数据-取费表'!ai"&amp;$G$1)</f>
        <v>12</v>
      </c>
    </row>
    <row r="9" spans="1:37" ht="18" customHeight="1">
      <c r="A9" s="303"/>
      <c r="B9" s="3673"/>
      <c r="C9" s="305"/>
      <c r="D9" s="306"/>
      <c r="E9" s="301" t="s">
        <v>699</v>
      </c>
      <c r="F9" s="311">
        <f ca="1">INDIRECT("'数据-取费表'!w"&amp;$G$1)</f>
        <v>0.1</v>
      </c>
      <c r="G9" s="1383"/>
      <c r="H9" s="303"/>
      <c r="I9" s="3673"/>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t="s">
        <v>3451</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7290</v>
      </c>
      <c r="D13" s="3466" t="s">
        <v>705</v>
      </c>
      <c r="E13" s="3466"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6237</v>
      </c>
      <c r="D14" s="3472" t="s">
        <v>708</v>
      </c>
      <c r="E14" s="3471"/>
      <c r="F14" s="318"/>
      <c r="G14" s="1383"/>
      <c r="H14" s="981" t="s">
        <v>398</v>
      </c>
      <c r="I14" s="301" t="s">
        <v>709</v>
      </c>
      <c r="J14" s="21">
        <f ca="1">C29</f>
        <v>8379</v>
      </c>
      <c r="K14" s="3468"/>
      <c r="L14" s="806"/>
      <c r="M14" s="807"/>
    </row>
    <row r="15" spans="1:37" s="1396" customFormat="1" ht="18" customHeight="1" thickBot="1">
      <c r="A15" s="981" t="s">
        <v>399</v>
      </c>
      <c r="B15" s="301" t="s">
        <v>710</v>
      </c>
      <c r="C15" s="21">
        <f ca="1">ROUND(C14*F15,0)</f>
        <v>312</v>
      </c>
      <c r="D15" s="3467" t="s">
        <v>711</v>
      </c>
      <c r="E15" s="3467"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38</v>
      </c>
      <c r="K16" s="1086" t="s">
        <v>715</v>
      </c>
      <c r="L16" s="3474"/>
      <c r="M16" s="1071"/>
    </row>
    <row r="17" spans="1:37" s="1396" customFormat="1" ht="18" customHeight="1">
      <c r="A17" s="981" t="s">
        <v>681</v>
      </c>
      <c r="B17" s="301" t="s">
        <v>716</v>
      </c>
      <c r="C17" s="21">
        <f ca="1">ROUND(F17*(F43+INDIRECT("'数据-取费表'!S"&amp;$G$1))/10000,0)</f>
        <v>208</v>
      </c>
      <c r="D17" s="301" t="s">
        <v>717</v>
      </c>
      <c r="E17" s="301" t="s">
        <v>718</v>
      </c>
      <c r="F17" s="23">
        <f>'数据-取费表'!B35</f>
        <v>200</v>
      </c>
      <c r="G17" s="1395"/>
      <c r="H17" s="981" t="s">
        <v>398</v>
      </c>
      <c r="I17" s="301" t="s">
        <v>719</v>
      </c>
      <c r="J17" s="2315">
        <f ca="1">ROUND(IF(AND(项目基本情况!B11="自然人",项目基本情况!B10="北京市"),J6*M17/(1+'数据-取费表'!C42),J18+J19+J20),2)</f>
        <v>3.99</v>
      </c>
      <c r="K17" s="3472" t="s">
        <v>720</v>
      </c>
      <c r="L17" s="347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94</v>
      </c>
      <c r="D18" s="301" t="s">
        <v>711</v>
      </c>
      <c r="E18" s="301" t="s">
        <v>712</v>
      </c>
      <c r="F18" s="321">
        <f>'数据-取费表'!B36</f>
        <v>1.4999999999999999E-2</v>
      </c>
      <c r="G18" s="1395"/>
      <c r="H18" s="981" t="s">
        <v>397</v>
      </c>
      <c r="I18" s="301" t="s">
        <v>723</v>
      </c>
      <c r="J18" s="21">
        <f ca="1">ROUND(J6*M18/(1+'数据-取费表'!C42),2)</f>
        <v>0</v>
      </c>
      <c r="K18" s="347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6851</v>
      </c>
      <c r="D19" s="130" t="s">
        <v>726</v>
      </c>
      <c r="E19" s="3476"/>
      <c r="F19" s="23"/>
      <c r="G19" s="1383"/>
      <c r="H19" s="981" t="s">
        <v>399</v>
      </c>
      <c r="I19" s="301" t="s">
        <v>727</v>
      </c>
      <c r="J19" s="21">
        <f ca="1">IF(K19="按租金收入计税",ROUND(J6*M19/(1+'数据-取费表'!C42),2),ROUND(C29*M19*0.7,2))</f>
        <v>0</v>
      </c>
      <c r="K19" s="1369" t="s">
        <v>3336</v>
      </c>
      <c r="L19" s="301" t="s">
        <v>712</v>
      </c>
      <c r="M19" s="321">
        <f>IF(K19="按租金收入计税",'数据-取费表'!B51,'数据-取费表'!B50)</f>
        <v>0.12</v>
      </c>
    </row>
    <row r="20" spans="1:37" s="1396" customFormat="1" ht="18" customHeight="1">
      <c r="A20" s="981" t="s">
        <v>402</v>
      </c>
      <c r="B20" s="301" t="s">
        <v>728</v>
      </c>
      <c r="C20" s="21">
        <f ca="1">ROUND(C19*F20,0)</f>
        <v>171</v>
      </c>
      <c r="D20" s="2427" t="s">
        <v>729</v>
      </c>
      <c r="E20" s="301" t="s">
        <v>712</v>
      </c>
      <c r="F20" s="321">
        <f>'数据-取费表'!B37</f>
        <v>2.5000000000000001E-2</v>
      </c>
      <c r="G20" s="1395"/>
      <c r="H20" s="981" t="s">
        <v>680</v>
      </c>
      <c r="I20" s="154" t="s">
        <v>730</v>
      </c>
      <c r="J20" s="22">
        <f ca="1">ROUND(M20*M21/10000,2)</f>
        <v>3.99</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2427" t="s">
        <v>734</v>
      </c>
      <c r="E21" s="301" t="s">
        <v>735</v>
      </c>
      <c r="F21" s="321">
        <f>'数据-取费表'!B38</f>
        <v>2.5000000000000001E-2</v>
      </c>
      <c r="G21" s="1395"/>
      <c r="H21" s="325"/>
      <c r="I21" s="310"/>
      <c r="J21" s="26"/>
      <c r="K21" s="326"/>
      <c r="L21" s="301" t="s">
        <v>736</v>
      </c>
      <c r="M21" s="302">
        <f ca="1">INDIRECT("'数据-取费表'!r"&amp;$G$1)</f>
        <v>1664.3700000000001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3476"/>
      <c r="F22" s="23"/>
      <c r="G22" s="1383"/>
      <c r="H22" s="981" t="s">
        <v>402</v>
      </c>
      <c r="I22" s="301" t="s">
        <v>738</v>
      </c>
      <c r="J22" s="21">
        <f ca="1">ROUND(J14*M22,2)</f>
        <v>33.520000000000003</v>
      </c>
      <c r="K22" s="3473" t="s">
        <v>739</v>
      </c>
      <c r="L22" s="301" t="s">
        <v>712</v>
      </c>
      <c r="M22" s="327">
        <f ca="1">INDIRECT("'数据-取费表'!Ak"&amp;$G$1)</f>
        <v>4.0000000000000001E-3</v>
      </c>
    </row>
    <row r="23" spans="1:37" s="1396" customFormat="1" ht="18" customHeight="1">
      <c r="A23" s="981" t="s">
        <v>397</v>
      </c>
      <c r="B23" s="301" t="s">
        <v>740</v>
      </c>
      <c r="C23" s="21">
        <f ca="1">IF('数据-取费表'!B22&lt;=1,ROUND(C19*F24*F23/2,0)+ROUND(C20*F24*F23/2,0),ROUND(C19*(POWER((1+F24),F23/2)-1),0)+ROUND(C20*(POWER((1+F24),F23/2)-1),0))</f>
        <v>329</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ROUND(J13*M23,2)</f>
        <v>0</v>
      </c>
      <c r="K23" s="347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399</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3.1E-2</v>
      </c>
      <c r="G24" s="1395"/>
      <c r="H24" s="1088" t="s">
        <v>683</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3476"/>
      <c r="F25" s="23"/>
      <c r="G25" s="1383"/>
      <c r="H25" s="1078" t="s">
        <v>394</v>
      </c>
      <c r="I25" s="1093" t="s">
        <v>752</v>
      </c>
      <c r="J25" s="309">
        <f ca="1">J5-J16</f>
        <v>-38</v>
      </c>
      <c r="K25" s="1094" t="s">
        <v>753</v>
      </c>
      <c r="L25" s="1095"/>
      <c r="M25" s="1096"/>
    </row>
    <row r="26" spans="1:37">
      <c r="A26" s="981" t="s">
        <v>397</v>
      </c>
      <c r="B26" s="301" t="s">
        <v>754</v>
      </c>
      <c r="C26" s="21">
        <f ca="1">ROUND((C19+C20)*F26,0)</f>
        <v>351</v>
      </c>
      <c r="D26" s="2427"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1.2999999999999999E-3</v>
      </c>
      <c r="D27" s="2427" t="s">
        <v>761</v>
      </c>
      <c r="E27" s="3467"/>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2427"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8379</v>
      </c>
      <c r="D29" s="1091"/>
      <c r="E29" s="1089"/>
      <c r="F29" s="1092"/>
      <c r="G29" s="1395"/>
      <c r="H29" s="333" t="s">
        <v>396</v>
      </c>
      <c r="I29" s="334" t="s">
        <v>768</v>
      </c>
      <c r="J29" s="335">
        <f ca="1">ROUND(J26/(1+F40)^F41,0)</f>
        <v>0</v>
      </c>
      <c r="K29" s="336" t="s">
        <v>769</v>
      </c>
      <c r="L29" s="337"/>
      <c r="M29" s="338">
        <f ca="1">INDIRECT("'数据-取费表'!k"&amp;$G$1)</f>
        <v>10270.209999999999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84</v>
      </c>
      <c r="D30" s="1086" t="s">
        <v>715</v>
      </c>
      <c r="E30" s="3474"/>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38.35</v>
      </c>
      <c r="D31" s="3472" t="s">
        <v>720</v>
      </c>
      <c r="E31" s="347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IF(项目基本情况!B11="自然人","——",ROUND(C6*F32/(1+'数据-取费表'!C42),2))</f>
        <v>10.93</v>
      </c>
      <c r="D32" s="347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23.43</v>
      </c>
      <c r="D33" s="1369" t="s">
        <v>3336</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3.99</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1664.3700000000001</v>
      </c>
      <c r="G35" s="1383"/>
      <c r="H35" s="2696"/>
      <c r="I35" s="1397"/>
      <c r="J35" s="1398"/>
      <c r="K35" s="2700"/>
      <c r="L35" s="2699"/>
      <c r="M35" s="2699"/>
    </row>
    <row r="36" spans="1:18" ht="18" customHeight="1">
      <c r="A36" s="1101" t="s">
        <v>402</v>
      </c>
      <c r="B36" s="301" t="s">
        <v>738</v>
      </c>
      <c r="C36" s="21">
        <f ca="1">ROUND(C29*F36,2)</f>
        <v>33.520000000000003</v>
      </c>
      <c r="D36" s="3473" t="s">
        <v>771</v>
      </c>
      <c r="E36" s="301" t="s">
        <v>712</v>
      </c>
      <c r="F36" s="327">
        <f ca="1">INDIRECT("'数据-取费表'!Ak"&amp;$G$1)</f>
        <v>4.0000000000000001E-3</v>
      </c>
      <c r="G36" s="1383"/>
      <c r="H36" s="2699"/>
      <c r="I36" s="1397"/>
      <c r="J36" s="1398"/>
      <c r="K36" s="2543"/>
      <c r="L36" s="2699"/>
      <c r="M36" s="2699"/>
    </row>
    <row r="37" spans="1:18" ht="18" customHeight="1">
      <c r="A37" s="981" t="s">
        <v>437</v>
      </c>
      <c r="B37" s="301" t="s">
        <v>742</v>
      </c>
      <c r="C37" s="21">
        <f ca="1">ROUND(C13*F37,2)</f>
        <v>10.94</v>
      </c>
      <c r="D37" s="3473" t="s">
        <v>743</v>
      </c>
      <c r="E37" s="301" t="s">
        <v>744</v>
      </c>
      <c r="F37" s="329">
        <f ca="1">INDIRECT("'数据-取费表'!Al"&amp;$G$1)</f>
        <v>1.5E-3</v>
      </c>
      <c r="G37" s="1383"/>
      <c r="H37" s="2699"/>
      <c r="I37" s="1397"/>
      <c r="J37" s="1398"/>
      <c r="K37" s="2543"/>
      <c r="L37" s="2699"/>
      <c r="M37" s="2699"/>
    </row>
    <row r="38" spans="1:18" ht="18" customHeight="1" thickBot="1">
      <c r="A38" s="1088" t="s">
        <v>683</v>
      </c>
      <c r="B38" s="1089" t="s">
        <v>728</v>
      </c>
      <c r="C38" s="1090">
        <f ca="1">ROUND(C5*F38,2)</f>
        <v>1.03</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121</v>
      </c>
      <c r="D39" s="1094" t="s">
        <v>773</v>
      </c>
      <c r="E39" s="1095"/>
      <c r="F39" s="1096"/>
      <c r="G39" s="1383"/>
      <c r="H39" s="2699"/>
      <c r="I39" s="1397"/>
      <c r="J39" s="1398"/>
      <c r="K39" s="2703"/>
      <c r="L39" s="2699"/>
      <c r="M39" s="2699"/>
    </row>
    <row r="40" spans="1:18" ht="18" customHeight="1">
      <c r="A40" s="298" t="s">
        <v>395</v>
      </c>
      <c r="B40" s="299" t="s">
        <v>774</v>
      </c>
      <c r="C40" s="300">
        <f ca="1">ROUND(C39*(1-((1+F42)/(1+F40))^F41)/(F40-F42),0)</f>
        <v>2939</v>
      </c>
      <c r="D40" s="323" t="s">
        <v>758</v>
      </c>
      <c r="E40" s="301" t="s">
        <v>759</v>
      </c>
      <c r="F40" s="311">
        <f ca="1">INDIRECT("'数据-取费表'!I"&amp;$G$1)</f>
        <v>0.05</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45.01</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2862</v>
      </c>
      <c r="D43" s="336" t="s">
        <v>777</v>
      </c>
      <c r="E43" s="337" t="s">
        <v>778</v>
      </c>
      <c r="F43" s="338">
        <f ca="1">INDIRECT("'数据-取费表'!k"&amp;$G$1)</f>
        <v>10270.209999999999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-3792</v>
      </c>
      <c r="D46" s="1405" t="str">
        <f>C2</f>
        <v>万元</v>
      </c>
      <c r="E46" s="1399"/>
      <c r="F46" s="1399"/>
      <c r="I46" s="1406" t="s">
        <v>810</v>
      </c>
      <c r="J46" s="1407"/>
      <c r="K46" s="1408"/>
      <c r="L46" s="1409">
        <f ca="1">IF(M47="住宅",0,IF(L48&gt;J51,L60,J60))</f>
        <v>129</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3446</v>
      </c>
      <c r="K47" s="1415" t="s">
        <v>816</v>
      </c>
      <c r="L47" s="1416">
        <f ca="1">INDIRECT("'数据-取费表'!d"&amp;$G$1)</f>
        <v>50</v>
      </c>
      <c r="M47" s="1379" t="str">
        <f>IF(ISNUMBER(FIND("住宅",C1)),"住宅","非住宅")</f>
        <v>非住宅</v>
      </c>
      <c r="O47" s="1417" t="s">
        <v>403</v>
      </c>
      <c r="P47" s="1418" t="s">
        <v>817</v>
      </c>
      <c r="Q47" s="1419">
        <f ca="1">C40+J29</f>
        <v>2939</v>
      </c>
      <c r="R47" s="1419" t="s">
        <v>818</v>
      </c>
    </row>
    <row r="48" spans="1:18" s="1383" customFormat="1" ht="28.5" thickBot="1">
      <c r="A48" s="1109" t="s">
        <v>438</v>
      </c>
      <c r="B48" s="299" t="s">
        <v>692</v>
      </c>
      <c r="C48" s="3475">
        <f ca="1">C49+C53+C55</f>
        <v>0</v>
      </c>
      <c r="D48" s="1111"/>
      <c r="E48" s="1112"/>
      <c r="F48" s="961"/>
      <c r="G48" s="721"/>
      <c r="H48" s="722"/>
      <c r="I48" s="1420" t="s">
        <v>819</v>
      </c>
      <c r="J48" s="1421" t="s">
        <v>3447</v>
      </c>
      <c r="K48" s="1422" t="s">
        <v>820</v>
      </c>
      <c r="L48" s="1423">
        <f ca="1">INDIRECT("'数据-取费表'!f"&amp;$G$1)</f>
        <v>45.01</v>
      </c>
      <c r="O48" s="1417" t="s">
        <v>404</v>
      </c>
      <c r="P48" s="1418" t="s">
        <v>821</v>
      </c>
      <c r="Q48" s="1419">
        <f ca="1">J60</f>
        <v>129</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v>2020</v>
      </c>
      <c r="K49" s="1422" t="s">
        <v>824</v>
      </c>
      <c r="L49" s="1426"/>
      <c r="O49" s="1427" t="s">
        <v>405</v>
      </c>
      <c r="P49" s="1418" t="s">
        <v>825</v>
      </c>
      <c r="Q49" s="1419">
        <f ca="1">C29</f>
        <v>8379</v>
      </c>
      <c r="R49" s="1419" t="s">
        <v>818</v>
      </c>
    </row>
    <row r="50" spans="1:18" s="1383" customFormat="1" ht="13.5" thickBot="1">
      <c r="A50" s="975"/>
      <c r="B50" s="978"/>
      <c r="C50" s="1117"/>
      <c r="D50" s="952"/>
      <c r="E50" s="1055" t="s">
        <v>697</v>
      </c>
      <c r="F50" s="1056">
        <f ca="1">F7</f>
        <v>158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12</v>
      </c>
      <c r="I51" s="1431" t="s">
        <v>829</v>
      </c>
      <c r="J51" s="1432">
        <f>IF(J49="",J50,J49+J50-YEAR('数据-取费表'!B2))</f>
        <v>55</v>
      </c>
      <c r="K51" s="1433" t="s">
        <v>830</v>
      </c>
      <c r="L51" s="1434">
        <f ca="1">ROUND(-PV(INDIRECT("'数据-取费表'!h"&amp;$G$1),J51,(C39-C13*C76),0),0)</f>
        <v>-7883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45.01</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45.01</v>
      </c>
      <c r="K53" s="3674" t="s">
        <v>837</v>
      </c>
      <c r="L53" s="3675"/>
      <c r="O53" s="1417" t="s">
        <v>409</v>
      </c>
      <c r="P53" s="1418" t="s">
        <v>838</v>
      </c>
      <c r="Q53" s="1419">
        <f ca="1">Q47+Q48</f>
        <v>3068</v>
      </c>
      <c r="R53" s="1419" t="s">
        <v>410</v>
      </c>
    </row>
    <row r="54" spans="1:18" s="1383" customFormat="1" ht="13.5" thickBot="1">
      <c r="A54" s="1152"/>
      <c r="B54" s="1366" t="s">
        <v>679</v>
      </c>
      <c r="C54" s="958"/>
      <c r="D54" s="1365"/>
      <c r="E54" s="3470"/>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70"/>
      <c r="F55" s="1439"/>
      <c r="I55" s="1442" t="s">
        <v>840</v>
      </c>
      <c r="J55" s="1443">
        <f ca="1">ROUND(IF(J47="钢混",J57/J50,1-(1-2%)*(J50-J57)/J50),3)</f>
        <v>0.16700000000000001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7290</v>
      </c>
      <c r="D56" s="1446"/>
      <c r="E56" s="1447"/>
      <c r="F56" s="1439"/>
      <c r="I56" s="1448" t="s">
        <v>842</v>
      </c>
      <c r="J56" s="1449" t="s">
        <v>3448</v>
      </c>
      <c r="K56" s="1420" t="s">
        <v>843</v>
      </c>
      <c r="L56" s="1423" t="str">
        <f ca="1">IF(L48&lt;J51,"——",L48-J53)</f>
        <v>——</v>
      </c>
      <c r="O56" s="1417" t="s">
        <v>403</v>
      </c>
      <c r="P56" s="1418" t="s">
        <v>817</v>
      </c>
      <c r="Q56" s="1419">
        <f ca="1">C40+J29</f>
        <v>2939</v>
      </c>
      <c r="R56" s="1419" t="s">
        <v>818</v>
      </c>
    </row>
    <row r="57" spans="1:18" s="1383" customFormat="1" ht="24.75" thickBot="1">
      <c r="A57" s="1450"/>
      <c r="B57" s="949" t="s">
        <v>767</v>
      </c>
      <c r="C57" s="237">
        <f ca="1">C29</f>
        <v>8379</v>
      </c>
      <c r="D57" s="1451"/>
      <c r="E57" s="1452"/>
      <c r="F57" s="1453"/>
      <c r="I57" s="1454" t="s">
        <v>844</v>
      </c>
      <c r="J57" s="1455">
        <f ca="1">IF(OR(M47="住宅",J51&lt;L48,J56="是"),"——",J51-L48)</f>
        <v>9.990000000000002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48</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4</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3352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f ca="1">IF(OR(M47="住宅",J51&lt;L48,J56="是"),"0",ROUND(J59/(1+J52)^J53,0))</f>
        <v>129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3336</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3.99</v>
      </c>
      <c r="D62" s="964" t="s">
        <v>786</v>
      </c>
      <c r="E62" s="949" t="s">
        <v>732</v>
      </c>
      <c r="F62" s="324">
        <f t="shared" si="0"/>
        <v>24</v>
      </c>
      <c r="I62" s="1461" t="s">
        <v>858</v>
      </c>
      <c r="J62" s="1462" t="s">
        <v>859</v>
      </c>
      <c r="K62" s="1462" t="s">
        <v>860</v>
      </c>
      <c r="L62" s="1462" t="s">
        <v>861</v>
      </c>
      <c r="M62" s="1463" t="s">
        <v>862</v>
      </c>
      <c r="O62" s="1417" t="s">
        <v>409</v>
      </c>
      <c r="P62" s="1418" t="s">
        <v>863</v>
      </c>
      <c r="Q62" s="1419">
        <f ca="1">Q56+Q57</f>
        <v>2939</v>
      </c>
      <c r="R62" s="1419" t="s">
        <v>410</v>
      </c>
    </row>
    <row r="63" spans="1:18" s="1383" customFormat="1" ht="13.5" thickBot="1">
      <c r="A63" s="325"/>
      <c r="B63" s="955"/>
      <c r="C63" s="26"/>
      <c r="D63" s="965"/>
      <c r="E63" s="949" t="s">
        <v>736</v>
      </c>
      <c r="F63" s="302">
        <f t="shared" ca="1" si="0"/>
        <v>1664.3700000000001</v>
      </c>
      <c r="I63" s="1461" t="s">
        <v>864</v>
      </c>
      <c r="J63" s="1462">
        <v>70</v>
      </c>
      <c r="K63" s="1462">
        <v>50</v>
      </c>
      <c r="L63" s="1462">
        <v>80</v>
      </c>
      <c r="M63" s="1464">
        <v>0.02</v>
      </c>
      <c r="O63" s="1402" t="s">
        <v>865</v>
      </c>
      <c r="P63" s="1380"/>
      <c r="Q63" s="1380"/>
      <c r="R63" s="1380"/>
    </row>
    <row r="64" spans="1:18" s="1383" customFormat="1" ht="13.5" thickBot="1">
      <c r="A64" s="981" t="s">
        <v>402</v>
      </c>
      <c r="B64" s="949" t="s">
        <v>790</v>
      </c>
      <c r="C64" s="21">
        <f ca="1">ROUND(C57*F64,2)</f>
        <v>33.520000000000003</v>
      </c>
      <c r="D64" s="963" t="s">
        <v>791</v>
      </c>
      <c r="E64" s="949" t="s">
        <v>783</v>
      </c>
      <c r="F64" s="327">
        <f t="shared" ca="1" si="0"/>
        <v>4.0000000000000001E-3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10.94</v>
      </c>
      <c r="D65" s="963" t="s">
        <v>743</v>
      </c>
      <c r="E65" s="949" t="s">
        <v>744</v>
      </c>
      <c r="F65" s="329">
        <f t="shared" ca="1" si="0"/>
        <v>1.5E-3</v>
      </c>
      <c r="I65" s="1461" t="s">
        <v>867</v>
      </c>
      <c r="J65" s="1462">
        <v>40</v>
      </c>
      <c r="K65" s="1462">
        <v>30</v>
      </c>
      <c r="L65" s="1462">
        <v>50</v>
      </c>
      <c r="M65" s="1464">
        <v>0.02</v>
      </c>
      <c r="O65" s="1417" t="s">
        <v>403</v>
      </c>
      <c r="P65" s="1418" t="s">
        <v>868</v>
      </c>
      <c r="Q65" s="1419">
        <f ca="1">C40+J29</f>
        <v>2939</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-48</v>
      </c>
      <c r="D67" s="962" t="s">
        <v>753</v>
      </c>
      <c r="E67" s="967"/>
      <c r="F67" s="968"/>
      <c r="O67" s="1427" t="s">
        <v>405</v>
      </c>
      <c r="P67" s="1418" t="s">
        <v>850</v>
      </c>
      <c r="Q67" s="1465">
        <f ca="1">L51</f>
        <v>-7883</v>
      </c>
      <c r="R67" s="1419" t="s">
        <v>870</v>
      </c>
    </row>
    <row r="68" spans="1:18" s="1383" customFormat="1" ht="16.5" thickBot="1">
      <c r="A68" s="946" t="s">
        <v>395</v>
      </c>
      <c r="B68" s="947" t="s">
        <v>774</v>
      </c>
      <c r="C68" s="300">
        <f ca="1">ROUND(C67*(1-((1+F70)/(1+F68))^F69)/(F68-F70),0)</f>
        <v>-853</v>
      </c>
      <c r="D68" s="964" t="s">
        <v>758</v>
      </c>
      <c r="E68" s="949" t="s">
        <v>759</v>
      </c>
      <c r="F68" s="311">
        <f ca="1">F40</f>
        <v>0.05</v>
      </c>
      <c r="O68" s="1427" t="s">
        <v>406</v>
      </c>
      <c r="P68" s="1466" t="s">
        <v>871</v>
      </c>
      <c r="Q68" s="1419">
        <f ca="1">ROUND(Q69-Q70*Q71,0)</f>
        <v>-389</v>
      </c>
      <c r="R68" s="1419" t="s">
        <v>414</v>
      </c>
    </row>
    <row r="69" spans="1:18" s="1383" customFormat="1" ht="13.5" thickBot="1">
      <c r="A69" s="950"/>
      <c r="B69" s="951"/>
      <c r="C69" s="305"/>
      <c r="D69" s="969" t="s">
        <v>762</v>
      </c>
      <c r="E69" s="949" t="s">
        <v>763</v>
      </c>
      <c r="F69" s="332">
        <f ca="1">F41</f>
        <v>45.01</v>
      </c>
      <c r="O69" s="1427" t="s">
        <v>411</v>
      </c>
      <c r="P69" s="1466" t="s">
        <v>872</v>
      </c>
      <c r="Q69" s="1419">
        <f ca="1">C39</f>
        <v>121</v>
      </c>
      <c r="R69" s="1419" t="s">
        <v>818</v>
      </c>
    </row>
    <row r="70" spans="1:18" s="1383" customFormat="1" ht="13.5" thickBot="1">
      <c r="A70" s="953"/>
      <c r="B70" s="954"/>
      <c r="C70" s="309"/>
      <c r="D70" s="965"/>
      <c r="E70" s="949" t="s">
        <v>766</v>
      </c>
      <c r="F70" s="1053"/>
      <c r="O70" s="1427" t="s">
        <v>412</v>
      </c>
      <c r="P70" s="1466" t="s">
        <v>873</v>
      </c>
      <c r="Q70" s="1419">
        <f ca="1">C13</f>
        <v>7290</v>
      </c>
      <c r="R70" s="1419" t="s">
        <v>818</v>
      </c>
    </row>
    <row r="71" spans="1:18" s="1383" customFormat="1" ht="13.5" thickBot="1">
      <c r="A71" s="970" t="s">
        <v>396</v>
      </c>
      <c r="B71" s="971" t="s">
        <v>776</v>
      </c>
      <c r="C71" s="335">
        <f ca="1">ROUND(C68*10000/F71,0)</f>
        <v>-831</v>
      </c>
      <c r="D71" s="972" t="s">
        <v>777</v>
      </c>
      <c r="E71" s="973" t="s">
        <v>778</v>
      </c>
      <c r="F71" s="338">
        <f ca="1">F43</f>
        <v>10270.209999999999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510</v>
      </c>
      <c r="D75" s="1383"/>
      <c r="E75" s="1383"/>
      <c r="F75" s="1383"/>
      <c r="K75" s="1401"/>
      <c r="L75" s="1383"/>
      <c r="O75" s="1417" t="s">
        <v>409</v>
      </c>
      <c r="P75" s="1418" t="s">
        <v>838</v>
      </c>
      <c r="Q75" s="1419">
        <f ca="1">Q65+Q66</f>
        <v>2939</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-3.2149999999999999</v>
      </c>
    </row>
    <row r="80" spans="1:18">
      <c r="B80" s="339" t="s">
        <v>800</v>
      </c>
      <c r="C80" s="273">
        <f ca="1">ROUND(C75/C39,3)</f>
        <v>4.2149999999999999</v>
      </c>
    </row>
    <row r="81" spans="2:3">
      <c r="B81" s="269" t="s">
        <v>801</v>
      </c>
      <c r="C81" s="237"/>
    </row>
    <row r="82" spans="2:3">
      <c r="B82" s="272" t="s">
        <v>802</v>
      </c>
      <c r="C82" s="274">
        <f ca="1">1-C83</f>
        <v>-1.48</v>
      </c>
    </row>
    <row r="83" spans="2:3">
      <c r="B83" s="272" t="s">
        <v>803</v>
      </c>
      <c r="C83" s="273">
        <f ca="1">ROUND(C13/C40,3)</f>
        <v>2.48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41" sqref="H4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21</v>
      </c>
      <c r="D1" s="1361" t="s">
        <v>43</v>
      </c>
      <c r="E1" s="1362" t="s">
        <v>678</v>
      </c>
      <c r="F1" s="1061">
        <f ca="1">J53</f>
        <v>45.01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169926</v>
      </c>
      <c r="C2" s="1386" t="s">
        <v>805</v>
      </c>
      <c r="D2" s="1386"/>
      <c r="E2" s="1387"/>
      <c r="F2" s="1388"/>
      <c r="G2" s="2705"/>
      <c r="H2" s="2694"/>
      <c r="I2" s="2694"/>
      <c r="J2" s="2694"/>
      <c r="K2" s="2695"/>
      <c r="L2" s="2694"/>
      <c r="M2" s="2694"/>
    </row>
    <row r="3" spans="1:37" ht="18" customHeight="1" thickBot="1">
      <c r="A3" s="1389" t="s">
        <v>806</v>
      </c>
      <c r="B3" s="1390">
        <f ca="1">IF(ISERROR(B2*10000/F43),0,ROUND(B2*10000/F43,0))</f>
        <v>53623</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9381</v>
      </c>
      <c r="D5" s="1363" t="s">
        <v>693</v>
      </c>
      <c r="E5" s="1070"/>
      <c r="F5" s="1071"/>
      <c r="G5" s="1383"/>
      <c r="H5" s="298">
        <v>1</v>
      </c>
      <c r="I5" s="299" t="s">
        <v>692</v>
      </c>
      <c r="J5" s="1069">
        <f ca="1">J6+J10+J12</f>
        <v>0</v>
      </c>
      <c r="K5" s="1363" t="s">
        <v>693</v>
      </c>
      <c r="L5" s="1070"/>
      <c r="M5" s="1071"/>
    </row>
    <row r="6" spans="1:37" ht="18" customHeight="1">
      <c r="A6" s="1068" t="s">
        <v>398</v>
      </c>
      <c r="B6" s="3671" t="s">
        <v>694</v>
      </c>
      <c r="C6" s="1073">
        <f ca="1">ROUND(F6*F8*F7*(1-F9)/10000,0)</f>
        <v>9369</v>
      </c>
      <c r="D6" s="154" t="s">
        <v>2109</v>
      </c>
      <c r="E6" s="301" t="s">
        <v>696</v>
      </c>
      <c r="F6" s="302">
        <f ca="1">INDIRECT("'数据-取费表'!u"&amp;$G$1)</f>
        <v>9</v>
      </c>
      <c r="G6" s="1383"/>
      <c r="H6" s="1068" t="s">
        <v>398</v>
      </c>
      <c r="I6" s="3671" t="s">
        <v>694</v>
      </c>
      <c r="J6" s="300">
        <f ca="1">ROUND(M6*M8*M7*(1-M9)/10000,0)</f>
        <v>0</v>
      </c>
      <c r="K6" s="154" t="s">
        <v>2108</v>
      </c>
      <c r="L6" s="301" t="s">
        <v>696</v>
      </c>
      <c r="M6" s="302">
        <f ca="1">INDIRECT("'数据-取费表'!z"&amp;$G$1)</f>
        <v>0</v>
      </c>
    </row>
    <row r="7" spans="1:37" ht="18" customHeight="1">
      <c r="A7" s="1072"/>
      <c r="B7" s="3672"/>
      <c r="C7" s="1074"/>
      <c r="D7" s="306"/>
      <c r="E7" s="1075" t="s">
        <v>697</v>
      </c>
      <c r="F7" s="302">
        <f ca="1">IF(INDIRECT("'数据-取费表'!ah"&amp;$G$1)="",INDIRECT("'数据-取费表'!k"&amp;$G$1),INDIRECT("'数据-取费表'!ah"&amp;$G$1))</f>
        <v>31688.84</v>
      </c>
      <c r="G7" s="1383"/>
      <c r="H7" s="303"/>
      <c r="I7" s="3672"/>
      <c r="J7" s="305"/>
      <c r="K7" s="306"/>
      <c r="L7" s="301" t="s">
        <v>697</v>
      </c>
      <c r="M7" s="302">
        <f ca="1">F7</f>
        <v>31688.84</v>
      </c>
    </row>
    <row r="8" spans="1:37" ht="18" customHeight="1">
      <c r="A8" s="303"/>
      <c r="B8" s="3672"/>
      <c r="C8" s="305"/>
      <c r="D8" s="306"/>
      <c r="E8" s="301" t="s">
        <v>698</v>
      </c>
      <c r="F8" s="302">
        <f ca="1">INDIRECT("'数据-取费表'!ai"&amp;$G$1)</f>
        <v>365</v>
      </c>
      <c r="G8" s="1383"/>
      <c r="H8" s="303"/>
      <c r="I8" s="3672"/>
      <c r="J8" s="305"/>
      <c r="K8" s="306"/>
      <c r="L8" s="301" t="s">
        <v>698</v>
      </c>
      <c r="M8" s="302">
        <f ca="1">INDIRECT("'数据-取费表'!ai"&amp;$G$1)</f>
        <v>365</v>
      </c>
    </row>
    <row r="9" spans="1:37" ht="18" customHeight="1">
      <c r="A9" s="303"/>
      <c r="B9" s="3673"/>
      <c r="C9" s="305"/>
      <c r="D9" s="306"/>
      <c r="E9" s="301" t="s">
        <v>699</v>
      </c>
      <c r="F9" s="311">
        <f ca="1">INDIRECT("'数据-取费表'!w"&amp;$G$1)</f>
        <v>0.1</v>
      </c>
      <c r="G9" s="1383"/>
      <c r="H9" s="303"/>
      <c r="I9" s="3673"/>
      <c r="J9" s="305"/>
      <c r="K9" s="306"/>
      <c r="L9" s="312" t="s">
        <v>699</v>
      </c>
      <c r="M9" s="313">
        <f ca="1">INDIRECT("'数据-取费表'!ab"&amp;$G$1)</f>
        <v>0</v>
      </c>
    </row>
    <row r="10" spans="1:37" ht="18" customHeight="1">
      <c r="A10" s="1068" t="s">
        <v>402</v>
      </c>
      <c r="B10" s="1364" t="s">
        <v>700</v>
      </c>
      <c r="C10" s="315">
        <f ca="1">ROUND(IF(F10="押一",C6/12*F11,IF(F10="押二",C6/12*2*F11,IF(F10="押三",C6/12*3*F11,C11*F11))),0)</f>
        <v>12</v>
      </c>
      <c r="D10" s="1365" t="s">
        <v>2117</v>
      </c>
      <c r="E10" s="312" t="s">
        <v>701</v>
      </c>
      <c r="F10" s="1115" t="s">
        <v>3445</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25668</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19243</v>
      </c>
      <c r="D14" s="1344" t="s">
        <v>708</v>
      </c>
      <c r="E14" s="1341"/>
      <c r="F14" s="318"/>
      <c r="G14" s="1383"/>
      <c r="H14" s="981" t="s">
        <v>398</v>
      </c>
      <c r="I14" s="301" t="s">
        <v>709</v>
      </c>
      <c r="J14" s="21">
        <f ca="1">C29</f>
        <v>29504</v>
      </c>
      <c r="K14" s="12"/>
      <c r="L14" s="806"/>
      <c r="M14" s="807"/>
    </row>
    <row r="15" spans="1:37" s="1396" customFormat="1" ht="18" customHeight="1" thickBot="1">
      <c r="A15" s="981" t="s">
        <v>399</v>
      </c>
      <c r="B15" s="301" t="s">
        <v>710</v>
      </c>
      <c r="C15" s="21">
        <f ca="1">ROUND(C14*F15,0)</f>
        <v>962</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130</v>
      </c>
      <c r="K16" s="1086" t="s">
        <v>715</v>
      </c>
      <c r="L16" s="1087"/>
      <c r="M16" s="1071"/>
    </row>
    <row r="17" spans="1:37" s="1396" customFormat="1" ht="18" customHeight="1">
      <c r="A17" s="981" t="s">
        <v>681</v>
      </c>
      <c r="B17" s="301" t="s">
        <v>716</v>
      </c>
      <c r="C17" s="21">
        <f ca="1">ROUND(F17*(F43+INDIRECT("'数据-取费表'!S"&amp;$G$1))/10000,0)</f>
        <v>641</v>
      </c>
      <c r="D17" s="301" t="s">
        <v>717</v>
      </c>
      <c r="E17" s="301" t="s">
        <v>718</v>
      </c>
      <c r="F17" s="23">
        <f>'数据-取费表'!B35</f>
        <v>200</v>
      </c>
      <c r="G17" s="1395"/>
      <c r="H17" s="981" t="s">
        <v>398</v>
      </c>
      <c r="I17" s="301" t="s">
        <v>719</v>
      </c>
      <c r="J17" s="2315">
        <f ca="1">ROUND(IF(AND(项目基本情况!B11="自然人",项目基本情况!B10="北京市"),J6*M17/(1+'数据-取费表'!C42),J18+J19+J20),2)</f>
        <v>12.33</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289</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21135</v>
      </c>
      <c r="D19" s="130" t="s">
        <v>726</v>
      </c>
      <c r="E19" s="1359"/>
      <c r="F19" s="23"/>
      <c r="G19" s="1383"/>
      <c r="H19" s="981" t="s">
        <v>399</v>
      </c>
      <c r="I19" s="301" t="s">
        <v>727</v>
      </c>
      <c r="J19" s="21">
        <f ca="1">IF(K19="按租金收入计税",ROUND(J6*M19/(1+'数据-取费表'!C42),2),ROUND(C29*M19*0.7,2))</f>
        <v>0</v>
      </c>
      <c r="K19" s="1369" t="s">
        <v>3336</v>
      </c>
      <c r="L19" s="301" t="s">
        <v>712</v>
      </c>
      <c r="M19" s="321">
        <f>IF(K19="按租金收入计税",'数据-取费表'!B51,'数据-取费表'!B50)</f>
        <v>0.12</v>
      </c>
    </row>
    <row r="20" spans="1:37" s="1396" customFormat="1" ht="18" customHeight="1">
      <c r="A20" s="981" t="s">
        <v>402</v>
      </c>
      <c r="B20" s="301" t="s">
        <v>728</v>
      </c>
      <c r="C20" s="21">
        <f ca="1">ROUND(C19*F20,0)</f>
        <v>528</v>
      </c>
      <c r="D20" s="322" t="s">
        <v>729</v>
      </c>
      <c r="E20" s="301" t="s">
        <v>712</v>
      </c>
      <c r="F20" s="321">
        <f>'数据-取费表'!B37</f>
        <v>2.5000000000000001E-2</v>
      </c>
      <c r="G20" s="1395"/>
      <c r="H20" s="981" t="s">
        <v>680</v>
      </c>
      <c r="I20" s="154" t="s">
        <v>730</v>
      </c>
      <c r="J20" s="22">
        <f ca="1">ROUND(M20*M21/10000,2)</f>
        <v>12.33</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2.5000000000000001E-2</v>
      </c>
      <c r="G21" s="1395"/>
      <c r="H21" s="325"/>
      <c r="I21" s="310"/>
      <c r="J21" s="26"/>
      <c r="K21" s="326"/>
      <c r="L21" s="301" t="s">
        <v>736</v>
      </c>
      <c r="M21" s="302">
        <f ca="1">INDIRECT("'数据-取费表'!r"&amp;$G$1)</f>
        <v>5135.43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118.02</v>
      </c>
      <c r="K22" s="1343" t="s">
        <v>739</v>
      </c>
      <c r="L22" s="301" t="s">
        <v>712</v>
      </c>
      <c r="M22" s="327">
        <f ca="1">INDIRECT("'数据-取费表'!Ak"&amp;$G$1)</f>
        <v>4.0000000000000001E-3</v>
      </c>
    </row>
    <row r="23" spans="1:37" s="1396" customFormat="1" ht="18" customHeight="1">
      <c r="A23" s="981" t="s">
        <v>397</v>
      </c>
      <c r="B23" s="301" t="s">
        <v>740</v>
      </c>
      <c r="C23" s="21">
        <f ca="1">IF('数据-取费表'!B22&lt;=1,ROUND(C19*F24*F23/2,0)+ROUND(C20*F24*F23/2,0),ROUND(C19*(POWER((1+F24),F23/2)-1),0)+ROUND(C20*(POWER((1+F24),F23/2)-1),0))</f>
        <v>1015</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-130</v>
      </c>
      <c r="K25" s="1094" t="s">
        <v>753</v>
      </c>
      <c r="L25" s="1095"/>
      <c r="M25" s="1096"/>
    </row>
    <row r="26" spans="1:37">
      <c r="A26" s="981" t="s">
        <v>397</v>
      </c>
      <c r="B26" s="301" t="s">
        <v>754</v>
      </c>
      <c r="C26" s="21">
        <f ca="1">ROUND((C19+C20)*F26,0)</f>
        <v>4333</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5.0000000000000001E-3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29504</v>
      </c>
      <c r="D29" s="1091"/>
      <c r="E29" s="1089"/>
      <c r="F29" s="1092"/>
      <c r="G29" s="1395"/>
      <c r="H29" s="333" t="s">
        <v>396</v>
      </c>
      <c r="I29" s="334" t="s">
        <v>768</v>
      </c>
      <c r="J29" s="335">
        <f ca="1">ROUND(J26/(1+F40)^F41,0)</f>
        <v>0</v>
      </c>
      <c r="K29" s="336" t="s">
        <v>769</v>
      </c>
      <c r="L29" s="337"/>
      <c r="M29" s="338">
        <f ca="1">INDIRECT("'数据-取费表'!k"&amp;$G$1)</f>
        <v>31688.84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1786</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1582.75</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IF(项目基本情况!B11="自然人","——",ROUND(C6*F32/(1+'数据-取费表'!C42),2))</f>
        <v>499.68</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1070.74</v>
      </c>
      <c r="D33" s="1369" t="s">
        <v>3336</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12.33</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5135.43</v>
      </c>
      <c r="G35" s="1383"/>
      <c r="H35" s="2696"/>
      <c r="I35" s="1397"/>
      <c r="J35" s="1398"/>
      <c r="K35" s="2700"/>
      <c r="L35" s="2699"/>
      <c r="M35" s="2699"/>
    </row>
    <row r="36" spans="1:18" ht="18" customHeight="1">
      <c r="A36" s="1101" t="s">
        <v>402</v>
      </c>
      <c r="B36" s="301" t="s">
        <v>738</v>
      </c>
      <c r="C36" s="21">
        <f ca="1">ROUND(C29*F36,2)</f>
        <v>118.02</v>
      </c>
      <c r="D36" s="1343" t="s">
        <v>771</v>
      </c>
      <c r="E36" s="301" t="s">
        <v>712</v>
      </c>
      <c r="F36" s="327">
        <f ca="1">INDIRECT("'数据-取费表'!Ak"&amp;$G$1)</f>
        <v>4.0000000000000001E-3</v>
      </c>
      <c r="G36" s="1383"/>
      <c r="H36" s="2699"/>
      <c r="I36" s="1397"/>
      <c r="J36" s="1398"/>
      <c r="K36" s="2543"/>
      <c r="L36" s="2699"/>
      <c r="M36" s="2699"/>
    </row>
    <row r="37" spans="1:18" ht="18" customHeight="1">
      <c r="A37" s="981" t="s">
        <v>437</v>
      </c>
      <c r="B37" s="301" t="s">
        <v>742</v>
      </c>
      <c r="C37" s="21">
        <f ca="1">ROUND(C13*F37,2)</f>
        <v>38.5</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46.91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7595</v>
      </c>
      <c r="D39" s="1094" t="s">
        <v>773</v>
      </c>
      <c r="E39" s="1095"/>
      <c r="F39" s="1096"/>
      <c r="G39" s="1383"/>
      <c r="H39" s="2699"/>
      <c r="I39" s="1397"/>
      <c r="J39" s="1398"/>
      <c r="K39" s="2703"/>
      <c r="L39" s="2699"/>
      <c r="M39" s="2699"/>
    </row>
    <row r="40" spans="1:18" ht="18" customHeight="1">
      <c r="A40" s="298" t="s">
        <v>395</v>
      </c>
      <c r="B40" s="299" t="s">
        <v>774</v>
      </c>
      <c r="C40" s="300">
        <f ca="1">ROUND(C39*(1-((1+F42)/(1+F40))^F41)/(F40-F42),0)</f>
        <v>169471</v>
      </c>
      <c r="D40" s="323" t="s">
        <v>758</v>
      </c>
      <c r="E40" s="301" t="s">
        <v>759</v>
      </c>
      <c r="F40" s="311">
        <f ca="1">INDIRECT("'数据-取费表'!I"&amp;$G$1)</f>
        <v>5.5E-2</v>
      </c>
      <c r="G40" s="1383"/>
      <c r="H40" s="1460">
        <f ca="1">C39/C5</f>
        <v>0.80961517961837759</v>
      </c>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45.01</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53480</v>
      </c>
      <c r="D43" s="336" t="s">
        <v>777</v>
      </c>
      <c r="E43" s="337" t="s">
        <v>778</v>
      </c>
      <c r="F43" s="338">
        <f ca="1">INDIRECT("'数据-取费表'!k"&amp;$G$1)</f>
        <v>31688.84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-172268</v>
      </c>
      <c r="D46" s="1405" t="str">
        <f>C2</f>
        <v>万元</v>
      </c>
      <c r="E46" s="1399"/>
      <c r="F46" s="1399"/>
      <c r="I46" s="1406" t="s">
        <v>810</v>
      </c>
      <c r="J46" s="1407"/>
      <c r="K46" s="1408"/>
      <c r="L46" s="1409">
        <f ca="1">IF(M47="住宅",0,IF(L48&gt;J51,L60,J60))</f>
        <v>455</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3446</v>
      </c>
      <c r="K47" s="1415" t="s">
        <v>816</v>
      </c>
      <c r="L47" s="1416">
        <f ca="1">INDIRECT("'数据-取费表'!d"&amp;$G$1)</f>
        <v>50</v>
      </c>
      <c r="M47" s="1379" t="str">
        <f>IF(ISNUMBER(FIND("住宅",C1)),"住宅","非住宅")</f>
        <v>非住宅</v>
      </c>
      <c r="O47" s="1417" t="s">
        <v>403</v>
      </c>
      <c r="P47" s="1418" t="s">
        <v>817</v>
      </c>
      <c r="Q47" s="1419">
        <f ca="1">C40+J29</f>
        <v>169471</v>
      </c>
      <c r="R47" s="1419" t="s">
        <v>818</v>
      </c>
    </row>
    <row r="48" spans="1:18" s="1383" customFormat="1" ht="28.5" thickBot="1">
      <c r="A48" s="1109" t="s">
        <v>438</v>
      </c>
      <c r="B48" s="299" t="s">
        <v>692</v>
      </c>
      <c r="C48" s="1358">
        <f ca="1">C49+C53+C55</f>
        <v>0</v>
      </c>
      <c r="D48" s="1111"/>
      <c r="E48" s="1112"/>
      <c r="F48" s="961"/>
      <c r="G48" s="721"/>
      <c r="H48" s="722"/>
      <c r="I48" s="1420" t="s">
        <v>819</v>
      </c>
      <c r="J48" s="1421" t="s">
        <v>3447</v>
      </c>
      <c r="K48" s="1422" t="s">
        <v>820</v>
      </c>
      <c r="L48" s="1423">
        <f ca="1">INDIRECT("'数据-取费表'!f"&amp;$G$1)</f>
        <v>45.01</v>
      </c>
      <c r="O48" s="1417" t="s">
        <v>404</v>
      </c>
      <c r="P48" s="1418" t="s">
        <v>821</v>
      </c>
      <c r="Q48" s="1419">
        <f ca="1">J60</f>
        <v>455</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2020</v>
      </c>
      <c r="K49" s="1422" t="s">
        <v>824</v>
      </c>
      <c r="L49" s="1426"/>
      <c r="O49" s="1427" t="s">
        <v>405</v>
      </c>
      <c r="P49" s="1418" t="s">
        <v>825</v>
      </c>
      <c r="Q49" s="1419">
        <f ca="1">C29</f>
        <v>29504</v>
      </c>
      <c r="R49" s="1419" t="s">
        <v>818</v>
      </c>
    </row>
    <row r="50" spans="1:18" s="1383" customFormat="1" ht="13.5" thickBot="1">
      <c r="A50" s="975"/>
      <c r="B50" s="978"/>
      <c r="C50" s="1117"/>
      <c r="D50" s="952"/>
      <c r="E50" s="1055" t="s">
        <v>697</v>
      </c>
      <c r="F50" s="1056">
        <f ca="1">F7</f>
        <v>31688.84</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55</v>
      </c>
      <c r="K51" s="1433" t="s">
        <v>830</v>
      </c>
      <c r="L51" s="1434">
        <f ca="1">ROUND(-PV(INDIRECT("'数据-取费表'!h"&amp;$G$1),J51,(C39-C13*C76),0),0)</f>
        <v>108041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45.01</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45.01</v>
      </c>
      <c r="K53" s="3674" t="s">
        <v>837</v>
      </c>
      <c r="L53" s="3675"/>
      <c r="O53" s="1417" t="s">
        <v>409</v>
      </c>
      <c r="P53" s="1418" t="s">
        <v>838</v>
      </c>
      <c r="Q53" s="1419">
        <f ca="1">Q47+Q48</f>
        <v>169926</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0.16700000000000001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25668</v>
      </c>
      <c r="D56" s="1446"/>
      <c r="E56" s="1447"/>
      <c r="F56" s="1439"/>
      <c r="I56" s="1448" t="s">
        <v>842</v>
      </c>
      <c r="J56" s="1449" t="s">
        <v>3448</v>
      </c>
      <c r="K56" s="1420" t="s">
        <v>843</v>
      </c>
      <c r="L56" s="1423" t="str">
        <f ca="1">IF(L48&lt;J51,"——",L48-J53)</f>
        <v>——</v>
      </c>
      <c r="O56" s="1417" t="s">
        <v>403</v>
      </c>
      <c r="P56" s="1418" t="s">
        <v>817</v>
      </c>
      <c r="Q56" s="1419">
        <f ca="1">C40+J29</f>
        <v>169471</v>
      </c>
      <c r="R56" s="1419" t="s">
        <v>818</v>
      </c>
    </row>
    <row r="57" spans="1:18" s="1383" customFormat="1" ht="24.75" thickBot="1">
      <c r="A57" s="1450"/>
      <c r="B57" s="949" t="s">
        <v>767</v>
      </c>
      <c r="C57" s="237">
        <f ca="1">C29</f>
        <v>29504</v>
      </c>
      <c r="D57" s="1451"/>
      <c r="E57" s="1452"/>
      <c r="F57" s="1453"/>
      <c r="I57" s="1454" t="s">
        <v>844</v>
      </c>
      <c r="J57" s="1455">
        <f ca="1">IF(OR(M47="住宅",J51&lt;L48,J56="是"),"——",J51-L48)</f>
        <v>9.990000000000002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169</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12</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11802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f ca="1">IF(OR(M47="住宅",J51&lt;L48,J56="是"),"0",ROUND(J59/(1+J52)^J53,0))</f>
        <v>455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3336</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12.33</v>
      </c>
      <c r="D62" s="964" t="s">
        <v>786</v>
      </c>
      <c r="E62" s="949" t="s">
        <v>787</v>
      </c>
      <c r="F62" s="324">
        <f t="shared" si="0"/>
        <v>24</v>
      </c>
      <c r="I62" s="1461" t="s">
        <v>858</v>
      </c>
      <c r="J62" s="1462" t="s">
        <v>859</v>
      </c>
      <c r="K62" s="1462" t="s">
        <v>860</v>
      </c>
      <c r="L62" s="1462" t="s">
        <v>861</v>
      </c>
      <c r="M62" s="1463" t="s">
        <v>862</v>
      </c>
      <c r="O62" s="1417" t="s">
        <v>409</v>
      </c>
      <c r="P62" s="1418" t="s">
        <v>863</v>
      </c>
      <c r="Q62" s="1419">
        <f ca="1">Q56+Q57</f>
        <v>169471</v>
      </c>
      <c r="R62" s="1419" t="s">
        <v>410</v>
      </c>
    </row>
    <row r="63" spans="1:18" s="1383" customFormat="1" ht="13.5" thickBot="1">
      <c r="A63" s="325"/>
      <c r="B63" s="955"/>
      <c r="C63" s="26"/>
      <c r="D63" s="965"/>
      <c r="E63" s="949" t="s">
        <v>788</v>
      </c>
      <c r="F63" s="302">
        <f t="shared" ca="1" si="0"/>
        <v>5135.43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118.02</v>
      </c>
      <c r="D64" s="963" t="s">
        <v>791</v>
      </c>
      <c r="E64" s="949" t="s">
        <v>783</v>
      </c>
      <c r="F64" s="327">
        <f t="shared" ca="1" si="0"/>
        <v>4.0000000000000001E-3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38.5</v>
      </c>
      <c r="D65" s="963" t="s">
        <v>743</v>
      </c>
      <c r="E65" s="949" t="s">
        <v>744</v>
      </c>
      <c r="F65" s="329">
        <f t="shared" ca="1" si="0"/>
        <v>1.5E-3</v>
      </c>
      <c r="I65" s="1461" t="s">
        <v>867</v>
      </c>
      <c r="J65" s="1462">
        <v>40</v>
      </c>
      <c r="K65" s="1462">
        <v>30</v>
      </c>
      <c r="L65" s="1462">
        <v>50</v>
      </c>
      <c r="M65" s="1464">
        <v>0.02</v>
      </c>
      <c r="O65" s="1417" t="s">
        <v>403</v>
      </c>
      <c r="P65" s="1418" t="s">
        <v>868</v>
      </c>
      <c r="Q65" s="1419">
        <f ca="1">C40+J29</f>
        <v>169471</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-169</v>
      </c>
      <c r="D67" s="962" t="s">
        <v>753</v>
      </c>
      <c r="E67" s="967"/>
      <c r="F67" s="968"/>
      <c r="O67" s="1427" t="s">
        <v>405</v>
      </c>
      <c r="P67" s="1418" t="s">
        <v>850</v>
      </c>
      <c r="Q67" s="1465">
        <f ca="1">L51</f>
        <v>108041</v>
      </c>
      <c r="R67" s="1419" t="s">
        <v>870</v>
      </c>
    </row>
    <row r="68" spans="1:18" s="1383" customFormat="1" ht="16.5" thickBot="1">
      <c r="A68" s="946" t="s">
        <v>395</v>
      </c>
      <c r="B68" s="947" t="s">
        <v>774</v>
      </c>
      <c r="C68" s="300">
        <f ca="1">ROUND(C67*(1-((1+F70)/(1+F68))^F69)/(F68-F70),0)</f>
        <v>-2797</v>
      </c>
      <c r="D68" s="964" t="s">
        <v>758</v>
      </c>
      <c r="E68" s="949" t="s">
        <v>759</v>
      </c>
      <c r="F68" s="311">
        <f ca="1">F40</f>
        <v>5.5E-2</v>
      </c>
      <c r="O68" s="1427" t="s">
        <v>406</v>
      </c>
      <c r="P68" s="1466" t="s">
        <v>871</v>
      </c>
      <c r="Q68" s="1419">
        <f ca="1">ROUND(Q69-Q70*Q71,0)</f>
        <v>5798</v>
      </c>
      <c r="R68" s="1419" t="s">
        <v>414</v>
      </c>
    </row>
    <row r="69" spans="1:18" s="1383" customFormat="1" ht="13.5" thickBot="1">
      <c r="A69" s="950"/>
      <c r="B69" s="951"/>
      <c r="C69" s="305"/>
      <c r="D69" s="969" t="s">
        <v>762</v>
      </c>
      <c r="E69" s="949" t="s">
        <v>763</v>
      </c>
      <c r="F69" s="332">
        <f ca="1">F41</f>
        <v>45.01</v>
      </c>
      <c r="O69" s="1427" t="s">
        <v>411</v>
      </c>
      <c r="P69" s="1466" t="s">
        <v>872</v>
      </c>
      <c r="Q69" s="1419">
        <f ca="1">C39</f>
        <v>7595</v>
      </c>
      <c r="R69" s="1419" t="s">
        <v>818</v>
      </c>
    </row>
    <row r="70" spans="1:18" s="1383" customFormat="1" ht="13.5" thickBot="1">
      <c r="A70" s="953"/>
      <c r="B70" s="954"/>
      <c r="C70" s="309"/>
      <c r="D70" s="965"/>
      <c r="E70" s="949" t="s">
        <v>766</v>
      </c>
      <c r="F70" s="1053"/>
      <c r="O70" s="1427" t="s">
        <v>412</v>
      </c>
      <c r="P70" s="1466" t="s">
        <v>873</v>
      </c>
      <c r="Q70" s="1419">
        <f ca="1">C13</f>
        <v>25668</v>
      </c>
      <c r="R70" s="1419" t="s">
        <v>818</v>
      </c>
    </row>
    <row r="71" spans="1:18" s="1383" customFormat="1" ht="13.5" thickBot="1">
      <c r="A71" s="970" t="s">
        <v>396</v>
      </c>
      <c r="B71" s="971" t="s">
        <v>776</v>
      </c>
      <c r="C71" s="335">
        <f ca="1">ROUND(C68*10000/F71,0)</f>
        <v>-883</v>
      </c>
      <c r="D71" s="972" t="s">
        <v>777</v>
      </c>
      <c r="E71" s="973" t="s">
        <v>778</v>
      </c>
      <c r="F71" s="338">
        <f ca="1">F43</f>
        <v>31688.84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1797</v>
      </c>
      <c r="D75" s="1383"/>
      <c r="E75" s="1383"/>
      <c r="F75" s="1383"/>
      <c r="K75" s="1401"/>
      <c r="L75" s="1383"/>
      <c r="O75" s="1417" t="s">
        <v>409</v>
      </c>
      <c r="P75" s="1418" t="s">
        <v>838</v>
      </c>
      <c r="Q75" s="1419">
        <f ca="1">Q65+Q66</f>
        <v>169471</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0.76300000000000001</v>
      </c>
    </row>
    <row r="80" spans="1:18">
      <c r="B80" s="339" t="s">
        <v>800</v>
      </c>
      <c r="C80" s="273">
        <f ca="1">ROUND(C75/C39,3)</f>
        <v>0.23699999999999999</v>
      </c>
    </row>
    <row r="81" spans="2:3">
      <c r="B81" s="269" t="s">
        <v>801</v>
      </c>
      <c r="C81" s="237"/>
    </row>
    <row r="82" spans="2:3">
      <c r="B82" s="272" t="s">
        <v>802</v>
      </c>
      <c r="C82" s="274">
        <f ca="1">1-C83</f>
        <v>0.84899999999999998</v>
      </c>
    </row>
    <row r="83" spans="2:3">
      <c r="B83" s="272" t="s">
        <v>803</v>
      </c>
      <c r="C83" s="273">
        <f ca="1">ROUND(C13/C40,3)</f>
        <v>0.151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71" t="s">
        <v>694</v>
      </c>
      <c r="C6" s="1073">
        <f ca="1">ROUND(F6*F8*F7*(1-F9),0)</f>
        <v>0</v>
      </c>
      <c r="D6" s="154" t="s">
        <v>2106</v>
      </c>
      <c r="E6" s="301" t="s">
        <v>696</v>
      </c>
      <c r="F6" s="302">
        <f ca="1">INDIRECT("'数据-取费表'!u"&amp;$G$1)</f>
        <v>0</v>
      </c>
      <c r="G6" s="1383"/>
      <c r="H6" s="1068" t="s">
        <v>398</v>
      </c>
      <c r="I6" s="3671" t="s">
        <v>694</v>
      </c>
      <c r="J6" s="300">
        <f ca="1">ROUND(M6*M8*M7*(1-M9),0)</f>
        <v>0</v>
      </c>
      <c r="K6" s="1375" t="s">
        <v>2107</v>
      </c>
      <c r="L6" s="301" t="s">
        <v>696</v>
      </c>
      <c r="M6" s="302">
        <f ca="1">INDIRECT("'数据-取费表'!z"&amp;$G$1)</f>
        <v>0</v>
      </c>
    </row>
    <row r="7" spans="1:37" ht="18" customHeight="1">
      <c r="A7" s="1072"/>
      <c r="B7" s="3672"/>
      <c r="C7" s="1074"/>
      <c r="D7" s="306"/>
      <c r="E7" s="1075" t="s">
        <v>697</v>
      </c>
      <c r="F7" s="302">
        <f ca="1">IF(INDIRECT("'数据-取费表'!ah"&amp;$G$1)="",INDIRECT("'数据-取费表'!k"&amp;$G$1),INDIRECT("'数据-取费表'!ah"&amp;$G$1))</f>
        <v>0</v>
      </c>
      <c r="G7" s="1383"/>
      <c r="H7" s="303"/>
      <c r="I7" s="3672"/>
      <c r="J7" s="305"/>
      <c r="K7" s="306"/>
      <c r="L7" s="301" t="s">
        <v>697</v>
      </c>
      <c r="M7" s="302">
        <f ca="1">F7</f>
        <v>0</v>
      </c>
    </row>
    <row r="8" spans="1:37" ht="18" customHeight="1">
      <c r="A8" s="303"/>
      <c r="B8" s="3672"/>
      <c r="C8" s="305"/>
      <c r="D8" s="306"/>
      <c r="E8" s="301" t="s">
        <v>698</v>
      </c>
      <c r="F8" s="302">
        <f ca="1">INDIRECT("'数据-取费表'!ai"&amp;$G$1)</f>
        <v>0</v>
      </c>
      <c r="G8" s="1383"/>
      <c r="H8" s="303"/>
      <c r="I8" s="3672"/>
      <c r="J8" s="305"/>
      <c r="K8" s="306"/>
      <c r="L8" s="301" t="s">
        <v>698</v>
      </c>
      <c r="M8" s="302">
        <f ca="1">INDIRECT("'数据-取费表'!ai"&amp;$G$1)</f>
        <v>0</v>
      </c>
    </row>
    <row r="9" spans="1:37" ht="18" customHeight="1">
      <c r="A9" s="303"/>
      <c r="B9" s="3673"/>
      <c r="C9" s="305"/>
      <c r="D9" s="306"/>
      <c r="E9" s="301" t="s">
        <v>699</v>
      </c>
      <c r="F9" s="311">
        <f ca="1">INDIRECT("'数据-取费表'!w"&amp;$G$1)</f>
        <v>0</v>
      </c>
      <c r="G9" s="1383"/>
      <c r="H9" s="303"/>
      <c r="I9" s="3673"/>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3336</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2.5000000000000001E-2</v>
      </c>
      <c r="G20" s="1395"/>
      <c r="H20" s="981" t="s">
        <v>680</v>
      </c>
      <c r="I20" s="154" t="s">
        <v>730</v>
      </c>
      <c r="J20" s="22">
        <f ca="1">ROUND(M20*M21,0)</f>
        <v>0</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2.5000000000000001E-2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IF(项目基本情况!B11="自然人","——",ROUND(C6*F32/(1+'数据-取费表'!C42),0))</f>
        <v>0</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3336</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74" t="s">
        <v>837</v>
      </c>
      <c r="L53" s="3675"/>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3336</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676" t="s">
        <v>2317</v>
      </c>
      <c r="K2" s="3677"/>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78" t="s">
        <v>2327</v>
      </c>
      <c r="K3" s="3679"/>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78" t="s">
        <v>2329</v>
      </c>
      <c r="K4" s="3679"/>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80" t="s">
        <v>2333</v>
      </c>
      <c r="B6" s="3681"/>
      <c r="C6" s="3682"/>
      <c r="D6" s="2869"/>
      <c r="E6" s="2870"/>
      <c r="F6" s="2871"/>
      <c r="G6" s="2872"/>
      <c r="H6" s="2847"/>
      <c r="I6" s="2848"/>
      <c r="J6" s="3683">
        <v>1</v>
      </c>
      <c r="K6" s="3684"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83"/>
      <c r="K7" s="3685"/>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87" t="s">
        <v>2347</v>
      </c>
      <c r="C8" s="3688"/>
      <c r="D8" s="2888" t="s">
        <v>2348</v>
      </c>
      <c r="E8" s="2889" t="s">
        <v>2349</v>
      </c>
      <c r="F8" s="2890" t="s">
        <v>2350</v>
      </c>
      <c r="G8" s="2891"/>
      <c r="H8" s="2847"/>
      <c r="I8" s="2848"/>
      <c r="J8" s="3683"/>
      <c r="K8" s="3685"/>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87" t="s">
        <v>2353</v>
      </c>
      <c r="C9" s="3688"/>
      <c r="D9" s="2888">
        <f>ROUND(D6*E9,0)</f>
        <v>0</v>
      </c>
      <c r="E9" s="2892"/>
      <c r="F9" s="2893" t="s">
        <v>2354</v>
      </c>
      <c r="G9" s="2872"/>
      <c r="H9" s="2847"/>
      <c r="I9" s="2848"/>
      <c r="J9" s="3683"/>
      <c r="K9" s="3685"/>
      <c r="L9" s="2882" t="s">
        <v>2355</v>
      </c>
      <c r="M9" s="2883"/>
      <c r="N9" s="2859"/>
      <c r="O9" s="2884"/>
      <c r="P9" s="2884"/>
      <c r="Q9" s="2885">
        <v>365</v>
      </c>
      <c r="R9" s="2886">
        <f t="shared" si="0"/>
        <v>0</v>
      </c>
      <c r="S9" s="2840"/>
      <c r="T9" s="2840"/>
      <c r="U9" s="2840"/>
      <c r="V9" s="2848"/>
    </row>
    <row r="10" spans="1:22" s="2852" customFormat="1" ht="13.15" customHeight="1">
      <c r="A10" s="2887">
        <v>2</v>
      </c>
      <c r="B10" s="3687" t="s">
        <v>2356</v>
      </c>
      <c r="C10" s="3688"/>
      <c r="D10" s="2888">
        <f>ROUND(D6*E10,0)</f>
        <v>0</v>
      </c>
      <c r="E10" s="2892"/>
      <c r="F10" s="2893" t="s">
        <v>2357</v>
      </c>
      <c r="G10" s="2872"/>
      <c r="H10" s="2847"/>
      <c r="I10" s="2848"/>
      <c r="J10" s="3683"/>
      <c r="K10" s="3685"/>
      <c r="L10" s="2882" t="s">
        <v>2358</v>
      </c>
      <c r="M10" s="2883"/>
      <c r="N10" s="2859"/>
      <c r="O10" s="2884"/>
      <c r="P10" s="2884"/>
      <c r="Q10" s="2885">
        <v>365</v>
      </c>
      <c r="R10" s="2886">
        <f t="shared" si="0"/>
        <v>0</v>
      </c>
      <c r="S10" s="2840"/>
      <c r="T10" s="2840"/>
      <c r="U10" s="2840"/>
      <c r="V10" s="2848"/>
    </row>
    <row r="11" spans="1:22" s="2852" customFormat="1" ht="13.15" customHeight="1">
      <c r="A11" s="2887">
        <v>3</v>
      </c>
      <c r="B11" s="3687" t="s">
        <v>2359</v>
      </c>
      <c r="C11" s="3688"/>
      <c r="D11" s="2888">
        <f>D12+D14+D15+D16</f>
        <v>0</v>
      </c>
      <c r="E11" s="2894" t="e">
        <f>D11/D6</f>
        <v>#DIV/0!</v>
      </c>
      <c r="F11" s="2890"/>
      <c r="G11" s="2891"/>
      <c r="H11" s="2847"/>
      <c r="I11" s="2848"/>
      <c r="J11" s="3683"/>
      <c r="K11" s="3685"/>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89" t="s">
        <v>2362</v>
      </c>
      <c r="C12" s="3690"/>
      <c r="D12" s="2896">
        <f>ROUND(D13*1.2%*(1-30%),0)</f>
        <v>0</v>
      </c>
      <c r="E12" s="2897">
        <v>1.2E-2</v>
      </c>
      <c r="F12" s="2890" t="s">
        <v>2363</v>
      </c>
      <c r="G12" s="2891"/>
      <c r="H12" s="2847"/>
      <c r="I12" s="2848"/>
      <c r="J12" s="3683"/>
      <c r="K12" s="3685"/>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83"/>
      <c r="K13" s="3685"/>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89" t="s">
        <v>2368</v>
      </c>
      <c r="C14" s="3690"/>
      <c r="D14" s="2896">
        <f>ROUND(E14*B5/10000,0)</f>
        <v>0</v>
      </c>
      <c r="E14" s="2885"/>
      <c r="F14" s="2890" t="s">
        <v>2369</v>
      </c>
      <c r="G14" s="2891"/>
      <c r="H14" s="2847"/>
      <c r="I14" s="2848"/>
      <c r="J14" s="3683"/>
      <c r="K14" s="3686"/>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89" t="s">
        <v>2372</v>
      </c>
      <c r="C15" s="3690"/>
      <c r="D15" s="2896">
        <f>ROUND(D6*E15,0)</f>
        <v>0</v>
      </c>
      <c r="E15" s="2897">
        <v>5.5E-2</v>
      </c>
      <c r="F15" s="2890" t="s">
        <v>2373</v>
      </c>
      <c r="G15" s="2872"/>
      <c r="H15" s="2847"/>
      <c r="I15" s="2848"/>
      <c r="J15" s="3683">
        <v>2</v>
      </c>
      <c r="K15" s="3684"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89" t="s">
        <v>2381</v>
      </c>
      <c r="C16" s="3690"/>
      <c r="D16" s="2907">
        <f>D6*E16</f>
        <v>0</v>
      </c>
      <c r="E16" s="2908"/>
      <c r="F16" s="2893" t="s">
        <v>2382</v>
      </c>
      <c r="G16" s="2872"/>
      <c r="H16" s="2847"/>
      <c r="I16" s="2848"/>
      <c r="J16" s="3683"/>
      <c r="K16" s="3685"/>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91" t="s">
        <v>2384</v>
      </c>
      <c r="C17" s="3692"/>
      <c r="D17" s="2910">
        <f>ROUND(D6*E17,0)</f>
        <v>0</v>
      </c>
      <c r="E17" s="2911"/>
      <c r="F17" s="2912" t="s">
        <v>2385</v>
      </c>
      <c r="G17" s="2872"/>
      <c r="H17" s="2847"/>
      <c r="I17" s="2848"/>
      <c r="J17" s="3683"/>
      <c r="K17" s="3685"/>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83"/>
      <c r="K18" s="3685"/>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83"/>
      <c r="K19" s="3686"/>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83">
        <v>3</v>
      </c>
      <c r="K20" s="3684"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83"/>
      <c r="K21" s="3685"/>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83"/>
      <c r="K22" s="3685"/>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83"/>
      <c r="K23" s="3685"/>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83"/>
      <c r="K24" s="3686"/>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93">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9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76" t="s">
        <v>2317</v>
      </c>
      <c r="K32" s="3677"/>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78" t="s">
        <v>2327</v>
      </c>
      <c r="K33" s="3679"/>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78" t="s">
        <v>2329</v>
      </c>
      <c r="K34" s="367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83">
        <v>1</v>
      </c>
      <c r="K36" s="3684"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83"/>
      <c r="K37" s="3685"/>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83"/>
      <c r="K38" s="3685"/>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83"/>
      <c r="K39" s="3685"/>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83"/>
      <c r="K40" s="3686"/>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3">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9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172994</v>
      </c>
      <c r="C2" s="1871" t="s">
        <v>1651</v>
      </c>
      <c r="D2" s="1872" t="s">
        <v>1652</v>
      </c>
      <c r="E2" s="2606">
        <f>SUM(E6:E13)</f>
        <v>42466.65</v>
      </c>
      <c r="F2" s="2706"/>
      <c r="G2" s="1488"/>
      <c r="H2" s="1488"/>
      <c r="I2" s="1488"/>
      <c r="J2" s="1488"/>
      <c r="K2" s="1488"/>
      <c r="L2" s="1488"/>
      <c r="M2" s="1488"/>
      <c r="N2" s="1488"/>
      <c r="O2" s="1488"/>
      <c r="P2" s="1488"/>
      <c r="Q2" s="1488"/>
      <c r="R2" s="1488"/>
      <c r="S2" s="1488"/>
    </row>
    <row r="3" spans="1:22" ht="15.75">
      <c r="A3" s="1869" t="s">
        <v>686</v>
      </c>
      <c r="B3" s="2600">
        <f ca="1">ROUND(B2*10000/E2,0)</f>
        <v>40736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95" t="s">
        <v>1654</v>
      </c>
      <c r="C5" s="369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169926</v>
      </c>
      <c r="C6" s="1871" t="s">
        <v>1651</v>
      </c>
      <c r="D6" s="2708"/>
      <c r="E6" s="2605">
        <f>IF(OR(A6=0,F6="否"),0,'数据-取费表'!K6+'数据-取费表'!S6)</f>
        <v>32072.2</v>
      </c>
      <c r="F6" s="1875" t="s">
        <v>1657</v>
      </c>
      <c r="G6" s="1488"/>
      <c r="H6" s="1488"/>
      <c r="I6" s="1488"/>
      <c r="J6" s="1488"/>
      <c r="K6" s="1488"/>
      <c r="L6" s="1488"/>
      <c r="M6" s="1488"/>
      <c r="N6" s="1488"/>
      <c r="O6" s="1488"/>
      <c r="P6" s="1488"/>
      <c r="Q6" s="1488"/>
      <c r="R6" s="1488"/>
      <c r="S6" s="1488"/>
    </row>
    <row r="7" spans="1:22">
      <c r="A7" s="2603" t="str">
        <f>'数据-取费表'!AN7</f>
        <v>收益法-车库</v>
      </c>
      <c r="B7" s="2601">
        <f ca="1">IF(F7="是",'数据-取费表'!AO7,0)</f>
        <v>3068</v>
      </c>
      <c r="C7" s="1871" t="s">
        <v>1651</v>
      </c>
      <c r="D7" s="2708"/>
      <c r="E7" s="2605">
        <f>IF(OR(A7=0,F7="否"),0,'数据-取费表'!K7+'数据-取费表'!S7)</f>
        <v>10394.449999999999</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42466.65</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715" t="s">
        <v>1667</v>
      </c>
      <c r="D4" s="3716"/>
      <c r="E4" s="3717" t="s">
        <v>1668</v>
      </c>
      <c r="F4" s="3718"/>
      <c r="G4" s="3715" t="s">
        <v>1669</v>
      </c>
      <c r="H4" s="3716"/>
      <c r="I4" s="3715" t="s">
        <v>1670</v>
      </c>
      <c r="J4" s="3716"/>
      <c r="K4" s="1888" t="s">
        <v>1671</v>
      </c>
      <c r="L4" s="2714"/>
      <c r="M4" s="2715"/>
      <c r="N4" s="2715"/>
      <c r="O4" s="2715"/>
      <c r="P4" s="3719" t="s">
        <v>1672</v>
      </c>
      <c r="Q4" s="3720"/>
      <c r="R4" s="3702" t="s">
        <v>1668</v>
      </c>
      <c r="S4" s="3703"/>
      <c r="T4" s="3702" t="s">
        <v>1669</v>
      </c>
      <c r="U4" s="3703"/>
      <c r="V4" s="3727" t="s">
        <v>1670</v>
      </c>
      <c r="W4" s="3727"/>
      <c r="X4" s="1354"/>
      <c r="Y4" s="3702" t="s">
        <v>1672</v>
      </c>
      <c r="Z4" s="3703"/>
      <c r="AA4" s="3697" t="s">
        <v>1668</v>
      </c>
      <c r="AB4" s="3697" t="s">
        <v>1669</v>
      </c>
      <c r="AC4" s="3697" t="s">
        <v>1670</v>
      </c>
    </row>
    <row r="5" spans="1:29" ht="15">
      <c r="A5" s="357"/>
      <c r="B5" s="358"/>
      <c r="C5" s="3708" t="s">
        <v>1673</v>
      </c>
      <c r="D5" s="3709"/>
      <c r="E5" s="3706" t="s">
        <v>1674</v>
      </c>
      <c r="F5" s="3707"/>
      <c r="G5" s="3708" t="s">
        <v>1675</v>
      </c>
      <c r="H5" s="3709"/>
      <c r="I5" s="3708" t="s">
        <v>1676</v>
      </c>
      <c r="J5" s="3709"/>
      <c r="K5" s="1889"/>
      <c r="L5" s="2714"/>
      <c r="M5" s="2715"/>
      <c r="N5" s="2715"/>
      <c r="O5" s="2715"/>
      <c r="P5" s="3721"/>
      <c r="Q5" s="3722"/>
      <c r="R5" s="3704"/>
      <c r="S5" s="3705"/>
      <c r="T5" s="3704"/>
      <c r="U5" s="3705"/>
      <c r="V5" s="3727"/>
      <c r="W5" s="3727"/>
      <c r="X5" s="1354"/>
      <c r="Y5" s="3704"/>
      <c r="Z5" s="3705"/>
      <c r="AA5" s="3698"/>
      <c r="AB5" s="3698"/>
      <c r="AC5" s="3698"/>
    </row>
    <row r="6" spans="1:29" ht="15.75" thickBot="1">
      <c r="A6" s="359"/>
      <c r="B6" s="360"/>
      <c r="C6" s="3710" t="s">
        <v>1677</v>
      </c>
      <c r="D6" s="3711"/>
      <c r="E6" s="3712" t="s">
        <v>1677</v>
      </c>
      <c r="F6" s="3713"/>
      <c r="G6" s="3710" t="s">
        <v>1677</v>
      </c>
      <c r="H6" s="3711"/>
      <c r="I6" s="3710" t="s">
        <v>1677</v>
      </c>
      <c r="J6" s="3711"/>
      <c r="K6" s="1889" t="s">
        <v>1678</v>
      </c>
      <c r="L6" s="2714"/>
      <c r="M6" s="2715"/>
      <c r="N6" s="2715"/>
      <c r="O6" s="2715"/>
      <c r="P6" s="3723"/>
      <c r="Q6" s="3724"/>
      <c r="R6" s="3704"/>
      <c r="S6" s="3705"/>
      <c r="T6" s="3725"/>
      <c r="U6" s="3726"/>
      <c r="V6" s="3727"/>
      <c r="W6" s="3727"/>
      <c r="X6" s="1354"/>
      <c r="Y6" s="3725"/>
      <c r="Z6" s="3726"/>
      <c r="AA6" s="3699"/>
      <c r="AB6" s="3699"/>
      <c r="AC6" s="3699"/>
    </row>
    <row r="7" spans="1:29" s="107" customFormat="1" ht="15.75" thickBot="1">
      <c r="A7" s="361" t="s">
        <v>1679</v>
      </c>
      <c r="B7" s="362"/>
      <c r="C7" s="363">
        <f>'数据-取费表'!B2</f>
        <v>45754</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00" t="s">
        <v>1680</v>
      </c>
      <c r="Q7" s="3728"/>
      <c r="R7" s="700" t="s">
        <v>20</v>
      </c>
      <c r="S7" s="701">
        <f t="shared" ref="S7:S15" si="0">F7</f>
        <v>0</v>
      </c>
      <c r="T7" s="700" t="s">
        <v>20</v>
      </c>
      <c r="U7" s="701">
        <f t="shared" ref="U7:U15" si="1">H7</f>
        <v>0</v>
      </c>
      <c r="V7" s="700" t="s">
        <v>20</v>
      </c>
      <c r="W7" s="701">
        <f t="shared" ref="W7:W15" si="2">J7</f>
        <v>0</v>
      </c>
      <c r="X7" s="702"/>
      <c r="Y7" s="3700" t="s">
        <v>1680</v>
      </c>
      <c r="Z7" s="3701"/>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00" t="s">
        <v>1683</v>
      </c>
      <c r="Q8" s="3701"/>
      <c r="R8" s="700" t="s">
        <v>20</v>
      </c>
      <c r="S8" s="701">
        <f t="shared" si="0"/>
        <v>100</v>
      </c>
      <c r="T8" s="700" t="s">
        <v>20</v>
      </c>
      <c r="U8" s="701">
        <f t="shared" si="1"/>
        <v>100</v>
      </c>
      <c r="V8" s="700" t="s">
        <v>20</v>
      </c>
      <c r="W8" s="701">
        <f t="shared" si="2"/>
        <v>100</v>
      </c>
      <c r="X8" s="702"/>
      <c r="Y8" s="3700" t="s">
        <v>1683</v>
      </c>
      <c r="Z8" s="3701"/>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14"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14"/>
      <c r="Q10" s="1342"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14"/>
      <c r="Q11" s="1342" t="str">
        <f t="shared" si="6"/>
        <v>容积率</v>
      </c>
      <c r="R11" s="700" t="s">
        <v>18</v>
      </c>
      <c r="S11" s="701" t="e">
        <f t="shared" si="0"/>
        <v>#N/A</v>
      </c>
      <c r="T11" s="700" t="s">
        <v>18</v>
      </c>
      <c r="U11" s="701" t="e">
        <f t="shared" si="1"/>
        <v>#N/A</v>
      </c>
      <c r="V11" s="700" t="s">
        <v>18</v>
      </c>
      <c r="W11" s="701" t="e">
        <f t="shared" si="2"/>
        <v>#N/A</v>
      </c>
      <c r="X11" s="702"/>
      <c r="Y11" s="3644"/>
      <c r="Z11" s="52"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14"/>
      <c r="Q12" s="1342">
        <f t="shared" si="6"/>
        <v>111</v>
      </c>
      <c r="R12" s="700" t="s">
        <v>18</v>
      </c>
      <c r="S12" s="701">
        <f t="shared" si="0"/>
        <v>100</v>
      </c>
      <c r="T12" s="700" t="s">
        <v>18</v>
      </c>
      <c r="U12" s="701">
        <f t="shared" si="1"/>
        <v>100</v>
      </c>
      <c r="V12" s="700" t="s">
        <v>18</v>
      </c>
      <c r="W12" s="701">
        <f t="shared" si="2"/>
        <v>100</v>
      </c>
      <c r="X12" s="702"/>
      <c r="Y12" s="3644"/>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14"/>
      <c r="Q13" s="1342">
        <f t="shared" si="6"/>
        <v>111</v>
      </c>
      <c r="R13" s="700" t="s">
        <v>18</v>
      </c>
      <c r="S13" s="701">
        <f t="shared" si="0"/>
        <v>100</v>
      </c>
      <c r="T13" s="700" t="s">
        <v>18</v>
      </c>
      <c r="U13" s="701">
        <f t="shared" si="1"/>
        <v>100</v>
      </c>
      <c r="V13" s="700" t="s">
        <v>18</v>
      </c>
      <c r="W13" s="701">
        <f t="shared" si="2"/>
        <v>100</v>
      </c>
      <c r="X13" s="702"/>
      <c r="Y13" s="3644"/>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14"/>
      <c r="Q14" s="1342">
        <f t="shared" si="6"/>
        <v>111</v>
      </c>
      <c r="R14" s="700" t="s">
        <v>18</v>
      </c>
      <c r="S14" s="701">
        <f t="shared" si="0"/>
        <v>100</v>
      </c>
      <c r="T14" s="700" t="s">
        <v>18</v>
      </c>
      <c r="U14" s="701">
        <f t="shared" si="1"/>
        <v>100</v>
      </c>
      <c r="V14" s="700" t="s">
        <v>18</v>
      </c>
      <c r="W14" s="701">
        <f t="shared" si="2"/>
        <v>100</v>
      </c>
      <c r="X14" s="702"/>
      <c r="Y14" s="3644"/>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41" t="s">
        <v>1691</v>
      </c>
      <c r="Q15" s="1351" t="str">
        <f t="shared" si="6"/>
        <v>居住社区成熟度</v>
      </c>
      <c r="R15" s="704" t="s">
        <v>18</v>
      </c>
      <c r="S15" s="705">
        <f t="shared" si="0"/>
        <v>100</v>
      </c>
      <c r="T15" s="704" t="s">
        <v>18</v>
      </c>
      <c r="U15" s="705">
        <f t="shared" si="1"/>
        <v>100</v>
      </c>
      <c r="V15" s="704" t="s">
        <v>18</v>
      </c>
      <c r="W15" s="705">
        <f t="shared" si="2"/>
        <v>100</v>
      </c>
      <c r="X15" s="1354"/>
      <c r="Y15" s="3734"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42"/>
      <c r="Q16" s="1351"/>
      <c r="R16" s="704"/>
      <c r="S16" s="705"/>
      <c r="T16" s="704"/>
      <c r="U16" s="705"/>
      <c r="V16" s="704"/>
      <c r="W16" s="705"/>
      <c r="X16" s="1354"/>
      <c r="Y16" s="3735"/>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42"/>
      <c r="Q17" s="1351" t="str">
        <f>B17</f>
        <v>交通便捷度</v>
      </c>
      <c r="R17" s="704" t="s">
        <v>18</v>
      </c>
      <c r="S17" s="705">
        <f>F17</f>
        <v>100</v>
      </c>
      <c r="T17" s="704" t="s">
        <v>18</v>
      </c>
      <c r="U17" s="705">
        <f>H17</f>
        <v>100</v>
      </c>
      <c r="V17" s="704" t="s">
        <v>18</v>
      </c>
      <c r="W17" s="705">
        <f>J17</f>
        <v>100</v>
      </c>
      <c r="X17" s="1354"/>
      <c r="Y17" s="3735"/>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42"/>
      <c r="Q18" s="1351"/>
      <c r="R18" s="704"/>
      <c r="S18" s="705"/>
      <c r="T18" s="704"/>
      <c r="U18" s="705"/>
      <c r="V18" s="704"/>
      <c r="W18" s="705"/>
      <c r="X18" s="1354"/>
      <c r="Y18" s="3735"/>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42"/>
      <c r="Q19" s="1351" t="str">
        <f>B19</f>
        <v>公共配套设施</v>
      </c>
      <c r="R19" s="704" t="s">
        <v>18</v>
      </c>
      <c r="S19" s="705">
        <f>F19</f>
        <v>100</v>
      </c>
      <c r="T19" s="704" t="s">
        <v>18</v>
      </c>
      <c r="U19" s="705">
        <f>H19</f>
        <v>100</v>
      </c>
      <c r="V19" s="704" t="s">
        <v>18</v>
      </c>
      <c r="W19" s="705">
        <f>J19</f>
        <v>100</v>
      </c>
      <c r="X19" s="1354"/>
      <c r="Y19" s="3735"/>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42"/>
      <c r="Q20" s="1351"/>
      <c r="R20" s="704"/>
      <c r="S20" s="705"/>
      <c r="T20" s="704"/>
      <c r="U20" s="705"/>
      <c r="V20" s="704"/>
      <c r="W20" s="705"/>
      <c r="X20" s="1354"/>
      <c r="Y20" s="3735"/>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42"/>
      <c r="Q21" s="1351" t="str">
        <f>B21</f>
        <v>基础设施水平</v>
      </c>
      <c r="R21" s="704" t="s">
        <v>14</v>
      </c>
      <c r="S21" s="705">
        <f>F21</f>
        <v>100</v>
      </c>
      <c r="T21" s="704" t="s">
        <v>14</v>
      </c>
      <c r="U21" s="705">
        <f>H21</f>
        <v>100</v>
      </c>
      <c r="V21" s="704" t="s">
        <v>14</v>
      </c>
      <c r="W21" s="705">
        <f>J21</f>
        <v>100</v>
      </c>
      <c r="X21" s="1354"/>
      <c r="Y21" s="373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42"/>
      <c r="Q22" s="1351"/>
      <c r="R22" s="704"/>
      <c r="S22" s="705"/>
      <c r="T22" s="704"/>
      <c r="U22" s="705"/>
      <c r="V22" s="704"/>
      <c r="W22" s="705"/>
      <c r="X22" s="1354"/>
      <c r="Y22" s="3735"/>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42"/>
      <c r="Q23" s="1351" t="str">
        <f>B23</f>
        <v>自然及人文环境</v>
      </c>
      <c r="R23" s="704" t="s">
        <v>18</v>
      </c>
      <c r="S23" s="705">
        <f>F23</f>
        <v>100</v>
      </c>
      <c r="T23" s="704" t="s">
        <v>18</v>
      </c>
      <c r="U23" s="705">
        <f>H23</f>
        <v>100</v>
      </c>
      <c r="V23" s="704" t="s">
        <v>18</v>
      </c>
      <c r="W23" s="705">
        <f>J23</f>
        <v>100</v>
      </c>
      <c r="X23" s="1354"/>
      <c r="Y23" s="3735"/>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42"/>
      <c r="Q24" s="1351"/>
      <c r="R24" s="704"/>
      <c r="S24" s="705"/>
      <c r="T24" s="704"/>
      <c r="U24" s="705"/>
      <c r="V24" s="704"/>
      <c r="W24" s="705"/>
      <c r="X24" s="1354"/>
      <c r="Y24" s="3735"/>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4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5"/>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42"/>
      <c r="Q26" s="1351" t="str">
        <f t="shared" si="11"/>
        <v>朝向</v>
      </c>
      <c r="R26" s="704" t="s">
        <v>18</v>
      </c>
      <c r="S26" s="705">
        <f t="shared" si="12"/>
        <v>100</v>
      </c>
      <c r="T26" s="704" t="s">
        <v>18</v>
      </c>
      <c r="U26" s="705">
        <f t="shared" si="13"/>
        <v>100</v>
      </c>
      <c r="V26" s="704" t="s">
        <v>18</v>
      </c>
      <c r="W26" s="705">
        <f t="shared" si="14"/>
        <v>100</v>
      </c>
      <c r="X26" s="1354"/>
      <c r="Y26" s="3735"/>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42"/>
      <c r="Q27" s="1342">
        <f t="shared" si="11"/>
        <v>111</v>
      </c>
      <c r="R27" s="700" t="s">
        <v>18</v>
      </c>
      <c r="S27" s="701">
        <f t="shared" si="12"/>
        <v>100</v>
      </c>
      <c r="T27" s="700" t="s">
        <v>18</v>
      </c>
      <c r="U27" s="701">
        <f t="shared" si="13"/>
        <v>100</v>
      </c>
      <c r="V27" s="700" t="s">
        <v>18</v>
      </c>
      <c r="W27" s="701">
        <f t="shared" si="14"/>
        <v>100</v>
      </c>
      <c r="X27" s="702"/>
      <c r="Y27" s="3735"/>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42"/>
      <c r="Q28" s="1351">
        <f t="shared" si="11"/>
        <v>111</v>
      </c>
      <c r="R28" s="704" t="s">
        <v>18</v>
      </c>
      <c r="S28" s="705">
        <f t="shared" si="12"/>
        <v>100</v>
      </c>
      <c r="T28" s="704" t="s">
        <v>18</v>
      </c>
      <c r="U28" s="705">
        <f t="shared" si="13"/>
        <v>100</v>
      </c>
      <c r="V28" s="704" t="s">
        <v>18</v>
      </c>
      <c r="W28" s="705">
        <f t="shared" si="14"/>
        <v>100</v>
      </c>
      <c r="X28" s="1354"/>
      <c r="Y28" s="3735"/>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42"/>
      <c r="Q29" s="1351">
        <f t="shared" si="11"/>
        <v>111</v>
      </c>
      <c r="R29" s="704" t="s">
        <v>18</v>
      </c>
      <c r="S29" s="705">
        <f t="shared" si="12"/>
        <v>100</v>
      </c>
      <c r="T29" s="704" t="s">
        <v>18</v>
      </c>
      <c r="U29" s="705">
        <f t="shared" si="13"/>
        <v>100</v>
      </c>
      <c r="V29" s="704" t="s">
        <v>18</v>
      </c>
      <c r="W29" s="705">
        <f t="shared" si="14"/>
        <v>100</v>
      </c>
      <c r="X29" s="1354"/>
      <c r="Y29" s="3735"/>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42"/>
      <c r="Q30" s="1351">
        <f t="shared" si="11"/>
        <v>111</v>
      </c>
      <c r="R30" s="704" t="s">
        <v>18</v>
      </c>
      <c r="S30" s="705">
        <f t="shared" si="12"/>
        <v>100</v>
      </c>
      <c r="T30" s="704" t="s">
        <v>18</v>
      </c>
      <c r="U30" s="705">
        <f t="shared" si="13"/>
        <v>100</v>
      </c>
      <c r="V30" s="704" t="s">
        <v>18</v>
      </c>
      <c r="W30" s="705">
        <f t="shared" si="14"/>
        <v>100</v>
      </c>
      <c r="X30" s="1354"/>
      <c r="Y30" s="3735"/>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42"/>
      <c r="Q31" s="1351">
        <f t="shared" si="11"/>
        <v>111</v>
      </c>
      <c r="R31" s="704" t="s">
        <v>18</v>
      </c>
      <c r="S31" s="705">
        <f t="shared" si="12"/>
        <v>100</v>
      </c>
      <c r="T31" s="704" t="s">
        <v>18</v>
      </c>
      <c r="U31" s="705">
        <f t="shared" si="13"/>
        <v>100</v>
      </c>
      <c r="V31" s="704" t="s">
        <v>18</v>
      </c>
      <c r="W31" s="705">
        <f t="shared" si="14"/>
        <v>100</v>
      </c>
      <c r="X31" s="1354"/>
      <c r="Y31" s="3735"/>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36" t="s">
        <v>1696</v>
      </c>
      <c r="Q32" s="1351" t="str">
        <f t="shared" si="11"/>
        <v>建筑类型</v>
      </c>
      <c r="R32" s="704" t="s">
        <v>18</v>
      </c>
      <c r="S32" s="705">
        <f t="shared" si="12"/>
        <v>100</v>
      </c>
      <c r="T32" s="704" t="s">
        <v>18</v>
      </c>
      <c r="U32" s="705">
        <f t="shared" si="13"/>
        <v>100</v>
      </c>
      <c r="V32" s="704" t="s">
        <v>18</v>
      </c>
      <c r="W32" s="705">
        <f t="shared" si="14"/>
        <v>100</v>
      </c>
      <c r="X32" s="1354"/>
      <c r="Y32" s="3739"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37"/>
      <c r="Q33" s="706" t="str">
        <f t="shared" si="11"/>
        <v>项目建筑规模</v>
      </c>
      <c r="R33" s="707" t="s">
        <v>18</v>
      </c>
      <c r="S33" s="708" t="e">
        <f t="shared" si="12"/>
        <v>#N/A</v>
      </c>
      <c r="T33" s="707" t="s">
        <v>18</v>
      </c>
      <c r="U33" s="708" t="e">
        <f t="shared" si="13"/>
        <v>#N/A</v>
      </c>
      <c r="V33" s="707" t="s">
        <v>18</v>
      </c>
      <c r="W33" s="708" t="e">
        <f t="shared" si="14"/>
        <v>#N/A</v>
      </c>
      <c r="X33" s="709"/>
      <c r="Y33" s="3739"/>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37"/>
      <c r="Q34" s="1351" t="str">
        <f t="shared" si="11"/>
        <v>建筑结构</v>
      </c>
      <c r="R34" s="704" t="s">
        <v>18</v>
      </c>
      <c r="S34" s="705">
        <f t="shared" si="12"/>
        <v>100</v>
      </c>
      <c r="T34" s="704" t="s">
        <v>18</v>
      </c>
      <c r="U34" s="705">
        <f t="shared" si="13"/>
        <v>100</v>
      </c>
      <c r="V34" s="704" t="s">
        <v>18</v>
      </c>
      <c r="W34" s="705">
        <f t="shared" si="14"/>
        <v>100</v>
      </c>
      <c r="X34" s="1354"/>
      <c r="Y34" s="3739"/>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37"/>
      <c r="Q35" s="1351" t="str">
        <f t="shared" si="11"/>
        <v>建筑品质</v>
      </c>
      <c r="R35" s="704" t="s">
        <v>18</v>
      </c>
      <c r="S35" s="705">
        <f t="shared" si="12"/>
        <v>100</v>
      </c>
      <c r="T35" s="704" t="s">
        <v>18</v>
      </c>
      <c r="U35" s="705">
        <f t="shared" si="13"/>
        <v>100</v>
      </c>
      <c r="V35" s="704" t="s">
        <v>18</v>
      </c>
      <c r="W35" s="705">
        <f t="shared" si="14"/>
        <v>100</v>
      </c>
      <c r="X35" s="1354"/>
      <c r="Y35" s="3739"/>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37"/>
      <c r="Q36" s="1351" t="str">
        <f t="shared" si="11"/>
        <v>公共部分装修</v>
      </c>
      <c r="R36" s="704" t="s">
        <v>18</v>
      </c>
      <c r="S36" s="705">
        <f t="shared" si="12"/>
        <v>100</v>
      </c>
      <c r="T36" s="704" t="s">
        <v>18</v>
      </c>
      <c r="U36" s="705">
        <f t="shared" si="13"/>
        <v>100</v>
      </c>
      <c r="V36" s="704" t="s">
        <v>18</v>
      </c>
      <c r="W36" s="705">
        <f t="shared" si="14"/>
        <v>100</v>
      </c>
      <c r="X36" s="1354"/>
      <c r="Y36" s="3739"/>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37"/>
      <c r="Q37" s="1342" t="str">
        <f t="shared" si="11"/>
        <v>成新度</v>
      </c>
      <c r="R37" s="700" t="s">
        <v>18</v>
      </c>
      <c r="S37" s="701" t="e">
        <f t="shared" si="12"/>
        <v>#N/A</v>
      </c>
      <c r="T37" s="700" t="s">
        <v>18</v>
      </c>
      <c r="U37" s="701" t="e">
        <f t="shared" si="13"/>
        <v>#N/A</v>
      </c>
      <c r="V37" s="700" t="s">
        <v>18</v>
      </c>
      <c r="W37" s="701" t="e">
        <f t="shared" si="14"/>
        <v>#N/A</v>
      </c>
      <c r="X37" s="702"/>
      <c r="Y37" s="3739"/>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37" t="s">
        <v>1696</v>
      </c>
      <c r="Q38" s="1351" t="str">
        <f t="shared" si="11"/>
        <v>物业管理</v>
      </c>
      <c r="R38" s="704" t="s">
        <v>18</v>
      </c>
      <c r="S38" s="705">
        <f t="shared" si="12"/>
        <v>100</v>
      </c>
      <c r="T38" s="704" t="s">
        <v>18</v>
      </c>
      <c r="U38" s="705">
        <f t="shared" si="13"/>
        <v>100</v>
      </c>
      <c r="V38" s="704" t="s">
        <v>18</v>
      </c>
      <c r="W38" s="705">
        <f t="shared" si="14"/>
        <v>100</v>
      </c>
      <c r="X38" s="1354"/>
      <c r="Y38" s="3739"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37"/>
      <c r="Q39" s="1351" t="str">
        <f t="shared" si="11"/>
        <v>市政基础设施</v>
      </c>
      <c r="R39" s="704" t="s">
        <v>18</v>
      </c>
      <c r="S39" s="705">
        <f t="shared" si="12"/>
        <v>100</v>
      </c>
      <c r="T39" s="704" t="s">
        <v>18</v>
      </c>
      <c r="U39" s="705">
        <f t="shared" si="13"/>
        <v>100</v>
      </c>
      <c r="V39" s="704" t="s">
        <v>18</v>
      </c>
      <c r="W39" s="705">
        <f t="shared" si="14"/>
        <v>100</v>
      </c>
      <c r="X39" s="1354"/>
      <c r="Y39" s="3739"/>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37"/>
      <c r="Q40" s="1351" t="str">
        <f t="shared" si="11"/>
        <v>房型</v>
      </c>
      <c r="R40" s="704" t="s">
        <v>18</v>
      </c>
      <c r="S40" s="705">
        <f t="shared" si="12"/>
        <v>100</v>
      </c>
      <c r="T40" s="704" t="s">
        <v>18</v>
      </c>
      <c r="U40" s="705">
        <f t="shared" si="13"/>
        <v>100</v>
      </c>
      <c r="V40" s="704" t="s">
        <v>18</v>
      </c>
      <c r="W40" s="705">
        <f t="shared" si="14"/>
        <v>100</v>
      </c>
      <c r="X40" s="1354"/>
      <c r="Y40" s="3739"/>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37"/>
      <c r="Q41" s="706" t="str">
        <f t="shared" si="11"/>
        <v>单套/主力户型建筑面积</v>
      </c>
      <c r="R41" s="707" t="s">
        <v>18</v>
      </c>
      <c r="S41" s="708">
        <f t="shared" si="12"/>
        <v>100</v>
      </c>
      <c r="T41" s="707" t="s">
        <v>18</v>
      </c>
      <c r="U41" s="708">
        <f t="shared" si="13"/>
        <v>100</v>
      </c>
      <c r="V41" s="707" t="s">
        <v>18</v>
      </c>
      <c r="W41" s="708">
        <f t="shared" si="14"/>
        <v>100</v>
      </c>
      <c r="X41" s="709"/>
      <c r="Y41" s="3739"/>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37"/>
      <c r="Q42" s="1351" t="str">
        <f t="shared" si="11"/>
        <v>内部装修</v>
      </c>
      <c r="R42" s="704" t="s">
        <v>18</v>
      </c>
      <c r="S42" s="705">
        <f t="shared" si="12"/>
        <v>100</v>
      </c>
      <c r="T42" s="704" t="s">
        <v>18</v>
      </c>
      <c r="U42" s="705">
        <f t="shared" si="13"/>
        <v>100</v>
      </c>
      <c r="V42" s="704" t="s">
        <v>18</v>
      </c>
      <c r="W42" s="705">
        <f t="shared" si="14"/>
        <v>100</v>
      </c>
      <c r="X42" s="1354"/>
      <c r="Y42" s="3739"/>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37"/>
      <c r="Q43" s="1351" t="str">
        <f t="shared" si="11"/>
        <v>内部装修维护情况</v>
      </c>
      <c r="R43" s="704" t="s">
        <v>18</v>
      </c>
      <c r="S43" s="705">
        <f t="shared" si="12"/>
        <v>100</v>
      </c>
      <c r="T43" s="704" t="s">
        <v>18</v>
      </c>
      <c r="U43" s="705">
        <f t="shared" si="13"/>
        <v>100</v>
      </c>
      <c r="V43" s="704" t="s">
        <v>18</v>
      </c>
      <c r="W43" s="705">
        <f t="shared" si="14"/>
        <v>100</v>
      </c>
      <c r="X43" s="1354"/>
      <c r="Y43" s="3739"/>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37"/>
      <c r="Q44" s="1342">
        <f t="shared" si="11"/>
        <v>111</v>
      </c>
      <c r="R44" s="700" t="s">
        <v>18</v>
      </c>
      <c r="S44" s="701">
        <f t="shared" si="12"/>
        <v>100</v>
      </c>
      <c r="T44" s="700" t="s">
        <v>18</v>
      </c>
      <c r="U44" s="701">
        <f t="shared" si="13"/>
        <v>100</v>
      </c>
      <c r="V44" s="700" t="s">
        <v>18</v>
      </c>
      <c r="W44" s="701">
        <f t="shared" si="14"/>
        <v>100</v>
      </c>
      <c r="X44" s="702"/>
      <c r="Y44" s="3739"/>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37"/>
      <c r="Q45" s="1351">
        <f t="shared" si="11"/>
        <v>111</v>
      </c>
      <c r="R45" s="704" t="s">
        <v>18</v>
      </c>
      <c r="S45" s="705">
        <f t="shared" si="12"/>
        <v>100</v>
      </c>
      <c r="T45" s="704" t="s">
        <v>18</v>
      </c>
      <c r="U45" s="705">
        <f t="shared" si="13"/>
        <v>100</v>
      </c>
      <c r="V45" s="704" t="s">
        <v>18</v>
      </c>
      <c r="W45" s="705">
        <f t="shared" si="14"/>
        <v>100</v>
      </c>
      <c r="X45" s="1354"/>
      <c r="Y45" s="3739"/>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38"/>
      <c r="Q46" s="1351">
        <f t="shared" si="11"/>
        <v>111</v>
      </c>
      <c r="R46" s="704" t="s">
        <v>17</v>
      </c>
      <c r="S46" s="705">
        <f t="shared" si="12"/>
        <v>100</v>
      </c>
      <c r="T46" s="704" t="s">
        <v>17</v>
      </c>
      <c r="U46" s="705">
        <f t="shared" si="13"/>
        <v>100</v>
      </c>
      <c r="V46" s="704" t="s">
        <v>17</v>
      </c>
      <c r="W46" s="705">
        <f t="shared" si="14"/>
        <v>100</v>
      </c>
      <c r="X46" s="1354"/>
      <c r="Y46" s="3740"/>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32" t="str">
        <f>A47</f>
        <v>成交单价（元/平方米）</v>
      </c>
      <c r="Q47" s="3732"/>
      <c r="R47" s="3733">
        <f>E47</f>
        <v>0</v>
      </c>
      <c r="S47" s="3733"/>
      <c r="T47" s="3733">
        <f>G47</f>
        <v>0</v>
      </c>
      <c r="U47" s="3733"/>
      <c r="V47" s="3733">
        <f>I47</f>
        <v>0</v>
      </c>
      <c r="W47" s="3733"/>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2025-4</v>
      </c>
      <c r="D58" s="1184">
        <f>EDATE(C58,-1)</f>
        <v>45717</v>
      </c>
      <c r="E58" s="1184">
        <f>EDATE(D58,-1)</f>
        <v>45689</v>
      </c>
      <c r="F58" s="1184">
        <f t="shared" ref="F58:O58" si="19">EDATE(E58,-1)</f>
        <v>45658</v>
      </c>
      <c r="G58" s="1184">
        <f t="shared" si="19"/>
        <v>45627</v>
      </c>
      <c r="H58" s="1184">
        <f t="shared" si="19"/>
        <v>45597</v>
      </c>
      <c r="I58" s="1184">
        <f t="shared" si="19"/>
        <v>45566</v>
      </c>
      <c r="J58" s="1184">
        <f t="shared" si="19"/>
        <v>45536</v>
      </c>
      <c r="K58" s="1184">
        <f t="shared" si="19"/>
        <v>45505</v>
      </c>
      <c r="L58" s="1184">
        <f t="shared" si="19"/>
        <v>45474</v>
      </c>
      <c r="M58" s="1184">
        <f t="shared" si="19"/>
        <v>45444</v>
      </c>
      <c r="N58" s="1184">
        <f t="shared" si="19"/>
        <v>45413</v>
      </c>
      <c r="O58" s="1184">
        <f t="shared" si="19"/>
        <v>45383</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42466.65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715" t="s">
        <v>1770</v>
      </c>
      <c r="D4" s="3716"/>
      <c r="E4" s="3717" t="s">
        <v>1771</v>
      </c>
      <c r="F4" s="3718"/>
      <c r="G4" s="3715" t="s">
        <v>1772</v>
      </c>
      <c r="H4" s="3716"/>
      <c r="I4" s="3715" t="s">
        <v>1773</v>
      </c>
      <c r="J4" s="3716"/>
      <c r="K4" s="558" t="s">
        <v>1774</v>
      </c>
      <c r="L4" s="2714"/>
      <c r="M4" s="2715"/>
      <c r="N4" s="2715"/>
      <c r="O4" s="2715"/>
      <c r="P4" s="3719" t="s">
        <v>1775</v>
      </c>
      <c r="Q4" s="3720"/>
      <c r="R4" s="3702" t="s">
        <v>1771</v>
      </c>
      <c r="S4" s="3703"/>
      <c r="T4" s="3702" t="s">
        <v>1772</v>
      </c>
      <c r="U4" s="3703"/>
      <c r="V4" s="3727" t="s">
        <v>1773</v>
      </c>
      <c r="W4" s="3727"/>
      <c r="X4" s="1354"/>
      <c r="Y4" s="3702" t="s">
        <v>1775</v>
      </c>
      <c r="Z4" s="3703"/>
      <c r="AA4" s="3697" t="s">
        <v>1771</v>
      </c>
      <c r="AB4" s="3727" t="s">
        <v>1772</v>
      </c>
      <c r="AC4" s="3697" t="s">
        <v>1773</v>
      </c>
    </row>
    <row r="5" spans="1:29" ht="15">
      <c r="A5" s="357"/>
      <c r="B5" s="358"/>
      <c r="C5" s="3708" t="s">
        <v>1673</v>
      </c>
      <c r="D5" s="3709"/>
      <c r="E5" s="3706" t="s">
        <v>1674</v>
      </c>
      <c r="F5" s="3707"/>
      <c r="G5" s="3708" t="s">
        <v>1675</v>
      </c>
      <c r="H5" s="3709"/>
      <c r="I5" s="3708" t="s">
        <v>1676</v>
      </c>
      <c r="J5" s="3709"/>
      <c r="K5" s="558"/>
      <c r="L5" s="2714"/>
      <c r="M5" s="2715"/>
      <c r="N5" s="2715"/>
      <c r="O5" s="2715"/>
      <c r="P5" s="3721"/>
      <c r="Q5" s="3722"/>
      <c r="R5" s="3704"/>
      <c r="S5" s="3705"/>
      <c r="T5" s="3704"/>
      <c r="U5" s="3705"/>
      <c r="V5" s="3727"/>
      <c r="W5" s="3727"/>
      <c r="X5" s="1354"/>
      <c r="Y5" s="3704"/>
      <c r="Z5" s="3705"/>
      <c r="AA5" s="3698"/>
      <c r="AB5" s="3727"/>
      <c r="AC5" s="3698"/>
    </row>
    <row r="6" spans="1:29" ht="15.75" thickBot="1">
      <c r="A6" s="359"/>
      <c r="B6" s="360"/>
      <c r="C6" s="3710" t="s">
        <v>1677</v>
      </c>
      <c r="D6" s="3711"/>
      <c r="E6" s="3712" t="s">
        <v>1677</v>
      </c>
      <c r="F6" s="3713"/>
      <c r="G6" s="3710" t="s">
        <v>1677</v>
      </c>
      <c r="H6" s="3711"/>
      <c r="I6" s="3710" t="s">
        <v>1677</v>
      </c>
      <c r="J6" s="3711"/>
      <c r="K6" s="558" t="s">
        <v>1678</v>
      </c>
      <c r="L6" s="2714"/>
      <c r="M6" s="2715"/>
      <c r="N6" s="2715"/>
      <c r="O6" s="2715"/>
      <c r="P6" s="3723"/>
      <c r="Q6" s="3724"/>
      <c r="R6" s="3704"/>
      <c r="S6" s="3705"/>
      <c r="T6" s="3725"/>
      <c r="U6" s="3726"/>
      <c r="V6" s="3727"/>
      <c r="W6" s="3727"/>
      <c r="X6" s="1354"/>
      <c r="Y6" s="3725"/>
      <c r="Z6" s="3726"/>
      <c r="AA6" s="3699"/>
      <c r="AB6" s="3727"/>
      <c r="AC6" s="3699"/>
    </row>
    <row r="7" spans="1:29" s="107" customFormat="1" ht="15.75" thickBot="1">
      <c r="A7" s="361" t="s">
        <v>1679</v>
      </c>
      <c r="B7" s="362"/>
      <c r="C7" s="363">
        <f>'数据-取费表'!B2</f>
        <v>45754</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00" t="s">
        <v>1680</v>
      </c>
      <c r="Q7" s="3728"/>
      <c r="R7" s="700" t="s">
        <v>14</v>
      </c>
      <c r="S7" s="701">
        <f t="shared" ref="S7:S15" si="0">F7</f>
        <v>0</v>
      </c>
      <c r="T7" s="700" t="s">
        <v>14</v>
      </c>
      <c r="U7" s="701">
        <f t="shared" ref="U7:U15" si="1">H7</f>
        <v>0</v>
      </c>
      <c r="V7" s="700" t="s">
        <v>14</v>
      </c>
      <c r="W7" s="701">
        <f t="shared" ref="W7:W15" si="2">J7</f>
        <v>0</v>
      </c>
      <c r="X7" s="702"/>
      <c r="Y7" s="3700" t="s">
        <v>1680</v>
      </c>
      <c r="Z7" s="3701"/>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00" t="s">
        <v>1683</v>
      </c>
      <c r="Q8" s="3701"/>
      <c r="R8" s="700" t="s">
        <v>14</v>
      </c>
      <c r="S8" s="701">
        <f t="shared" si="0"/>
        <v>100</v>
      </c>
      <c r="T8" s="700" t="s">
        <v>14</v>
      </c>
      <c r="U8" s="701">
        <f t="shared" si="1"/>
        <v>100</v>
      </c>
      <c r="V8" s="700" t="s">
        <v>14</v>
      </c>
      <c r="W8" s="701">
        <f t="shared" si="2"/>
        <v>100</v>
      </c>
      <c r="X8" s="702"/>
      <c r="Y8" s="3700" t="s">
        <v>1683</v>
      </c>
      <c r="Z8" s="3701"/>
      <c r="AA8" s="703">
        <f t="shared" ref="AA8:AA46" si="3">D8/F8</f>
        <v>1</v>
      </c>
      <c r="AB8" s="703">
        <f t="shared" ref="AB8:AB46" si="4">D8/H8</f>
        <v>1</v>
      </c>
      <c r="AC8" s="703">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14"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14"/>
      <c r="Q10" s="1342"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14"/>
      <c r="Q11" s="1342" t="str">
        <f t="shared" si="6"/>
        <v>容积率</v>
      </c>
      <c r="R11" s="700" t="s">
        <v>14</v>
      </c>
      <c r="S11" s="701" t="e">
        <f t="shared" si="0"/>
        <v>#N/A</v>
      </c>
      <c r="T11" s="700" t="s">
        <v>14</v>
      </c>
      <c r="U11" s="701" t="e">
        <f t="shared" si="1"/>
        <v>#N/A</v>
      </c>
      <c r="V11" s="700" t="s">
        <v>14</v>
      </c>
      <c r="W11" s="701" t="e">
        <f t="shared" si="2"/>
        <v>#N/A</v>
      </c>
      <c r="X11" s="702"/>
      <c r="Y11" s="3644"/>
      <c r="Z11" s="52"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14"/>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14"/>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14"/>
      <c r="Q14" s="1342">
        <f t="shared" si="6"/>
        <v>111</v>
      </c>
      <c r="R14" s="700" t="s">
        <v>14</v>
      </c>
      <c r="S14" s="701">
        <f t="shared" si="0"/>
        <v>100</v>
      </c>
      <c r="T14" s="700" t="s">
        <v>14</v>
      </c>
      <c r="U14" s="701">
        <f t="shared" si="1"/>
        <v>100</v>
      </c>
      <c r="V14" s="700" t="s">
        <v>14</v>
      </c>
      <c r="W14" s="701">
        <f t="shared" si="2"/>
        <v>100</v>
      </c>
      <c r="X14" s="702"/>
      <c r="Y14" s="3644"/>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41" t="s">
        <v>1691</v>
      </c>
      <c r="Q15" s="1351" t="str">
        <f t="shared" si="6"/>
        <v>商业繁华度</v>
      </c>
      <c r="R15" s="704" t="s">
        <v>14</v>
      </c>
      <c r="S15" s="705">
        <f t="shared" si="0"/>
        <v>100</v>
      </c>
      <c r="T15" s="704" t="s">
        <v>14</v>
      </c>
      <c r="U15" s="705">
        <f t="shared" si="1"/>
        <v>100</v>
      </c>
      <c r="V15" s="704" t="s">
        <v>14</v>
      </c>
      <c r="W15" s="705">
        <f t="shared" si="2"/>
        <v>100</v>
      </c>
      <c r="X15" s="1354"/>
      <c r="Y15" s="3734"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42"/>
      <c r="Q16" s="1351"/>
      <c r="R16" s="704"/>
      <c r="S16" s="705"/>
      <c r="T16" s="704"/>
      <c r="U16" s="705"/>
      <c r="V16" s="704"/>
      <c r="W16" s="705"/>
      <c r="X16" s="1354"/>
      <c r="Y16" s="3735"/>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42"/>
      <c r="Q17" s="1351" t="str">
        <f>B17</f>
        <v>交通便捷度</v>
      </c>
      <c r="R17" s="704" t="s">
        <v>14</v>
      </c>
      <c r="S17" s="705">
        <f>F17</f>
        <v>100</v>
      </c>
      <c r="T17" s="704" t="s">
        <v>14</v>
      </c>
      <c r="U17" s="705">
        <f>H17</f>
        <v>100</v>
      </c>
      <c r="V17" s="704" t="s">
        <v>14</v>
      </c>
      <c r="W17" s="705">
        <f>J17</f>
        <v>100</v>
      </c>
      <c r="X17" s="1354"/>
      <c r="Y17" s="373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42"/>
      <c r="Q18" s="1351"/>
      <c r="R18" s="704"/>
      <c r="S18" s="705"/>
      <c r="T18" s="704"/>
      <c r="U18" s="705"/>
      <c r="V18" s="704"/>
      <c r="W18" s="705"/>
      <c r="X18" s="1354"/>
      <c r="Y18" s="3735"/>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42"/>
      <c r="Q19" s="1351" t="str">
        <f>B19</f>
        <v>公共配套设施</v>
      </c>
      <c r="R19" s="704" t="s">
        <v>14</v>
      </c>
      <c r="S19" s="705">
        <f>F19</f>
        <v>100</v>
      </c>
      <c r="T19" s="704" t="s">
        <v>14</v>
      </c>
      <c r="U19" s="705">
        <f>H19</f>
        <v>100</v>
      </c>
      <c r="V19" s="704" t="s">
        <v>14</v>
      </c>
      <c r="W19" s="705">
        <f>J19</f>
        <v>100</v>
      </c>
      <c r="X19" s="1354"/>
      <c r="Y19" s="373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42"/>
      <c r="Q20" s="1351"/>
      <c r="R20" s="704"/>
      <c r="S20" s="705"/>
      <c r="T20" s="704"/>
      <c r="U20" s="705"/>
      <c r="V20" s="704"/>
      <c r="W20" s="705"/>
      <c r="X20" s="1354"/>
      <c r="Y20" s="3735"/>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42"/>
      <c r="Q21" s="1351" t="str">
        <f>B21</f>
        <v>基础设施水平</v>
      </c>
      <c r="R21" s="704" t="s">
        <v>14</v>
      </c>
      <c r="S21" s="705">
        <f>F21</f>
        <v>100</v>
      </c>
      <c r="T21" s="704" t="s">
        <v>14</v>
      </c>
      <c r="U21" s="705">
        <f>H21</f>
        <v>100</v>
      </c>
      <c r="V21" s="704" t="s">
        <v>14</v>
      </c>
      <c r="W21" s="705">
        <f>J21</f>
        <v>100</v>
      </c>
      <c r="X21" s="1354"/>
      <c r="Y21" s="373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42"/>
      <c r="Q22" s="1351"/>
      <c r="R22" s="704"/>
      <c r="S22" s="705"/>
      <c r="T22" s="704"/>
      <c r="U22" s="705"/>
      <c r="V22" s="704"/>
      <c r="W22" s="705"/>
      <c r="X22" s="1354"/>
      <c r="Y22" s="3735"/>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42"/>
      <c r="Q23" s="1351" t="str">
        <f>B23</f>
        <v>自然及人文环境</v>
      </c>
      <c r="R23" s="704" t="s">
        <v>14</v>
      </c>
      <c r="S23" s="705">
        <f>F23</f>
        <v>100</v>
      </c>
      <c r="T23" s="704" t="s">
        <v>14</v>
      </c>
      <c r="U23" s="705">
        <f>H23</f>
        <v>100</v>
      </c>
      <c r="V23" s="704" t="s">
        <v>14</v>
      </c>
      <c r="W23" s="705">
        <f>J23</f>
        <v>100</v>
      </c>
      <c r="X23" s="1354"/>
      <c r="Y23" s="3735"/>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42"/>
      <c r="Q24" s="1351"/>
      <c r="R24" s="704"/>
      <c r="S24" s="705"/>
      <c r="T24" s="704"/>
      <c r="U24" s="705"/>
      <c r="V24" s="704"/>
      <c r="W24" s="705"/>
      <c r="X24" s="1354"/>
      <c r="Y24" s="3735"/>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42"/>
      <c r="Q25" s="1351" t="str">
        <f t="shared" ref="Q25:Q46" si="11">B25</f>
        <v>临街状况</v>
      </c>
      <c r="R25" s="704" t="s">
        <v>14</v>
      </c>
      <c r="S25" s="705">
        <f>F25</f>
        <v>100</v>
      </c>
      <c r="T25" s="704" t="s">
        <v>14</v>
      </c>
      <c r="U25" s="705">
        <f>H25</f>
        <v>100</v>
      </c>
      <c r="V25" s="704" t="s">
        <v>14</v>
      </c>
      <c r="W25" s="705">
        <f>J25</f>
        <v>100</v>
      </c>
      <c r="X25" s="1354"/>
      <c r="Y25" s="3735"/>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42"/>
      <c r="Q26" s="1351" t="str">
        <f t="shared" si="11"/>
        <v>平面位置/可视性</v>
      </c>
      <c r="R26" s="704" t="s">
        <v>14</v>
      </c>
      <c r="S26" s="705">
        <f>F26</f>
        <v>100</v>
      </c>
      <c r="T26" s="704" t="s">
        <v>14</v>
      </c>
      <c r="U26" s="705">
        <f>H26</f>
        <v>100</v>
      </c>
      <c r="V26" s="704" t="s">
        <v>14</v>
      </c>
      <c r="W26" s="705">
        <f>J26</f>
        <v>100</v>
      </c>
      <c r="X26" s="1354"/>
      <c r="Y26" s="3735"/>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42"/>
      <c r="Q27" s="1342" t="str">
        <f t="shared" si="11"/>
        <v>人流量</v>
      </c>
      <c r="R27" s="700" t="s">
        <v>14</v>
      </c>
      <c r="S27" s="701">
        <f>F27</f>
        <v>100</v>
      </c>
      <c r="T27" s="700" t="s">
        <v>14</v>
      </c>
      <c r="U27" s="701">
        <f>H27</f>
        <v>100</v>
      </c>
      <c r="V27" s="700" t="s">
        <v>14</v>
      </c>
      <c r="W27" s="701">
        <f>J27</f>
        <v>100</v>
      </c>
      <c r="X27" s="702"/>
      <c r="Y27" s="3735"/>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4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5"/>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42"/>
      <c r="Q29" s="1351">
        <f t="shared" si="11"/>
        <v>111</v>
      </c>
      <c r="R29" s="704" t="s">
        <v>14</v>
      </c>
      <c r="S29" s="705">
        <f t="shared" si="12"/>
        <v>100</v>
      </c>
      <c r="T29" s="704" t="s">
        <v>14</v>
      </c>
      <c r="U29" s="705">
        <f t="shared" si="13"/>
        <v>100</v>
      </c>
      <c r="V29" s="704" t="s">
        <v>14</v>
      </c>
      <c r="W29" s="705">
        <f t="shared" si="14"/>
        <v>100</v>
      </c>
      <c r="X29" s="1354"/>
      <c r="Y29" s="3735"/>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42"/>
      <c r="Q30" s="1351">
        <f t="shared" si="11"/>
        <v>111</v>
      </c>
      <c r="R30" s="704" t="s">
        <v>14</v>
      </c>
      <c r="S30" s="705">
        <f t="shared" si="12"/>
        <v>100</v>
      </c>
      <c r="T30" s="704" t="s">
        <v>14</v>
      </c>
      <c r="U30" s="705">
        <f t="shared" si="13"/>
        <v>100</v>
      </c>
      <c r="V30" s="704" t="s">
        <v>14</v>
      </c>
      <c r="W30" s="705">
        <f t="shared" si="14"/>
        <v>100</v>
      </c>
      <c r="X30" s="1354"/>
      <c r="Y30" s="3735"/>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42"/>
      <c r="Q31" s="1351">
        <f t="shared" si="11"/>
        <v>111</v>
      </c>
      <c r="R31" s="704" t="s">
        <v>14</v>
      </c>
      <c r="S31" s="705">
        <f t="shared" si="12"/>
        <v>100</v>
      </c>
      <c r="T31" s="704" t="s">
        <v>14</v>
      </c>
      <c r="U31" s="705">
        <f t="shared" si="13"/>
        <v>100</v>
      </c>
      <c r="V31" s="704" t="s">
        <v>14</v>
      </c>
      <c r="W31" s="705">
        <f t="shared" si="14"/>
        <v>100</v>
      </c>
      <c r="X31" s="1354"/>
      <c r="Y31" s="3735"/>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36" t="s">
        <v>1696</v>
      </c>
      <c r="Q32" s="1351" t="str">
        <f t="shared" si="11"/>
        <v>商业类型</v>
      </c>
      <c r="R32" s="704" t="s">
        <v>14</v>
      </c>
      <c r="S32" s="705">
        <f t="shared" si="12"/>
        <v>100</v>
      </c>
      <c r="T32" s="704" t="s">
        <v>14</v>
      </c>
      <c r="U32" s="705">
        <f t="shared" si="13"/>
        <v>100</v>
      </c>
      <c r="V32" s="704" t="s">
        <v>14</v>
      </c>
      <c r="W32" s="705">
        <f t="shared" si="14"/>
        <v>100</v>
      </c>
      <c r="X32" s="1354"/>
      <c r="Y32" s="3739"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37"/>
      <c r="Q33" s="706" t="str">
        <f t="shared" si="11"/>
        <v>项目建筑规模</v>
      </c>
      <c r="R33" s="707" t="s">
        <v>14</v>
      </c>
      <c r="S33" s="708" t="e">
        <f t="shared" si="12"/>
        <v>#N/A</v>
      </c>
      <c r="T33" s="707" t="s">
        <v>14</v>
      </c>
      <c r="U33" s="708" t="e">
        <f t="shared" si="13"/>
        <v>#N/A</v>
      </c>
      <c r="V33" s="707" t="s">
        <v>14</v>
      </c>
      <c r="W33" s="708" t="e">
        <f t="shared" si="14"/>
        <v>#N/A</v>
      </c>
      <c r="X33" s="709"/>
      <c r="Y33" s="3739"/>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37"/>
      <c r="Q34" s="1351" t="str">
        <f t="shared" si="11"/>
        <v>建筑结构</v>
      </c>
      <c r="R34" s="704" t="s">
        <v>14</v>
      </c>
      <c r="S34" s="705">
        <f t="shared" si="12"/>
        <v>100</v>
      </c>
      <c r="T34" s="704" t="s">
        <v>14</v>
      </c>
      <c r="U34" s="705">
        <f t="shared" si="13"/>
        <v>100</v>
      </c>
      <c r="V34" s="704" t="s">
        <v>14</v>
      </c>
      <c r="W34" s="705">
        <f t="shared" si="14"/>
        <v>100</v>
      </c>
      <c r="X34" s="1354"/>
      <c r="Y34" s="3739"/>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37"/>
      <c r="Q35" s="1351" t="str">
        <f t="shared" si="11"/>
        <v>公共部分装修</v>
      </c>
      <c r="R35" s="704" t="s">
        <v>14</v>
      </c>
      <c r="S35" s="705">
        <f t="shared" si="12"/>
        <v>100</v>
      </c>
      <c r="T35" s="704" t="s">
        <v>14</v>
      </c>
      <c r="U35" s="705">
        <f t="shared" si="13"/>
        <v>100</v>
      </c>
      <c r="V35" s="704" t="s">
        <v>14</v>
      </c>
      <c r="W35" s="705">
        <f t="shared" si="14"/>
        <v>100</v>
      </c>
      <c r="X35" s="1354"/>
      <c r="Y35" s="3739"/>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37"/>
      <c r="Q36" s="1351" t="str">
        <f t="shared" si="11"/>
        <v>成新度</v>
      </c>
      <c r="R36" s="704" t="s">
        <v>14</v>
      </c>
      <c r="S36" s="705" t="e">
        <f t="shared" si="12"/>
        <v>#N/A</v>
      </c>
      <c r="T36" s="704" t="s">
        <v>14</v>
      </c>
      <c r="U36" s="705" t="e">
        <f t="shared" si="13"/>
        <v>#N/A</v>
      </c>
      <c r="V36" s="704" t="s">
        <v>14</v>
      </c>
      <c r="W36" s="705" t="e">
        <f t="shared" si="14"/>
        <v>#N/A</v>
      </c>
      <c r="X36" s="1354"/>
      <c r="Y36" s="3739"/>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37"/>
      <c r="Q37" s="1342" t="str">
        <f t="shared" si="11"/>
        <v>市政基础设施</v>
      </c>
      <c r="R37" s="700" t="s">
        <v>14</v>
      </c>
      <c r="S37" s="701">
        <f t="shared" si="12"/>
        <v>100</v>
      </c>
      <c r="T37" s="700" t="s">
        <v>14</v>
      </c>
      <c r="U37" s="701">
        <f t="shared" si="13"/>
        <v>100</v>
      </c>
      <c r="V37" s="700" t="s">
        <v>14</v>
      </c>
      <c r="W37" s="701">
        <f t="shared" si="14"/>
        <v>100</v>
      </c>
      <c r="X37" s="702"/>
      <c r="Y37" s="3739"/>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37" t="s">
        <v>1696</v>
      </c>
      <c r="Q38" s="1351" t="str">
        <f t="shared" si="11"/>
        <v>业态</v>
      </c>
      <c r="R38" s="704" t="s">
        <v>14</v>
      </c>
      <c r="S38" s="705">
        <f t="shared" si="12"/>
        <v>100</v>
      </c>
      <c r="T38" s="704" t="s">
        <v>14</v>
      </c>
      <c r="U38" s="705">
        <f t="shared" si="13"/>
        <v>100</v>
      </c>
      <c r="V38" s="704" t="s">
        <v>14</v>
      </c>
      <c r="W38" s="705">
        <f t="shared" si="14"/>
        <v>100</v>
      </c>
      <c r="X38" s="1354"/>
      <c r="Y38" s="3739"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37"/>
      <c r="Q39" s="1351" t="str">
        <f t="shared" si="11"/>
        <v>层高</v>
      </c>
      <c r="R39" s="704" t="s">
        <v>14</v>
      </c>
      <c r="S39" s="705">
        <f t="shared" si="12"/>
        <v>100</v>
      </c>
      <c r="T39" s="704" t="s">
        <v>14</v>
      </c>
      <c r="U39" s="705">
        <f t="shared" si="13"/>
        <v>100</v>
      </c>
      <c r="V39" s="704" t="s">
        <v>14</v>
      </c>
      <c r="W39" s="705">
        <f t="shared" si="14"/>
        <v>100</v>
      </c>
      <c r="X39" s="1354"/>
      <c r="Y39" s="3739"/>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37"/>
      <c r="Q40" s="1351" t="str">
        <f t="shared" si="11"/>
        <v>单套建筑面积</v>
      </c>
      <c r="R40" s="704" t="s">
        <v>14</v>
      </c>
      <c r="S40" s="705">
        <f t="shared" si="12"/>
        <v>100</v>
      </c>
      <c r="T40" s="704" t="s">
        <v>14</v>
      </c>
      <c r="U40" s="705">
        <f t="shared" si="13"/>
        <v>100</v>
      </c>
      <c r="V40" s="704" t="s">
        <v>14</v>
      </c>
      <c r="W40" s="705">
        <f t="shared" si="14"/>
        <v>100</v>
      </c>
      <c r="X40" s="1354"/>
      <c r="Y40" s="3739"/>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37"/>
      <c r="Q41" s="706" t="str">
        <f t="shared" si="11"/>
        <v>进深比</v>
      </c>
      <c r="R41" s="707" t="s">
        <v>14</v>
      </c>
      <c r="S41" s="708">
        <f t="shared" si="12"/>
        <v>100</v>
      </c>
      <c r="T41" s="707" t="s">
        <v>14</v>
      </c>
      <c r="U41" s="708">
        <f t="shared" si="13"/>
        <v>100</v>
      </c>
      <c r="V41" s="707" t="s">
        <v>14</v>
      </c>
      <c r="W41" s="708">
        <f t="shared" si="14"/>
        <v>100</v>
      </c>
      <c r="X41" s="709"/>
      <c r="Y41" s="3739"/>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37"/>
      <c r="Q42" s="1351" t="str">
        <f t="shared" si="11"/>
        <v>内部装修</v>
      </c>
      <c r="R42" s="704" t="s">
        <v>14</v>
      </c>
      <c r="S42" s="705">
        <f t="shared" si="12"/>
        <v>100</v>
      </c>
      <c r="T42" s="704" t="s">
        <v>14</v>
      </c>
      <c r="U42" s="705">
        <f t="shared" si="13"/>
        <v>100</v>
      </c>
      <c r="V42" s="704" t="s">
        <v>14</v>
      </c>
      <c r="W42" s="705">
        <f t="shared" si="14"/>
        <v>100</v>
      </c>
      <c r="X42" s="1354"/>
      <c r="Y42" s="3739"/>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37"/>
      <c r="Q43" s="1351" t="str">
        <f t="shared" si="11"/>
        <v>内部装修维护情况</v>
      </c>
      <c r="R43" s="704" t="s">
        <v>14</v>
      </c>
      <c r="S43" s="705">
        <f t="shared" si="12"/>
        <v>100</v>
      </c>
      <c r="T43" s="704" t="s">
        <v>14</v>
      </c>
      <c r="U43" s="705">
        <f t="shared" si="13"/>
        <v>100</v>
      </c>
      <c r="V43" s="704" t="s">
        <v>14</v>
      </c>
      <c r="W43" s="705">
        <f t="shared" si="14"/>
        <v>100</v>
      </c>
      <c r="X43" s="1354"/>
      <c r="Y43" s="3739"/>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37"/>
      <c r="Q44" s="1342">
        <f t="shared" si="11"/>
        <v>111</v>
      </c>
      <c r="R44" s="700" t="s">
        <v>14</v>
      </c>
      <c r="S44" s="701">
        <f t="shared" si="12"/>
        <v>100</v>
      </c>
      <c r="T44" s="700" t="s">
        <v>14</v>
      </c>
      <c r="U44" s="701">
        <f t="shared" si="13"/>
        <v>100</v>
      </c>
      <c r="V44" s="700" t="s">
        <v>14</v>
      </c>
      <c r="W44" s="701">
        <f t="shared" si="14"/>
        <v>100</v>
      </c>
      <c r="X44" s="702"/>
      <c r="Y44" s="3739"/>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37"/>
      <c r="Q45" s="1351">
        <f t="shared" si="11"/>
        <v>111</v>
      </c>
      <c r="R45" s="704" t="s">
        <v>14</v>
      </c>
      <c r="S45" s="705">
        <f t="shared" si="12"/>
        <v>100</v>
      </c>
      <c r="T45" s="704" t="s">
        <v>14</v>
      </c>
      <c r="U45" s="705">
        <f t="shared" si="13"/>
        <v>100</v>
      </c>
      <c r="V45" s="704" t="s">
        <v>14</v>
      </c>
      <c r="W45" s="705">
        <f t="shared" si="14"/>
        <v>100</v>
      </c>
      <c r="X45" s="1354"/>
      <c r="Y45" s="3739"/>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38"/>
      <c r="Q46" s="1351">
        <f t="shared" si="11"/>
        <v>111</v>
      </c>
      <c r="R46" s="704" t="s">
        <v>14</v>
      </c>
      <c r="S46" s="705">
        <f t="shared" si="12"/>
        <v>100</v>
      </c>
      <c r="T46" s="704" t="s">
        <v>14</v>
      </c>
      <c r="U46" s="705">
        <f t="shared" si="13"/>
        <v>100</v>
      </c>
      <c r="V46" s="704" t="s">
        <v>14</v>
      </c>
      <c r="W46" s="705">
        <f t="shared" si="14"/>
        <v>100</v>
      </c>
      <c r="X46" s="1354"/>
      <c r="Y46" s="3740"/>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32" t="str">
        <f>A47</f>
        <v>成交单价（元/平方米）</v>
      </c>
      <c r="Q47" s="3732"/>
      <c r="R47" s="3727">
        <f>E47</f>
        <v>0</v>
      </c>
      <c r="S47" s="3727"/>
      <c r="T47" s="3727">
        <f>G47</f>
        <v>0</v>
      </c>
      <c r="U47" s="3727"/>
      <c r="V47" s="3727">
        <f>I47</f>
        <v>0</v>
      </c>
      <c r="W47" s="3727"/>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2025-4</v>
      </c>
      <c r="D58" s="1184">
        <f>EDATE(C58,-1)</f>
        <v>45717</v>
      </c>
      <c r="E58" s="1184">
        <f t="shared" ref="E58:N58" si="16">EDATE(D58,-1)</f>
        <v>45689</v>
      </c>
      <c r="F58" s="1184">
        <f t="shared" si="16"/>
        <v>45658</v>
      </c>
      <c r="G58" s="1184">
        <f t="shared" si="16"/>
        <v>45627</v>
      </c>
      <c r="H58" s="1184">
        <f t="shared" si="16"/>
        <v>45597</v>
      </c>
      <c r="I58" s="1184">
        <f t="shared" si="16"/>
        <v>45566</v>
      </c>
      <c r="J58" s="1184">
        <f t="shared" si="16"/>
        <v>45536</v>
      </c>
      <c r="K58" s="1184">
        <f t="shared" si="16"/>
        <v>45505</v>
      </c>
      <c r="L58" s="1184">
        <f t="shared" si="16"/>
        <v>45474</v>
      </c>
      <c r="M58" s="1184">
        <f t="shared" si="16"/>
        <v>45444</v>
      </c>
      <c r="N58" s="1184">
        <f t="shared" si="16"/>
        <v>45413</v>
      </c>
      <c r="O58" s="1184">
        <f>EDATE(N58,-1)</f>
        <v>45383</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估价对象为北京市房地产，为所有。根据《国有土地使用证》[]，估价对象（分摊）出让国有建设用地使用权面积为6799.81平方米，建筑面积为42466.65平方米。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估价对象为北京市房地产,属开发建设的，该项目尚在开发建设中。根据《国有土地使用证》[]，估价对象（分摊）出让国有建设用地使用权面积为6799.81平方米，规划建筑面积为42466.65平方米。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2025年4月7日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42466.65</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715" t="s">
        <v>1770</v>
      </c>
      <c r="D4" s="3716"/>
      <c r="E4" s="3717" t="s">
        <v>1771</v>
      </c>
      <c r="F4" s="3718"/>
      <c r="G4" s="3715" t="s">
        <v>1772</v>
      </c>
      <c r="H4" s="3716"/>
      <c r="I4" s="3715" t="s">
        <v>1773</v>
      </c>
      <c r="J4" s="3716"/>
      <c r="K4" s="558" t="s">
        <v>1774</v>
      </c>
      <c r="L4" s="2714"/>
      <c r="M4" s="2715"/>
      <c r="N4" s="2715"/>
      <c r="O4" s="2715"/>
      <c r="P4" s="3749" t="s">
        <v>1775</v>
      </c>
      <c r="Q4" s="3750"/>
      <c r="R4" s="3744" t="s">
        <v>1771</v>
      </c>
      <c r="S4" s="3745"/>
      <c r="T4" s="3744" t="s">
        <v>1772</v>
      </c>
      <c r="U4" s="3745"/>
      <c r="V4" s="3753" t="s">
        <v>1773</v>
      </c>
      <c r="W4" s="3753"/>
      <c r="X4" s="1957"/>
      <c r="Y4" s="3744" t="s">
        <v>1775</v>
      </c>
      <c r="Z4" s="3745"/>
      <c r="AA4" s="3743" t="s">
        <v>1771</v>
      </c>
      <c r="AB4" s="3743" t="s">
        <v>1772</v>
      </c>
      <c r="AC4" s="3746" t="s">
        <v>1773</v>
      </c>
    </row>
    <row r="5" spans="1:29" ht="15">
      <c r="A5" s="357"/>
      <c r="B5" s="358"/>
      <c r="C5" s="3708" t="s">
        <v>1673</v>
      </c>
      <c r="D5" s="3709"/>
      <c r="E5" s="3706" t="s">
        <v>1674</v>
      </c>
      <c r="F5" s="3707"/>
      <c r="G5" s="3708" t="s">
        <v>1675</v>
      </c>
      <c r="H5" s="3709"/>
      <c r="I5" s="3708" t="s">
        <v>1676</v>
      </c>
      <c r="J5" s="3709"/>
      <c r="K5" s="558"/>
      <c r="L5" s="2714"/>
      <c r="M5" s="2715"/>
      <c r="N5" s="2715"/>
      <c r="O5" s="2715"/>
      <c r="P5" s="3751"/>
      <c r="Q5" s="3722"/>
      <c r="R5" s="3704"/>
      <c r="S5" s="3705"/>
      <c r="T5" s="3704"/>
      <c r="U5" s="3705"/>
      <c r="V5" s="3727"/>
      <c r="W5" s="3727"/>
      <c r="X5" s="1354"/>
      <c r="Y5" s="3704"/>
      <c r="Z5" s="3705"/>
      <c r="AA5" s="3698"/>
      <c r="AB5" s="3698"/>
      <c r="AC5" s="3747"/>
    </row>
    <row r="6" spans="1:29" ht="15.75" thickBot="1">
      <c r="A6" s="359"/>
      <c r="B6" s="360"/>
      <c r="C6" s="3710" t="s">
        <v>1677</v>
      </c>
      <c r="D6" s="3711"/>
      <c r="E6" s="3712" t="s">
        <v>1677</v>
      </c>
      <c r="F6" s="3713"/>
      <c r="G6" s="3710" t="s">
        <v>1677</v>
      </c>
      <c r="H6" s="3711"/>
      <c r="I6" s="3710" t="s">
        <v>1677</v>
      </c>
      <c r="J6" s="3711"/>
      <c r="K6" s="558" t="s">
        <v>1678</v>
      </c>
      <c r="L6" s="2714"/>
      <c r="M6" s="2715"/>
      <c r="N6" s="2715"/>
      <c r="O6" s="2715"/>
      <c r="P6" s="3752"/>
      <c r="Q6" s="3724"/>
      <c r="R6" s="3704"/>
      <c r="S6" s="3705"/>
      <c r="T6" s="3725"/>
      <c r="U6" s="3726"/>
      <c r="V6" s="3727"/>
      <c r="W6" s="3727"/>
      <c r="X6" s="1354"/>
      <c r="Y6" s="3725"/>
      <c r="Z6" s="3726"/>
      <c r="AA6" s="3699"/>
      <c r="AB6" s="3699"/>
      <c r="AC6" s="3748"/>
    </row>
    <row r="7" spans="1:29" s="107" customFormat="1" ht="15.75" thickBot="1">
      <c r="A7" s="361" t="s">
        <v>1679</v>
      </c>
      <c r="B7" s="362"/>
      <c r="C7" s="363">
        <f>'数据-取费表'!B2</f>
        <v>45754</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54" t="s">
        <v>1680</v>
      </c>
      <c r="Q7" s="3728"/>
      <c r="R7" s="700" t="s">
        <v>14</v>
      </c>
      <c r="S7" s="701">
        <f t="shared" ref="S7:S15" si="0">F7</f>
        <v>0</v>
      </c>
      <c r="T7" s="700" t="s">
        <v>14</v>
      </c>
      <c r="U7" s="701">
        <f t="shared" ref="U7:U15" si="1">H7</f>
        <v>0</v>
      </c>
      <c r="V7" s="700" t="s">
        <v>14</v>
      </c>
      <c r="W7" s="701">
        <f t="shared" ref="W7:W15" si="2">J7</f>
        <v>0</v>
      </c>
      <c r="X7" s="702"/>
      <c r="Y7" s="3700" t="s">
        <v>1680</v>
      </c>
      <c r="Z7" s="3701"/>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54" t="s">
        <v>1683</v>
      </c>
      <c r="Q8" s="3701"/>
      <c r="R8" s="700" t="s">
        <v>14</v>
      </c>
      <c r="S8" s="701">
        <f t="shared" si="0"/>
        <v>100</v>
      </c>
      <c r="T8" s="700" t="s">
        <v>14</v>
      </c>
      <c r="U8" s="701">
        <f t="shared" si="1"/>
        <v>100</v>
      </c>
      <c r="V8" s="700" t="s">
        <v>14</v>
      </c>
      <c r="W8" s="701">
        <f t="shared" si="2"/>
        <v>100</v>
      </c>
      <c r="X8" s="702"/>
      <c r="Y8" s="3700" t="s">
        <v>1683</v>
      </c>
      <c r="Z8" s="3701"/>
      <c r="AA8" s="703">
        <f t="shared" ref="AA8:AA47" si="3">D8/F8</f>
        <v>1</v>
      </c>
      <c r="AB8" s="703">
        <f t="shared" ref="AB8:AB47" si="4">D8/H8</f>
        <v>1</v>
      </c>
      <c r="AC8" s="1958">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14"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14"/>
      <c r="Q10" s="1342"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14"/>
      <c r="Q11" s="1342" t="str">
        <f t="shared" si="6"/>
        <v>容积率</v>
      </c>
      <c r="R11" s="700" t="s">
        <v>14</v>
      </c>
      <c r="S11" s="701">
        <f t="shared" si="0"/>
        <v>100</v>
      </c>
      <c r="T11" s="700" t="s">
        <v>14</v>
      </c>
      <c r="U11" s="701">
        <f t="shared" si="1"/>
        <v>100</v>
      </c>
      <c r="V11" s="700" t="s">
        <v>14</v>
      </c>
      <c r="W11" s="701">
        <f t="shared" si="2"/>
        <v>100</v>
      </c>
      <c r="X11" s="702"/>
      <c r="Y11" s="3644"/>
      <c r="Z11" s="52"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14"/>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14"/>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14"/>
      <c r="Q14" s="1342">
        <f t="shared" si="6"/>
        <v>111</v>
      </c>
      <c r="R14" s="700" t="s">
        <v>14</v>
      </c>
      <c r="S14" s="701">
        <f t="shared" si="0"/>
        <v>100</v>
      </c>
      <c r="T14" s="700" t="s">
        <v>14</v>
      </c>
      <c r="U14" s="701">
        <f t="shared" si="1"/>
        <v>100</v>
      </c>
      <c r="V14" s="700" t="s">
        <v>14</v>
      </c>
      <c r="W14" s="701">
        <f t="shared" si="2"/>
        <v>100</v>
      </c>
      <c r="X14" s="702"/>
      <c r="Y14" s="3644"/>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41" t="s">
        <v>1691</v>
      </c>
      <c r="Q15" s="1351" t="str">
        <f t="shared" si="6"/>
        <v>办公集聚程度</v>
      </c>
      <c r="R15" s="704" t="s">
        <v>14</v>
      </c>
      <c r="S15" s="705">
        <f t="shared" si="0"/>
        <v>100</v>
      </c>
      <c r="T15" s="704" t="s">
        <v>14</v>
      </c>
      <c r="U15" s="705">
        <f t="shared" si="1"/>
        <v>100</v>
      </c>
      <c r="V15" s="704" t="s">
        <v>14</v>
      </c>
      <c r="W15" s="705">
        <f t="shared" si="2"/>
        <v>100</v>
      </c>
      <c r="X15" s="1354"/>
      <c r="Y15" s="3734"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42"/>
      <c r="Q16" s="1351"/>
      <c r="R16" s="704"/>
      <c r="S16" s="705"/>
      <c r="T16" s="704"/>
      <c r="U16" s="705"/>
      <c r="V16" s="704"/>
      <c r="W16" s="705"/>
      <c r="X16" s="1354"/>
      <c r="Y16" s="3735"/>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42"/>
      <c r="Q17" s="1351" t="str">
        <f>B17</f>
        <v>交通便捷度</v>
      </c>
      <c r="R17" s="704" t="s">
        <v>14</v>
      </c>
      <c r="S17" s="705">
        <f>F17</f>
        <v>100</v>
      </c>
      <c r="T17" s="704" t="s">
        <v>14</v>
      </c>
      <c r="U17" s="705">
        <f>H17</f>
        <v>100</v>
      </c>
      <c r="V17" s="704" t="s">
        <v>14</v>
      </c>
      <c r="W17" s="705">
        <f>J17</f>
        <v>100</v>
      </c>
      <c r="X17" s="1354"/>
      <c r="Y17" s="3735"/>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42"/>
      <c r="Q18" s="1351"/>
      <c r="R18" s="704"/>
      <c r="S18" s="705"/>
      <c r="T18" s="704"/>
      <c r="U18" s="705"/>
      <c r="V18" s="704"/>
      <c r="W18" s="705"/>
      <c r="X18" s="1354"/>
      <c r="Y18" s="3735"/>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42"/>
      <c r="Q19" s="1351" t="str">
        <f>B19</f>
        <v>公共配套设施</v>
      </c>
      <c r="R19" s="704" t="s">
        <v>14</v>
      </c>
      <c r="S19" s="705">
        <f>F19</f>
        <v>100</v>
      </c>
      <c r="T19" s="704" t="s">
        <v>14</v>
      </c>
      <c r="U19" s="705">
        <f>H19</f>
        <v>100</v>
      </c>
      <c r="V19" s="704" t="s">
        <v>14</v>
      </c>
      <c r="W19" s="705">
        <f>J19</f>
        <v>100</v>
      </c>
      <c r="X19" s="1354"/>
      <c r="Y19" s="3735"/>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42"/>
      <c r="Q20" s="1351"/>
      <c r="R20" s="704"/>
      <c r="S20" s="705"/>
      <c r="T20" s="704"/>
      <c r="U20" s="705"/>
      <c r="V20" s="704"/>
      <c r="W20" s="705"/>
      <c r="X20" s="1354"/>
      <c r="Y20" s="3735"/>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42"/>
      <c r="Q21" s="1351" t="str">
        <f>B21</f>
        <v>基础设施水平</v>
      </c>
      <c r="R21" s="704" t="s">
        <v>14</v>
      </c>
      <c r="S21" s="705">
        <f>F21</f>
        <v>100</v>
      </c>
      <c r="T21" s="704" t="s">
        <v>14</v>
      </c>
      <c r="U21" s="705">
        <f>H21</f>
        <v>100</v>
      </c>
      <c r="V21" s="704" t="s">
        <v>14</v>
      </c>
      <c r="W21" s="705">
        <f>J21</f>
        <v>100</v>
      </c>
      <c r="X21" s="1354"/>
      <c r="Y21" s="3735"/>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42"/>
      <c r="Q22" s="1351"/>
      <c r="R22" s="704"/>
      <c r="S22" s="705"/>
      <c r="T22" s="704"/>
      <c r="U22" s="705"/>
      <c r="V22" s="704"/>
      <c r="W22" s="705"/>
      <c r="X22" s="1354"/>
      <c r="Y22" s="3735"/>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42"/>
      <c r="Q23" s="1351" t="str">
        <f>B23</f>
        <v>环境质量</v>
      </c>
      <c r="R23" s="704" t="s">
        <v>14</v>
      </c>
      <c r="S23" s="705">
        <f>F23</f>
        <v>100</v>
      </c>
      <c r="T23" s="704" t="s">
        <v>14</v>
      </c>
      <c r="U23" s="705">
        <f>H23</f>
        <v>100</v>
      </c>
      <c r="V23" s="704" t="s">
        <v>14</v>
      </c>
      <c r="W23" s="705">
        <f>J23</f>
        <v>100</v>
      </c>
      <c r="X23" s="1354"/>
      <c r="Y23" s="3735"/>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42"/>
      <c r="Q24" s="1351"/>
      <c r="R24" s="704"/>
      <c r="S24" s="705"/>
      <c r="T24" s="704"/>
      <c r="U24" s="705"/>
      <c r="V24" s="704"/>
      <c r="W24" s="705"/>
      <c r="X24" s="1354"/>
      <c r="Y24" s="3735"/>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42"/>
      <c r="Q25" s="1351" t="str">
        <f>B25</f>
        <v>毗邻道路的类型与等级</v>
      </c>
      <c r="R25" s="704" t="s">
        <v>14</v>
      </c>
      <c r="S25" s="705">
        <f>F25</f>
        <v>100</v>
      </c>
      <c r="T25" s="704" t="s">
        <v>14</v>
      </c>
      <c r="U25" s="705">
        <f>H25</f>
        <v>100</v>
      </c>
      <c r="V25" s="704" t="s">
        <v>14</v>
      </c>
      <c r="W25" s="705">
        <f>J25</f>
        <v>100</v>
      </c>
      <c r="X25" s="1354"/>
      <c r="Y25" s="3735"/>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42"/>
      <c r="Q26" s="1351"/>
      <c r="R26" s="704"/>
      <c r="S26" s="705"/>
      <c r="T26" s="704"/>
      <c r="U26" s="705"/>
      <c r="V26" s="704"/>
      <c r="W26" s="705"/>
      <c r="X26" s="1354"/>
      <c r="Y26" s="3735"/>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42"/>
      <c r="Q27" s="1351" t="str">
        <f t="shared" ref="Q27:Q47" si="11">B27</f>
        <v>楼层</v>
      </c>
      <c r="R27" s="704" t="s">
        <v>14</v>
      </c>
      <c r="S27" s="705">
        <f>F27</f>
        <v>100</v>
      </c>
      <c r="T27" s="704" t="s">
        <v>14</v>
      </c>
      <c r="U27" s="705">
        <f>H27</f>
        <v>100</v>
      </c>
      <c r="V27" s="704" t="s">
        <v>14</v>
      </c>
      <c r="W27" s="705">
        <f>J27</f>
        <v>100</v>
      </c>
      <c r="X27" s="1354"/>
      <c r="Y27" s="3735"/>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42"/>
      <c r="Q28" s="1342" t="str">
        <f t="shared" si="11"/>
        <v>朝向</v>
      </c>
      <c r="R28" s="700" t="s">
        <v>14</v>
      </c>
      <c r="S28" s="701">
        <f>F28</f>
        <v>100</v>
      </c>
      <c r="T28" s="700" t="s">
        <v>14</v>
      </c>
      <c r="U28" s="701">
        <f>H28</f>
        <v>100</v>
      </c>
      <c r="V28" s="700" t="s">
        <v>14</v>
      </c>
      <c r="W28" s="701">
        <f>J28</f>
        <v>100</v>
      </c>
      <c r="X28" s="702"/>
      <c r="Y28" s="3735"/>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42"/>
      <c r="Q29" s="1351">
        <f t="shared" si="11"/>
        <v>111</v>
      </c>
      <c r="R29" s="704" t="s">
        <v>14</v>
      </c>
      <c r="S29" s="705">
        <f t="shared" ref="S29:S47" si="12">F29</f>
        <v>100</v>
      </c>
      <c r="T29" s="704" t="s">
        <v>14</v>
      </c>
      <c r="U29" s="705">
        <f t="shared" ref="U29:U47" si="13">H29</f>
        <v>100</v>
      </c>
      <c r="V29" s="704" t="s">
        <v>14</v>
      </c>
      <c r="W29" s="705">
        <f t="shared" ref="W29:W47" si="14">J29</f>
        <v>100</v>
      </c>
      <c r="X29" s="1354"/>
      <c r="Y29" s="3735"/>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42"/>
      <c r="Q30" s="1351">
        <f t="shared" si="11"/>
        <v>111</v>
      </c>
      <c r="R30" s="704" t="s">
        <v>14</v>
      </c>
      <c r="S30" s="705">
        <f t="shared" si="12"/>
        <v>100</v>
      </c>
      <c r="T30" s="704" t="s">
        <v>14</v>
      </c>
      <c r="U30" s="705">
        <f t="shared" si="13"/>
        <v>100</v>
      </c>
      <c r="V30" s="704" t="s">
        <v>14</v>
      </c>
      <c r="W30" s="705">
        <f t="shared" si="14"/>
        <v>100</v>
      </c>
      <c r="X30" s="1354"/>
      <c r="Y30" s="3735"/>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42"/>
      <c r="Q31" s="1351">
        <f t="shared" si="11"/>
        <v>111</v>
      </c>
      <c r="R31" s="704" t="s">
        <v>14</v>
      </c>
      <c r="S31" s="705">
        <f t="shared" si="12"/>
        <v>100</v>
      </c>
      <c r="T31" s="704" t="s">
        <v>14</v>
      </c>
      <c r="U31" s="705">
        <f t="shared" si="13"/>
        <v>100</v>
      </c>
      <c r="V31" s="704" t="s">
        <v>14</v>
      </c>
      <c r="W31" s="705">
        <f t="shared" si="14"/>
        <v>100</v>
      </c>
      <c r="X31" s="1354"/>
      <c r="Y31" s="3735"/>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42"/>
      <c r="Q32" s="1351">
        <f t="shared" si="11"/>
        <v>111</v>
      </c>
      <c r="R32" s="704" t="s">
        <v>14</v>
      </c>
      <c r="S32" s="705">
        <f t="shared" si="12"/>
        <v>100</v>
      </c>
      <c r="T32" s="704" t="s">
        <v>14</v>
      </c>
      <c r="U32" s="705">
        <f t="shared" si="13"/>
        <v>100</v>
      </c>
      <c r="V32" s="704" t="s">
        <v>14</v>
      </c>
      <c r="W32" s="705">
        <f t="shared" si="14"/>
        <v>100</v>
      </c>
      <c r="X32" s="1354"/>
      <c r="Y32" s="3735"/>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36" t="s">
        <v>1696</v>
      </c>
      <c r="Q33" s="1351" t="str">
        <f t="shared" si="11"/>
        <v>建筑类型</v>
      </c>
      <c r="R33" s="704" t="s">
        <v>14</v>
      </c>
      <c r="S33" s="705">
        <f t="shared" si="12"/>
        <v>100</v>
      </c>
      <c r="T33" s="704" t="s">
        <v>14</v>
      </c>
      <c r="U33" s="705">
        <f t="shared" si="13"/>
        <v>100</v>
      </c>
      <c r="V33" s="704" t="s">
        <v>14</v>
      </c>
      <c r="W33" s="705">
        <f t="shared" si="14"/>
        <v>100</v>
      </c>
      <c r="X33" s="1354"/>
      <c r="Y33" s="3739"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37"/>
      <c r="Q34" s="706" t="str">
        <f t="shared" si="11"/>
        <v>项目建筑规模</v>
      </c>
      <c r="R34" s="707" t="s">
        <v>14</v>
      </c>
      <c r="S34" s="708" t="e">
        <f t="shared" si="12"/>
        <v>#N/A</v>
      </c>
      <c r="T34" s="707" t="s">
        <v>14</v>
      </c>
      <c r="U34" s="708" t="e">
        <f t="shared" si="13"/>
        <v>#N/A</v>
      </c>
      <c r="V34" s="707" t="s">
        <v>14</v>
      </c>
      <c r="W34" s="708" t="e">
        <f t="shared" si="14"/>
        <v>#N/A</v>
      </c>
      <c r="X34" s="709"/>
      <c r="Y34" s="3739"/>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37"/>
      <c r="Q35" s="1351" t="str">
        <f t="shared" si="11"/>
        <v>建筑结构</v>
      </c>
      <c r="R35" s="704" t="s">
        <v>14</v>
      </c>
      <c r="S35" s="705">
        <f t="shared" si="12"/>
        <v>100</v>
      </c>
      <c r="T35" s="704" t="s">
        <v>14</v>
      </c>
      <c r="U35" s="705">
        <f t="shared" si="13"/>
        <v>100</v>
      </c>
      <c r="V35" s="704" t="s">
        <v>14</v>
      </c>
      <c r="W35" s="705">
        <f t="shared" si="14"/>
        <v>100</v>
      </c>
      <c r="X35" s="1354"/>
      <c r="Y35" s="3739"/>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37"/>
      <c r="Q36" s="1351" t="str">
        <f t="shared" si="11"/>
        <v>公共部分装修</v>
      </c>
      <c r="R36" s="704" t="s">
        <v>14</v>
      </c>
      <c r="S36" s="705">
        <f t="shared" si="12"/>
        <v>100</v>
      </c>
      <c r="T36" s="704" t="s">
        <v>14</v>
      </c>
      <c r="U36" s="705">
        <f t="shared" si="13"/>
        <v>100</v>
      </c>
      <c r="V36" s="704" t="s">
        <v>14</v>
      </c>
      <c r="W36" s="705">
        <f t="shared" si="14"/>
        <v>100</v>
      </c>
      <c r="X36" s="1354"/>
      <c r="Y36" s="3739"/>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37"/>
      <c r="Q37" s="1351" t="str">
        <f t="shared" si="11"/>
        <v>成新度</v>
      </c>
      <c r="R37" s="704" t="s">
        <v>14</v>
      </c>
      <c r="S37" s="705" t="e">
        <f t="shared" si="12"/>
        <v>#N/A</v>
      </c>
      <c r="T37" s="704" t="s">
        <v>14</v>
      </c>
      <c r="U37" s="705" t="e">
        <f t="shared" si="13"/>
        <v>#N/A</v>
      </c>
      <c r="V37" s="704" t="s">
        <v>14</v>
      </c>
      <c r="W37" s="705" t="e">
        <f t="shared" si="14"/>
        <v>#N/A</v>
      </c>
      <c r="X37" s="1354"/>
      <c r="Y37" s="3739"/>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37"/>
      <c r="Q38" s="1342" t="str">
        <f t="shared" si="11"/>
        <v>写字楼等级</v>
      </c>
      <c r="R38" s="700" t="s">
        <v>14</v>
      </c>
      <c r="S38" s="701">
        <f t="shared" si="12"/>
        <v>100</v>
      </c>
      <c r="T38" s="700" t="s">
        <v>14</v>
      </c>
      <c r="U38" s="701">
        <f t="shared" si="13"/>
        <v>100</v>
      </c>
      <c r="V38" s="700" t="s">
        <v>14</v>
      </c>
      <c r="W38" s="701">
        <f t="shared" si="14"/>
        <v>100</v>
      </c>
      <c r="X38" s="702"/>
      <c r="Y38" s="3739"/>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37" t="s">
        <v>1696</v>
      </c>
      <c r="Q39" s="1351" t="str">
        <f t="shared" si="11"/>
        <v>物业管理</v>
      </c>
      <c r="R39" s="704" t="s">
        <v>14</v>
      </c>
      <c r="S39" s="705">
        <f t="shared" si="12"/>
        <v>100</v>
      </c>
      <c r="T39" s="704" t="s">
        <v>14</v>
      </c>
      <c r="U39" s="705">
        <f t="shared" si="13"/>
        <v>100</v>
      </c>
      <c r="V39" s="704" t="s">
        <v>14</v>
      </c>
      <c r="W39" s="705">
        <f t="shared" si="14"/>
        <v>100</v>
      </c>
      <c r="X39" s="1354"/>
      <c r="Y39" s="3739"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37"/>
      <c r="Q40" s="1351" t="str">
        <f t="shared" si="11"/>
        <v>市政基础设施</v>
      </c>
      <c r="R40" s="704" t="s">
        <v>14</v>
      </c>
      <c r="S40" s="705">
        <f t="shared" si="12"/>
        <v>100</v>
      </c>
      <c r="T40" s="704" t="s">
        <v>14</v>
      </c>
      <c r="U40" s="705">
        <f t="shared" si="13"/>
        <v>100</v>
      </c>
      <c r="V40" s="704" t="s">
        <v>14</v>
      </c>
      <c r="W40" s="705">
        <f t="shared" si="14"/>
        <v>100</v>
      </c>
      <c r="X40" s="1354"/>
      <c r="Y40" s="3739"/>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37"/>
      <c r="Q41" s="1351" t="str">
        <f t="shared" si="11"/>
        <v>层高</v>
      </c>
      <c r="R41" s="704" t="s">
        <v>14</v>
      </c>
      <c r="S41" s="705">
        <f t="shared" si="12"/>
        <v>100</v>
      </c>
      <c r="T41" s="704" t="s">
        <v>14</v>
      </c>
      <c r="U41" s="705">
        <f t="shared" si="13"/>
        <v>100</v>
      </c>
      <c r="V41" s="704" t="s">
        <v>14</v>
      </c>
      <c r="W41" s="705">
        <f t="shared" si="14"/>
        <v>100</v>
      </c>
      <c r="X41" s="1354"/>
      <c r="Y41" s="3739"/>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37"/>
      <c r="Q42" s="706" t="str">
        <f t="shared" si="11"/>
        <v>单套建筑面积</v>
      </c>
      <c r="R42" s="707" t="s">
        <v>14</v>
      </c>
      <c r="S42" s="708">
        <f t="shared" si="12"/>
        <v>100</v>
      </c>
      <c r="T42" s="707" t="s">
        <v>14</v>
      </c>
      <c r="U42" s="708">
        <f t="shared" si="13"/>
        <v>100</v>
      </c>
      <c r="V42" s="707" t="s">
        <v>14</v>
      </c>
      <c r="W42" s="708">
        <f t="shared" si="14"/>
        <v>100</v>
      </c>
      <c r="X42" s="709"/>
      <c r="Y42" s="3739"/>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37"/>
      <c r="Q43" s="1351" t="str">
        <f t="shared" si="11"/>
        <v>内部装修</v>
      </c>
      <c r="R43" s="704" t="s">
        <v>14</v>
      </c>
      <c r="S43" s="705">
        <f t="shared" si="12"/>
        <v>100</v>
      </c>
      <c r="T43" s="704" t="s">
        <v>14</v>
      </c>
      <c r="U43" s="705">
        <f t="shared" si="13"/>
        <v>100</v>
      </c>
      <c r="V43" s="704" t="s">
        <v>14</v>
      </c>
      <c r="W43" s="705">
        <f t="shared" si="14"/>
        <v>100</v>
      </c>
      <c r="X43" s="1354"/>
      <c r="Y43" s="3739"/>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37"/>
      <c r="Q44" s="1351" t="str">
        <f t="shared" si="11"/>
        <v>内部装修维护情况</v>
      </c>
      <c r="R44" s="704" t="s">
        <v>14</v>
      </c>
      <c r="S44" s="705">
        <f t="shared" si="12"/>
        <v>100</v>
      </c>
      <c r="T44" s="704" t="s">
        <v>14</v>
      </c>
      <c r="U44" s="705">
        <f t="shared" si="13"/>
        <v>100</v>
      </c>
      <c r="V44" s="704" t="s">
        <v>14</v>
      </c>
      <c r="W44" s="705">
        <f t="shared" si="14"/>
        <v>100</v>
      </c>
      <c r="X44" s="1354"/>
      <c r="Y44" s="3739"/>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37"/>
      <c r="Q45" s="1342">
        <f t="shared" si="11"/>
        <v>111</v>
      </c>
      <c r="R45" s="700" t="s">
        <v>14</v>
      </c>
      <c r="S45" s="701">
        <f t="shared" si="12"/>
        <v>100</v>
      </c>
      <c r="T45" s="700" t="s">
        <v>14</v>
      </c>
      <c r="U45" s="701">
        <f t="shared" si="13"/>
        <v>100</v>
      </c>
      <c r="V45" s="700" t="s">
        <v>14</v>
      </c>
      <c r="W45" s="701">
        <f t="shared" si="14"/>
        <v>100</v>
      </c>
      <c r="X45" s="702"/>
      <c r="Y45" s="3739"/>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37"/>
      <c r="Q46" s="1351">
        <f t="shared" si="11"/>
        <v>111</v>
      </c>
      <c r="R46" s="704" t="s">
        <v>14</v>
      </c>
      <c r="S46" s="705">
        <f t="shared" si="12"/>
        <v>100</v>
      </c>
      <c r="T46" s="704" t="s">
        <v>14</v>
      </c>
      <c r="U46" s="705">
        <f t="shared" si="13"/>
        <v>100</v>
      </c>
      <c r="V46" s="704" t="s">
        <v>14</v>
      </c>
      <c r="W46" s="705">
        <f t="shared" si="14"/>
        <v>100</v>
      </c>
      <c r="X46" s="1354"/>
      <c r="Y46" s="3739"/>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38"/>
      <c r="Q47" s="1351">
        <f t="shared" si="11"/>
        <v>111</v>
      </c>
      <c r="R47" s="704" t="s">
        <v>14</v>
      </c>
      <c r="S47" s="705">
        <f t="shared" si="12"/>
        <v>100</v>
      </c>
      <c r="T47" s="704" t="s">
        <v>14</v>
      </c>
      <c r="U47" s="705">
        <f t="shared" si="13"/>
        <v>100</v>
      </c>
      <c r="V47" s="704" t="s">
        <v>14</v>
      </c>
      <c r="W47" s="705">
        <f t="shared" si="14"/>
        <v>100</v>
      </c>
      <c r="X47" s="1354"/>
      <c r="Y47" s="3740"/>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714" t="str">
        <f>A48</f>
        <v>成交单价（元/平方米）</v>
      </c>
      <c r="Q48" s="3732"/>
      <c r="R48" s="3733">
        <f>E48</f>
        <v>0</v>
      </c>
      <c r="S48" s="3733"/>
      <c r="T48" s="3733">
        <f>G48</f>
        <v>0</v>
      </c>
      <c r="U48" s="3733"/>
      <c r="V48" s="3733">
        <f>I48</f>
        <v>0</v>
      </c>
      <c r="W48" s="3733"/>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14" t="str">
        <f>A49</f>
        <v>比较价值（元/平方米）</v>
      </c>
      <c r="Q49" s="3732"/>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55" t="str">
        <f>A50</f>
        <v>估价对象XX用房的比较价值（楼面单价，元/平方米）</v>
      </c>
      <c r="Q50" s="3756"/>
      <c r="R50" s="3757" t="e">
        <f>IF(F1="售价",ROUND(IF(D49="简单平均",AVERAGE(R49:V49),R49*F49+T49*H49+V49*J49),0),ROUND(IF(D49="简单平均",AVERAGE(R49:V49),R49*F49+T49*H49+V49*J49),1))</f>
        <v>#DIV/0!</v>
      </c>
      <c r="S50" s="3757"/>
      <c r="T50" s="3757"/>
      <c r="U50" s="3757"/>
      <c r="V50" s="3757"/>
      <c r="W50" s="3757"/>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42466.65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15" t="s">
        <v>1770</v>
      </c>
      <c r="D4" s="3716"/>
      <c r="E4" s="3717" t="s">
        <v>1771</v>
      </c>
      <c r="F4" s="3718"/>
      <c r="G4" s="3715" t="s">
        <v>1772</v>
      </c>
      <c r="H4" s="3716"/>
      <c r="I4" s="3715" t="s">
        <v>1773</v>
      </c>
      <c r="J4" s="3716"/>
      <c r="K4" s="558" t="s">
        <v>1774</v>
      </c>
      <c r="L4" s="912"/>
      <c r="M4" s="913"/>
      <c r="N4" s="913"/>
      <c r="O4" s="913"/>
      <c r="P4" s="3719" t="s">
        <v>1775</v>
      </c>
      <c r="Q4" s="3720"/>
      <c r="R4" s="3702" t="s">
        <v>1771</v>
      </c>
      <c r="S4" s="3703"/>
      <c r="T4" s="3702" t="s">
        <v>1772</v>
      </c>
      <c r="U4" s="3703"/>
      <c r="V4" s="3727" t="s">
        <v>1773</v>
      </c>
      <c r="W4" s="3727"/>
      <c r="X4" s="1354"/>
      <c r="Y4" s="3702" t="s">
        <v>1775</v>
      </c>
      <c r="Z4" s="3703"/>
      <c r="AA4" s="3697" t="s">
        <v>1771</v>
      </c>
      <c r="AB4" s="3698" t="s">
        <v>1772</v>
      </c>
      <c r="AC4" s="3697" t="s">
        <v>1773</v>
      </c>
    </row>
    <row r="5" spans="1:29" ht="15">
      <c r="A5" s="357"/>
      <c r="B5" s="358"/>
      <c r="C5" s="3708" t="s">
        <v>1673</v>
      </c>
      <c r="D5" s="3709"/>
      <c r="E5" s="3706" t="s">
        <v>1674</v>
      </c>
      <c r="F5" s="3707"/>
      <c r="G5" s="3708" t="s">
        <v>1675</v>
      </c>
      <c r="H5" s="3709"/>
      <c r="I5" s="3708" t="s">
        <v>1676</v>
      </c>
      <c r="J5" s="3709"/>
      <c r="K5" s="558"/>
      <c r="L5" s="912"/>
      <c r="M5" s="913"/>
      <c r="N5" s="913"/>
      <c r="O5" s="913"/>
      <c r="P5" s="3721"/>
      <c r="Q5" s="3722"/>
      <c r="R5" s="3704"/>
      <c r="S5" s="3705"/>
      <c r="T5" s="3704"/>
      <c r="U5" s="3705"/>
      <c r="V5" s="3727"/>
      <c r="W5" s="3727"/>
      <c r="X5" s="1354"/>
      <c r="Y5" s="3704"/>
      <c r="Z5" s="3705"/>
      <c r="AA5" s="3698"/>
      <c r="AB5" s="3698"/>
      <c r="AC5" s="3698"/>
    </row>
    <row r="6" spans="1:29" ht="15.75" thickBot="1">
      <c r="A6" s="359"/>
      <c r="B6" s="360"/>
      <c r="C6" s="3710" t="s">
        <v>1677</v>
      </c>
      <c r="D6" s="3711"/>
      <c r="E6" s="3712" t="s">
        <v>1677</v>
      </c>
      <c r="F6" s="3713"/>
      <c r="G6" s="3710" t="s">
        <v>1677</v>
      </c>
      <c r="H6" s="3711"/>
      <c r="I6" s="3710" t="s">
        <v>1677</v>
      </c>
      <c r="J6" s="3711"/>
      <c r="K6" s="558" t="s">
        <v>1678</v>
      </c>
      <c r="L6" s="912"/>
      <c r="M6" s="913"/>
      <c r="N6" s="913"/>
      <c r="O6" s="913"/>
      <c r="P6" s="3723"/>
      <c r="Q6" s="3724"/>
      <c r="R6" s="3704"/>
      <c r="S6" s="3705"/>
      <c r="T6" s="3725"/>
      <c r="U6" s="3726"/>
      <c r="V6" s="3727"/>
      <c r="W6" s="3727"/>
      <c r="X6" s="1354"/>
      <c r="Y6" s="3725"/>
      <c r="Z6" s="3726"/>
      <c r="AA6" s="3699"/>
      <c r="AB6" s="3699"/>
      <c r="AC6" s="3699"/>
    </row>
    <row r="7" spans="1:29" s="107" customFormat="1" ht="15.75" thickBot="1">
      <c r="A7" s="361" t="s">
        <v>1679</v>
      </c>
      <c r="B7" s="362"/>
      <c r="C7" s="363">
        <f>'数据-取费表'!B2</f>
        <v>45754</v>
      </c>
      <c r="D7" s="364">
        <v>100</v>
      </c>
      <c r="E7" s="365"/>
      <c r="F7" s="366">
        <f>SUMIF(52:52,YEAR(E7)&amp;"-"&amp;MONTH(E7),53:53)</f>
        <v>0</v>
      </c>
      <c r="G7" s="365"/>
      <c r="H7" s="364">
        <f>SUMIF(52:52,YEAR(G7)&amp;"-"&amp;MONTH(G7),53:53)</f>
        <v>0</v>
      </c>
      <c r="I7" s="365"/>
      <c r="J7" s="364">
        <f>SUMIF(52:52,YEAR(I7)&amp;"-"&amp;MONTH(I7),53:53)</f>
        <v>0</v>
      </c>
      <c r="K7" s="559"/>
      <c r="L7" s="914"/>
      <c r="M7" s="915"/>
      <c r="N7" s="915"/>
      <c r="O7" s="915"/>
      <c r="P7" s="3700" t="s">
        <v>1680</v>
      </c>
      <c r="Q7" s="3728"/>
      <c r="R7" s="700" t="s">
        <v>14</v>
      </c>
      <c r="S7" s="701">
        <f t="shared" ref="S7:S15" si="0">F7</f>
        <v>0</v>
      </c>
      <c r="T7" s="700" t="s">
        <v>14</v>
      </c>
      <c r="U7" s="701">
        <f t="shared" ref="U7:U15" si="1">H7</f>
        <v>0</v>
      </c>
      <c r="V7" s="700" t="s">
        <v>14</v>
      </c>
      <c r="W7" s="701">
        <f t="shared" ref="W7:W15" si="2">J7</f>
        <v>0</v>
      </c>
      <c r="X7" s="702"/>
      <c r="Y7" s="3700" t="s">
        <v>1680</v>
      </c>
      <c r="Z7" s="3701"/>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00" t="s">
        <v>1683</v>
      </c>
      <c r="Q8" s="3701"/>
      <c r="R8" s="700" t="s">
        <v>14</v>
      </c>
      <c r="S8" s="701">
        <f t="shared" si="0"/>
        <v>100</v>
      </c>
      <c r="T8" s="700" t="s">
        <v>14</v>
      </c>
      <c r="U8" s="701">
        <f t="shared" si="1"/>
        <v>100</v>
      </c>
      <c r="V8" s="700" t="s">
        <v>14</v>
      </c>
      <c r="W8" s="701">
        <f t="shared" si="2"/>
        <v>100</v>
      </c>
      <c r="X8" s="702"/>
      <c r="Y8" s="3700" t="s">
        <v>1683</v>
      </c>
      <c r="Z8" s="3701"/>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32"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32"/>
      <c r="Q10" s="1342"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32"/>
      <c r="Q11" s="1342" t="str">
        <f t="shared" si="6"/>
        <v>容积率</v>
      </c>
      <c r="R11" s="700" t="s">
        <v>14</v>
      </c>
      <c r="S11" s="701">
        <f t="shared" si="0"/>
        <v>100</v>
      </c>
      <c r="T11" s="700" t="s">
        <v>14</v>
      </c>
      <c r="U11" s="701">
        <f t="shared" si="1"/>
        <v>100</v>
      </c>
      <c r="V11" s="700" t="s">
        <v>14</v>
      </c>
      <c r="W11" s="701">
        <f t="shared" si="2"/>
        <v>100</v>
      </c>
      <c r="X11" s="702"/>
      <c r="Y11" s="3644"/>
      <c r="Z11" s="52"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32"/>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32"/>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32"/>
      <c r="Q14" s="1342">
        <f t="shared" si="6"/>
        <v>111</v>
      </c>
      <c r="R14" s="700" t="s">
        <v>14</v>
      </c>
      <c r="S14" s="701">
        <f t="shared" si="0"/>
        <v>100</v>
      </c>
      <c r="T14" s="700" t="s">
        <v>14</v>
      </c>
      <c r="U14" s="701">
        <f t="shared" si="1"/>
        <v>100</v>
      </c>
      <c r="V14" s="700" t="s">
        <v>14</v>
      </c>
      <c r="W14" s="701">
        <f t="shared" si="2"/>
        <v>100</v>
      </c>
      <c r="X14" s="702"/>
      <c r="Y14" s="3644"/>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34" t="s">
        <v>1691</v>
      </c>
      <c r="Q15" s="1351" t="str">
        <f t="shared" si="6"/>
        <v>产业集聚程度</v>
      </c>
      <c r="R15" s="704" t="s">
        <v>14</v>
      </c>
      <c r="S15" s="705">
        <f t="shared" si="0"/>
        <v>100</v>
      </c>
      <c r="T15" s="704" t="s">
        <v>14</v>
      </c>
      <c r="U15" s="705">
        <f t="shared" si="1"/>
        <v>100</v>
      </c>
      <c r="V15" s="704" t="s">
        <v>14</v>
      </c>
      <c r="W15" s="705">
        <f t="shared" si="2"/>
        <v>100</v>
      </c>
      <c r="X15" s="1354"/>
      <c r="Y15" s="3734"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35"/>
      <c r="Q16" s="1351"/>
      <c r="R16" s="704"/>
      <c r="S16" s="705"/>
      <c r="T16" s="704"/>
      <c r="U16" s="705"/>
      <c r="V16" s="704"/>
      <c r="W16" s="705"/>
      <c r="X16" s="1354"/>
      <c r="Y16" s="3735"/>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35"/>
      <c r="Q17" s="1351" t="str">
        <f>B17</f>
        <v>交通便捷度</v>
      </c>
      <c r="R17" s="704" t="s">
        <v>14</v>
      </c>
      <c r="S17" s="705">
        <f>F17</f>
        <v>100</v>
      </c>
      <c r="T17" s="704" t="s">
        <v>14</v>
      </c>
      <c r="U17" s="705">
        <f>H17</f>
        <v>100</v>
      </c>
      <c r="V17" s="704" t="s">
        <v>14</v>
      </c>
      <c r="W17" s="705">
        <f>J17</f>
        <v>100</v>
      </c>
      <c r="X17" s="1354"/>
      <c r="Y17" s="373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35"/>
      <c r="Q18" s="1351"/>
      <c r="R18" s="704"/>
      <c r="S18" s="705"/>
      <c r="T18" s="704"/>
      <c r="U18" s="705"/>
      <c r="V18" s="704"/>
      <c r="W18" s="705"/>
      <c r="X18" s="1354"/>
      <c r="Y18" s="3735"/>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35"/>
      <c r="Q19" s="1351" t="str">
        <f>B19</f>
        <v>公共配套设施</v>
      </c>
      <c r="R19" s="704" t="s">
        <v>14</v>
      </c>
      <c r="S19" s="705">
        <f>F19</f>
        <v>100</v>
      </c>
      <c r="T19" s="704" t="s">
        <v>14</v>
      </c>
      <c r="U19" s="705">
        <f>H19</f>
        <v>100</v>
      </c>
      <c r="V19" s="704" t="s">
        <v>14</v>
      </c>
      <c r="W19" s="705">
        <f>J19</f>
        <v>100</v>
      </c>
      <c r="X19" s="1354"/>
      <c r="Y19" s="373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35"/>
      <c r="Q20" s="1351"/>
      <c r="R20" s="704"/>
      <c r="S20" s="705"/>
      <c r="T20" s="704"/>
      <c r="U20" s="705"/>
      <c r="V20" s="704"/>
      <c r="W20" s="705"/>
      <c r="X20" s="1354"/>
      <c r="Y20" s="3735"/>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35"/>
      <c r="Q21" s="1351" t="str">
        <f>B21</f>
        <v>基础设施水平</v>
      </c>
      <c r="R21" s="704" t="s">
        <v>14</v>
      </c>
      <c r="S21" s="705">
        <f>F21</f>
        <v>100</v>
      </c>
      <c r="T21" s="704" t="s">
        <v>14</v>
      </c>
      <c r="U21" s="705">
        <f>H21</f>
        <v>100</v>
      </c>
      <c r="V21" s="704" t="s">
        <v>14</v>
      </c>
      <c r="W21" s="705">
        <f>J21</f>
        <v>100</v>
      </c>
      <c r="X21" s="1354"/>
      <c r="Y21" s="373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35"/>
      <c r="Q22" s="1351"/>
      <c r="R22" s="704"/>
      <c r="S22" s="705"/>
      <c r="T22" s="704"/>
      <c r="U22" s="705"/>
      <c r="V22" s="704"/>
      <c r="W22" s="705"/>
      <c r="X22" s="1354"/>
      <c r="Y22" s="3735"/>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35"/>
      <c r="Q23" s="1351" t="str">
        <f>B23</f>
        <v>环境质量</v>
      </c>
      <c r="R23" s="704" t="s">
        <v>14</v>
      </c>
      <c r="S23" s="705">
        <f>F23</f>
        <v>100</v>
      </c>
      <c r="T23" s="704" t="s">
        <v>14</v>
      </c>
      <c r="U23" s="705">
        <f>H23</f>
        <v>100</v>
      </c>
      <c r="V23" s="704" t="s">
        <v>14</v>
      </c>
      <c r="W23" s="705">
        <f>J23</f>
        <v>100</v>
      </c>
      <c r="X23" s="1354"/>
      <c r="Y23" s="3735"/>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35"/>
      <c r="Q24" s="1351"/>
      <c r="R24" s="704"/>
      <c r="S24" s="705"/>
      <c r="T24" s="704"/>
      <c r="U24" s="705"/>
      <c r="V24" s="704"/>
      <c r="W24" s="705"/>
      <c r="X24" s="1354"/>
      <c r="Y24" s="3735"/>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35"/>
      <c r="Q25" s="1351">
        <f>B25</f>
        <v>111</v>
      </c>
      <c r="R25" s="704" t="s">
        <v>14</v>
      </c>
      <c r="S25" s="705">
        <f>F25</f>
        <v>100</v>
      </c>
      <c r="T25" s="704" t="s">
        <v>14</v>
      </c>
      <c r="U25" s="705">
        <f>H25</f>
        <v>100</v>
      </c>
      <c r="V25" s="704" t="s">
        <v>14</v>
      </c>
      <c r="W25" s="705">
        <f>J25</f>
        <v>100</v>
      </c>
      <c r="X25" s="1354"/>
      <c r="Y25" s="3735"/>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35"/>
      <c r="Q26" s="1351">
        <f t="shared" ref="Q26:Q40" si="11">B26</f>
        <v>111</v>
      </c>
      <c r="R26" s="704" t="s">
        <v>14</v>
      </c>
      <c r="S26" s="705">
        <f>F26</f>
        <v>100</v>
      </c>
      <c r="T26" s="704" t="s">
        <v>14</v>
      </c>
      <c r="U26" s="705">
        <f>H26</f>
        <v>100</v>
      </c>
      <c r="V26" s="704" t="s">
        <v>14</v>
      </c>
      <c r="W26" s="705">
        <f>J26</f>
        <v>100</v>
      </c>
      <c r="X26" s="1354"/>
      <c r="Y26" s="3735"/>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35"/>
      <c r="Q27" s="1342">
        <f t="shared" si="11"/>
        <v>111</v>
      </c>
      <c r="R27" s="700" t="s">
        <v>14</v>
      </c>
      <c r="S27" s="701">
        <f>F27</f>
        <v>100</v>
      </c>
      <c r="T27" s="700" t="s">
        <v>14</v>
      </c>
      <c r="U27" s="701">
        <f>H27</f>
        <v>100</v>
      </c>
      <c r="V27" s="700" t="s">
        <v>14</v>
      </c>
      <c r="W27" s="701">
        <f>J27</f>
        <v>100</v>
      </c>
      <c r="X27" s="702"/>
      <c r="Y27" s="3735"/>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35"/>
      <c r="Q28" s="1351">
        <f t="shared" si="11"/>
        <v>111</v>
      </c>
      <c r="R28" s="704" t="s">
        <v>14</v>
      </c>
      <c r="S28" s="705">
        <f t="shared" ref="S28:S40" si="12">F28</f>
        <v>100</v>
      </c>
      <c r="T28" s="704" t="s">
        <v>14</v>
      </c>
      <c r="U28" s="705">
        <f t="shared" ref="U28:U40" si="13">H28</f>
        <v>100</v>
      </c>
      <c r="V28" s="704" t="s">
        <v>14</v>
      </c>
      <c r="W28" s="705">
        <f t="shared" ref="W28:W40" si="14">J28</f>
        <v>100</v>
      </c>
      <c r="X28" s="1354"/>
      <c r="Y28" s="3735"/>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8" t="s">
        <v>1696</v>
      </c>
      <c r="Q29" s="1351" t="str">
        <f t="shared" si="11"/>
        <v>建筑类型</v>
      </c>
      <c r="R29" s="704" t="s">
        <v>14</v>
      </c>
      <c r="S29" s="705">
        <f t="shared" si="12"/>
        <v>100</v>
      </c>
      <c r="T29" s="704" t="s">
        <v>14</v>
      </c>
      <c r="U29" s="705">
        <f t="shared" si="13"/>
        <v>100</v>
      </c>
      <c r="V29" s="704" t="s">
        <v>14</v>
      </c>
      <c r="W29" s="705">
        <f t="shared" si="14"/>
        <v>100</v>
      </c>
      <c r="X29" s="1354"/>
      <c r="Y29" s="3739"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39"/>
      <c r="Q30" s="706" t="str">
        <f t="shared" si="11"/>
        <v>项目建筑规模</v>
      </c>
      <c r="R30" s="707" t="s">
        <v>14</v>
      </c>
      <c r="S30" s="708" t="e">
        <f t="shared" si="12"/>
        <v>#N/A</v>
      </c>
      <c r="T30" s="707" t="s">
        <v>14</v>
      </c>
      <c r="U30" s="708" t="e">
        <f t="shared" si="13"/>
        <v>#N/A</v>
      </c>
      <c r="V30" s="707" t="s">
        <v>14</v>
      </c>
      <c r="W30" s="708" t="e">
        <f t="shared" si="14"/>
        <v>#N/A</v>
      </c>
      <c r="X30" s="709"/>
      <c r="Y30" s="3739"/>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39"/>
      <c r="Q31" s="1351" t="str">
        <f t="shared" si="11"/>
        <v>建筑结构</v>
      </c>
      <c r="R31" s="704" t="s">
        <v>14</v>
      </c>
      <c r="S31" s="705">
        <f t="shared" si="12"/>
        <v>100</v>
      </c>
      <c r="T31" s="704" t="s">
        <v>14</v>
      </c>
      <c r="U31" s="705">
        <f t="shared" si="13"/>
        <v>100</v>
      </c>
      <c r="V31" s="704" t="s">
        <v>14</v>
      </c>
      <c r="W31" s="705">
        <f t="shared" si="14"/>
        <v>100</v>
      </c>
      <c r="X31" s="1354"/>
      <c r="Y31" s="3739"/>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39"/>
      <c r="Q32" s="1351" t="str">
        <f t="shared" si="11"/>
        <v>公共部分装修</v>
      </c>
      <c r="R32" s="704" t="s">
        <v>14</v>
      </c>
      <c r="S32" s="705">
        <f t="shared" si="12"/>
        <v>100</v>
      </c>
      <c r="T32" s="704" t="s">
        <v>14</v>
      </c>
      <c r="U32" s="705">
        <f t="shared" si="13"/>
        <v>100</v>
      </c>
      <c r="V32" s="704" t="s">
        <v>14</v>
      </c>
      <c r="W32" s="705">
        <f t="shared" si="14"/>
        <v>100</v>
      </c>
      <c r="X32" s="1354"/>
      <c r="Y32" s="3739"/>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39"/>
      <c r="Q33" s="1351" t="str">
        <f t="shared" si="11"/>
        <v>成新度</v>
      </c>
      <c r="R33" s="704" t="s">
        <v>14</v>
      </c>
      <c r="S33" s="705" t="e">
        <f t="shared" si="12"/>
        <v>#N/A</v>
      </c>
      <c r="T33" s="704" t="s">
        <v>14</v>
      </c>
      <c r="U33" s="705" t="e">
        <f t="shared" si="13"/>
        <v>#N/A</v>
      </c>
      <c r="V33" s="704" t="s">
        <v>14</v>
      </c>
      <c r="W33" s="705" t="e">
        <f t="shared" si="14"/>
        <v>#N/A</v>
      </c>
      <c r="X33" s="1354"/>
      <c r="Y33" s="3739"/>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39"/>
      <c r="Q34" s="1342" t="str">
        <f t="shared" si="11"/>
        <v>物业管理</v>
      </c>
      <c r="R34" s="700" t="s">
        <v>14</v>
      </c>
      <c r="S34" s="701">
        <f t="shared" si="12"/>
        <v>100</v>
      </c>
      <c r="T34" s="700" t="s">
        <v>14</v>
      </c>
      <c r="U34" s="701">
        <f t="shared" si="13"/>
        <v>100</v>
      </c>
      <c r="V34" s="700" t="s">
        <v>14</v>
      </c>
      <c r="W34" s="701">
        <f t="shared" si="14"/>
        <v>100</v>
      </c>
      <c r="X34" s="702"/>
      <c r="Y34" s="3739"/>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39" t="s">
        <v>1696</v>
      </c>
      <c r="Q35" s="1351" t="str">
        <f t="shared" si="11"/>
        <v>市政基础设施</v>
      </c>
      <c r="R35" s="704" t="s">
        <v>14</v>
      </c>
      <c r="S35" s="705">
        <f t="shared" si="12"/>
        <v>100</v>
      </c>
      <c r="T35" s="704" t="s">
        <v>14</v>
      </c>
      <c r="U35" s="705">
        <f t="shared" si="13"/>
        <v>100</v>
      </c>
      <c r="V35" s="704" t="s">
        <v>14</v>
      </c>
      <c r="W35" s="705">
        <f t="shared" si="14"/>
        <v>100</v>
      </c>
      <c r="X35" s="1354"/>
      <c r="Y35" s="3739"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39"/>
      <c r="Q36" s="1351" t="str">
        <f t="shared" si="11"/>
        <v>内部装修</v>
      </c>
      <c r="R36" s="704" t="s">
        <v>14</v>
      </c>
      <c r="S36" s="705">
        <f t="shared" si="12"/>
        <v>100</v>
      </c>
      <c r="T36" s="704" t="s">
        <v>14</v>
      </c>
      <c r="U36" s="705">
        <f t="shared" si="13"/>
        <v>100</v>
      </c>
      <c r="V36" s="704" t="s">
        <v>14</v>
      </c>
      <c r="W36" s="705">
        <f t="shared" si="14"/>
        <v>100</v>
      </c>
      <c r="X36" s="1354"/>
      <c r="Y36" s="3739"/>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39"/>
      <c r="Q37" s="1351" t="str">
        <f t="shared" si="11"/>
        <v>内部装修状况</v>
      </c>
      <c r="R37" s="704" t="s">
        <v>14</v>
      </c>
      <c r="S37" s="705">
        <f t="shared" si="12"/>
        <v>100</v>
      </c>
      <c r="T37" s="704" t="s">
        <v>14</v>
      </c>
      <c r="U37" s="705">
        <f t="shared" si="13"/>
        <v>100</v>
      </c>
      <c r="V37" s="704" t="s">
        <v>14</v>
      </c>
      <c r="W37" s="705">
        <f t="shared" si="14"/>
        <v>100</v>
      </c>
      <c r="X37" s="1354"/>
      <c r="Y37" s="3739"/>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39"/>
      <c r="Q38" s="706">
        <f t="shared" si="11"/>
        <v>111</v>
      </c>
      <c r="R38" s="707" t="s">
        <v>14</v>
      </c>
      <c r="S38" s="708">
        <f t="shared" si="12"/>
        <v>100</v>
      </c>
      <c r="T38" s="707" t="s">
        <v>14</v>
      </c>
      <c r="U38" s="708">
        <f t="shared" si="13"/>
        <v>100</v>
      </c>
      <c r="V38" s="707" t="s">
        <v>14</v>
      </c>
      <c r="W38" s="708">
        <f t="shared" si="14"/>
        <v>100</v>
      </c>
      <c r="X38" s="709"/>
      <c r="Y38" s="3739"/>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39"/>
      <c r="Q39" s="1351">
        <f t="shared" si="11"/>
        <v>111</v>
      </c>
      <c r="R39" s="704" t="s">
        <v>14</v>
      </c>
      <c r="S39" s="705">
        <f t="shared" si="12"/>
        <v>100</v>
      </c>
      <c r="T39" s="704" t="s">
        <v>14</v>
      </c>
      <c r="U39" s="705">
        <f t="shared" si="13"/>
        <v>100</v>
      </c>
      <c r="V39" s="704" t="s">
        <v>14</v>
      </c>
      <c r="W39" s="705">
        <f t="shared" si="14"/>
        <v>100</v>
      </c>
      <c r="X39" s="1354"/>
      <c r="Y39" s="3739"/>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40"/>
      <c r="Q40" s="1351">
        <f t="shared" si="11"/>
        <v>111</v>
      </c>
      <c r="R40" s="704" t="s">
        <v>14</v>
      </c>
      <c r="S40" s="705">
        <f t="shared" si="12"/>
        <v>100</v>
      </c>
      <c r="T40" s="704" t="s">
        <v>14</v>
      </c>
      <c r="U40" s="705">
        <f t="shared" si="13"/>
        <v>100</v>
      </c>
      <c r="V40" s="704" t="s">
        <v>14</v>
      </c>
      <c r="W40" s="705">
        <f t="shared" si="14"/>
        <v>100</v>
      </c>
      <c r="X40" s="1354"/>
      <c r="Y40" s="3740"/>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32" t="str">
        <f>A41</f>
        <v>成交单价（元/平方米）</v>
      </c>
      <c r="Q41" s="3732"/>
      <c r="R41" s="3733">
        <f>E41</f>
        <v>0</v>
      </c>
      <c r="S41" s="3733"/>
      <c r="T41" s="3733">
        <f>G41</f>
        <v>0</v>
      </c>
      <c r="U41" s="3733"/>
      <c r="V41" s="3733">
        <f>I41</f>
        <v>0</v>
      </c>
      <c r="W41" s="3733"/>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2025-4</v>
      </c>
      <c r="D52" s="1184">
        <f>EDATE(C52,-1)</f>
        <v>45717</v>
      </c>
      <c r="E52" s="1184">
        <f t="shared" ref="E52:O52" si="16">EDATE(D52,-1)</f>
        <v>45689</v>
      </c>
      <c r="F52" s="1184">
        <f t="shared" si="16"/>
        <v>45658</v>
      </c>
      <c r="G52" s="1184">
        <f t="shared" si="16"/>
        <v>45627</v>
      </c>
      <c r="H52" s="1184">
        <f t="shared" si="16"/>
        <v>45597</v>
      </c>
      <c r="I52" s="1184">
        <f t="shared" si="16"/>
        <v>45566</v>
      </c>
      <c r="J52" s="1184">
        <f t="shared" si="16"/>
        <v>45536</v>
      </c>
      <c r="K52" s="1184">
        <f t="shared" si="16"/>
        <v>45505</v>
      </c>
      <c r="L52" s="1184">
        <f t="shared" si="16"/>
        <v>45474</v>
      </c>
      <c r="M52" s="1184">
        <f t="shared" si="16"/>
        <v>45444</v>
      </c>
      <c r="N52" s="1184">
        <f t="shared" si="16"/>
        <v>45413</v>
      </c>
      <c r="O52" s="1184">
        <f t="shared" si="16"/>
        <v>45383</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9"/>
      <c r="O54" s="2770"/>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715" t="s">
        <v>1770</v>
      </c>
      <c r="D4" s="3716"/>
      <c r="E4" s="3717" t="s">
        <v>1771</v>
      </c>
      <c r="F4" s="3718"/>
      <c r="G4" s="3715" t="s">
        <v>1772</v>
      </c>
      <c r="H4" s="3716"/>
      <c r="I4" s="3715" t="s">
        <v>1773</v>
      </c>
      <c r="J4" s="3716"/>
      <c r="K4" s="558" t="s">
        <v>1774</v>
      </c>
      <c r="L4" s="2714"/>
      <c r="M4" s="2715"/>
      <c r="N4" s="2715"/>
      <c r="O4" s="2715"/>
      <c r="P4" s="3719" t="s">
        <v>1775</v>
      </c>
      <c r="Q4" s="3720"/>
      <c r="R4" s="3702" t="s">
        <v>1771</v>
      </c>
      <c r="S4" s="3703"/>
      <c r="T4" s="3702" t="s">
        <v>1772</v>
      </c>
      <c r="U4" s="3703"/>
      <c r="V4" s="3727" t="s">
        <v>1773</v>
      </c>
      <c r="W4" s="3727"/>
      <c r="X4" s="1354"/>
      <c r="Y4" s="3702" t="s">
        <v>1775</v>
      </c>
      <c r="Z4" s="3703"/>
      <c r="AA4" s="3697" t="s">
        <v>1771</v>
      </c>
      <c r="AB4" s="3698" t="s">
        <v>1772</v>
      </c>
      <c r="AC4" s="3697" t="s">
        <v>1773</v>
      </c>
    </row>
    <row r="5" spans="1:29" ht="15">
      <c r="A5" s="357"/>
      <c r="B5" s="358"/>
      <c r="C5" s="3708" t="s">
        <v>1673</v>
      </c>
      <c r="D5" s="3709"/>
      <c r="E5" s="3706" t="s">
        <v>1674</v>
      </c>
      <c r="F5" s="3707"/>
      <c r="G5" s="3708" t="s">
        <v>1675</v>
      </c>
      <c r="H5" s="3709"/>
      <c r="I5" s="3708" t="s">
        <v>1676</v>
      </c>
      <c r="J5" s="3709"/>
      <c r="K5" s="558"/>
      <c r="L5" s="2714"/>
      <c r="M5" s="2715"/>
      <c r="N5" s="2715"/>
      <c r="O5" s="2715"/>
      <c r="P5" s="3721"/>
      <c r="Q5" s="3722"/>
      <c r="R5" s="3704"/>
      <c r="S5" s="3705"/>
      <c r="T5" s="3704"/>
      <c r="U5" s="3705"/>
      <c r="V5" s="3727"/>
      <c r="W5" s="3727"/>
      <c r="X5" s="1354"/>
      <c r="Y5" s="3704"/>
      <c r="Z5" s="3705"/>
      <c r="AA5" s="3698"/>
      <c r="AB5" s="3698"/>
      <c r="AC5" s="3698"/>
    </row>
    <row r="6" spans="1:29" ht="15.75" thickBot="1">
      <c r="A6" s="359"/>
      <c r="B6" s="360"/>
      <c r="C6" s="3710" t="s">
        <v>1677</v>
      </c>
      <c r="D6" s="3711"/>
      <c r="E6" s="3712" t="s">
        <v>1677</v>
      </c>
      <c r="F6" s="3713"/>
      <c r="G6" s="3710" t="s">
        <v>1677</v>
      </c>
      <c r="H6" s="3711"/>
      <c r="I6" s="3710" t="s">
        <v>1677</v>
      </c>
      <c r="J6" s="3711"/>
      <c r="K6" s="558" t="s">
        <v>1678</v>
      </c>
      <c r="L6" s="2714"/>
      <c r="M6" s="2715"/>
      <c r="N6" s="2715"/>
      <c r="O6" s="2715"/>
      <c r="P6" s="3723"/>
      <c r="Q6" s="3724"/>
      <c r="R6" s="3704"/>
      <c r="S6" s="3705"/>
      <c r="T6" s="3725"/>
      <c r="U6" s="3726"/>
      <c r="V6" s="3727"/>
      <c r="W6" s="3727"/>
      <c r="X6" s="1354"/>
      <c r="Y6" s="3725"/>
      <c r="Z6" s="3726"/>
      <c r="AA6" s="3699"/>
      <c r="AB6" s="3699"/>
      <c r="AC6" s="3699"/>
    </row>
    <row r="7" spans="1:29" s="107" customFormat="1" ht="15.75" thickBot="1">
      <c r="A7" s="361" t="s">
        <v>1679</v>
      </c>
      <c r="B7" s="362"/>
      <c r="C7" s="363">
        <f>'数据-取费表'!B2</f>
        <v>45754</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00" t="s">
        <v>1680</v>
      </c>
      <c r="Q7" s="3728"/>
      <c r="R7" s="700" t="s">
        <v>14</v>
      </c>
      <c r="S7" s="701">
        <f t="shared" ref="S7:S14" si="0">F7</f>
        <v>0</v>
      </c>
      <c r="T7" s="700" t="s">
        <v>14</v>
      </c>
      <c r="U7" s="701">
        <f t="shared" ref="U7:U14" si="1">H7</f>
        <v>0</v>
      </c>
      <c r="V7" s="700" t="s">
        <v>14</v>
      </c>
      <c r="W7" s="701">
        <f t="shared" ref="W7:W14" si="2">J7</f>
        <v>0</v>
      </c>
      <c r="X7" s="702"/>
      <c r="Y7" s="3700" t="s">
        <v>1680</v>
      </c>
      <c r="Z7" s="3701"/>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00" t="s">
        <v>1683</v>
      </c>
      <c r="Q8" s="3701"/>
      <c r="R8" s="700" t="s">
        <v>14</v>
      </c>
      <c r="S8" s="701">
        <f t="shared" si="0"/>
        <v>100</v>
      </c>
      <c r="T8" s="700" t="s">
        <v>14</v>
      </c>
      <c r="U8" s="701">
        <f t="shared" si="1"/>
        <v>100</v>
      </c>
      <c r="V8" s="700" t="s">
        <v>14</v>
      </c>
      <c r="W8" s="701">
        <f t="shared" si="2"/>
        <v>100</v>
      </c>
      <c r="X8" s="702"/>
      <c r="Y8" s="3700" t="s">
        <v>1683</v>
      </c>
      <c r="Z8" s="3701"/>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32" t="s">
        <v>1686</v>
      </c>
      <c r="Q9" s="1342" t="str">
        <f t="shared" ref="Q9:Q14" si="6">B9</f>
        <v>用途</v>
      </c>
      <c r="R9" s="700" t="s">
        <v>14</v>
      </c>
      <c r="S9" s="701">
        <f t="shared" si="0"/>
        <v>100</v>
      </c>
      <c r="T9" s="700" t="s">
        <v>14</v>
      </c>
      <c r="U9" s="701">
        <f t="shared" si="1"/>
        <v>100</v>
      </c>
      <c r="V9" s="700" t="s">
        <v>14</v>
      </c>
      <c r="W9" s="701">
        <f t="shared" si="2"/>
        <v>100</v>
      </c>
      <c r="X9" s="702"/>
      <c r="Y9" s="3644"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32"/>
      <c r="Q10" s="1342"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32"/>
      <c r="Q11" s="1342">
        <f t="shared" si="6"/>
        <v>111</v>
      </c>
      <c r="R11" s="700" t="s">
        <v>14</v>
      </c>
      <c r="S11" s="701">
        <f t="shared" si="0"/>
        <v>100</v>
      </c>
      <c r="T11" s="700" t="s">
        <v>14</v>
      </c>
      <c r="U11" s="701">
        <f t="shared" si="1"/>
        <v>100</v>
      </c>
      <c r="V11" s="700" t="s">
        <v>14</v>
      </c>
      <c r="W11" s="701">
        <f t="shared" si="2"/>
        <v>100</v>
      </c>
      <c r="X11" s="702"/>
      <c r="Y11" s="3644"/>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32"/>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32"/>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34" t="s">
        <v>1691</v>
      </c>
      <c r="Q14" s="1351" t="str">
        <f t="shared" si="6"/>
        <v>交通便捷度</v>
      </c>
      <c r="R14" s="704" t="s">
        <v>14</v>
      </c>
      <c r="S14" s="705">
        <f t="shared" si="0"/>
        <v>100</v>
      </c>
      <c r="T14" s="704" t="s">
        <v>14</v>
      </c>
      <c r="U14" s="705">
        <f t="shared" si="1"/>
        <v>100</v>
      </c>
      <c r="V14" s="704" t="s">
        <v>14</v>
      </c>
      <c r="W14" s="705">
        <f t="shared" si="2"/>
        <v>100</v>
      </c>
      <c r="X14" s="1354"/>
      <c r="Y14" s="3734"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35"/>
      <c r="Q15" s="1351"/>
      <c r="R15" s="704"/>
      <c r="S15" s="705"/>
      <c r="T15" s="704"/>
      <c r="U15" s="705"/>
      <c r="V15" s="704"/>
      <c r="W15" s="705"/>
      <c r="X15" s="1354"/>
      <c r="Y15" s="3735"/>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35"/>
      <c r="Q16" s="1351" t="str">
        <f>B16</f>
        <v>公共配套设施</v>
      </c>
      <c r="R16" s="704" t="s">
        <v>14</v>
      </c>
      <c r="S16" s="705">
        <f>F16</f>
        <v>100</v>
      </c>
      <c r="T16" s="704" t="s">
        <v>14</v>
      </c>
      <c r="U16" s="705">
        <f>H16</f>
        <v>100</v>
      </c>
      <c r="V16" s="704" t="s">
        <v>14</v>
      </c>
      <c r="W16" s="705">
        <f>J16</f>
        <v>100</v>
      </c>
      <c r="X16" s="1354"/>
      <c r="Y16" s="3735"/>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35"/>
      <c r="Q17" s="1351"/>
      <c r="R17" s="704"/>
      <c r="S17" s="705"/>
      <c r="T17" s="704"/>
      <c r="U17" s="705"/>
      <c r="V17" s="704"/>
      <c r="W17" s="705"/>
      <c r="X17" s="1354"/>
      <c r="Y17" s="3735"/>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35"/>
      <c r="Q18" s="1351" t="str">
        <f>B18</f>
        <v>基础设施水平</v>
      </c>
      <c r="R18" s="704" t="s">
        <v>14</v>
      </c>
      <c r="S18" s="705">
        <f>F18</f>
        <v>100</v>
      </c>
      <c r="T18" s="704" t="s">
        <v>14</v>
      </c>
      <c r="U18" s="705">
        <f>H18</f>
        <v>100</v>
      </c>
      <c r="V18" s="704" t="s">
        <v>14</v>
      </c>
      <c r="W18" s="705">
        <f>J18</f>
        <v>100</v>
      </c>
      <c r="X18" s="1354"/>
      <c r="Y18" s="3735"/>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35"/>
      <c r="Q19" s="1351"/>
      <c r="R19" s="704"/>
      <c r="S19" s="705"/>
      <c r="T19" s="704"/>
      <c r="U19" s="705"/>
      <c r="V19" s="704"/>
      <c r="W19" s="705"/>
      <c r="X19" s="1354"/>
      <c r="Y19" s="3735"/>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35"/>
      <c r="Q20" s="1351" t="str">
        <f>B20</f>
        <v>自然及人文环境</v>
      </c>
      <c r="R20" s="704" t="s">
        <v>14</v>
      </c>
      <c r="S20" s="705">
        <f>F20</f>
        <v>100</v>
      </c>
      <c r="T20" s="704" t="s">
        <v>14</v>
      </c>
      <c r="U20" s="705">
        <f>H20</f>
        <v>100</v>
      </c>
      <c r="V20" s="704" t="s">
        <v>14</v>
      </c>
      <c r="W20" s="705">
        <f>J20</f>
        <v>100</v>
      </c>
      <c r="X20" s="1354"/>
      <c r="Y20" s="3735"/>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35"/>
      <c r="Q21" s="1351"/>
      <c r="R21" s="704"/>
      <c r="S21" s="705"/>
      <c r="T21" s="704"/>
      <c r="U21" s="705"/>
      <c r="V21" s="704"/>
      <c r="W21" s="705"/>
      <c r="X21" s="1354"/>
      <c r="Y21" s="3735"/>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35"/>
      <c r="Q22" s="1351" t="str">
        <f>B22</f>
        <v>楼层</v>
      </c>
      <c r="R22" s="704" t="s">
        <v>14</v>
      </c>
      <c r="S22" s="705">
        <f>F22</f>
        <v>100</v>
      </c>
      <c r="T22" s="704" t="s">
        <v>14</v>
      </c>
      <c r="U22" s="705">
        <f>H22</f>
        <v>100</v>
      </c>
      <c r="V22" s="704" t="s">
        <v>14</v>
      </c>
      <c r="W22" s="705">
        <f>J22</f>
        <v>100</v>
      </c>
      <c r="X22" s="1354"/>
      <c r="Y22" s="3735"/>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35"/>
      <c r="Q23" s="1351">
        <f>B23</f>
        <v>111</v>
      </c>
      <c r="R23" s="704" t="s">
        <v>14</v>
      </c>
      <c r="S23" s="705">
        <f>F23</f>
        <v>100</v>
      </c>
      <c r="T23" s="704" t="s">
        <v>14</v>
      </c>
      <c r="U23" s="705">
        <f>H23</f>
        <v>100</v>
      </c>
      <c r="V23" s="704" t="s">
        <v>14</v>
      </c>
      <c r="W23" s="705">
        <f>J23</f>
        <v>100</v>
      </c>
      <c r="X23" s="1354"/>
      <c r="Y23" s="3735"/>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35"/>
      <c r="Q24" s="1351">
        <f t="shared" ref="Q24:Q36" si="11">B24</f>
        <v>111</v>
      </c>
      <c r="R24" s="704" t="s">
        <v>14</v>
      </c>
      <c r="S24" s="705">
        <f>F24</f>
        <v>100</v>
      </c>
      <c r="T24" s="704" t="s">
        <v>14</v>
      </c>
      <c r="U24" s="705">
        <f>H24</f>
        <v>100</v>
      </c>
      <c r="V24" s="704" t="s">
        <v>14</v>
      </c>
      <c r="W24" s="705">
        <f>J24</f>
        <v>100</v>
      </c>
      <c r="X24" s="1354"/>
      <c r="Y24" s="3735"/>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35"/>
      <c r="Q25" s="1342">
        <f t="shared" si="11"/>
        <v>111</v>
      </c>
      <c r="R25" s="700" t="s">
        <v>14</v>
      </c>
      <c r="S25" s="701">
        <f>F25</f>
        <v>100</v>
      </c>
      <c r="T25" s="700" t="s">
        <v>14</v>
      </c>
      <c r="U25" s="701">
        <f>H25</f>
        <v>100</v>
      </c>
      <c r="V25" s="700" t="s">
        <v>14</v>
      </c>
      <c r="W25" s="701">
        <f>J25</f>
        <v>100</v>
      </c>
      <c r="X25" s="702"/>
      <c r="Y25" s="3735"/>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58"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9"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39"/>
      <c r="Q27" s="706" t="str">
        <f t="shared" si="11"/>
        <v>项目停车位配比</v>
      </c>
      <c r="R27" s="707" t="s">
        <v>14</v>
      </c>
      <c r="S27" s="708">
        <f t="shared" si="12"/>
        <v>100</v>
      </c>
      <c r="T27" s="707" t="s">
        <v>14</v>
      </c>
      <c r="U27" s="708">
        <f t="shared" si="13"/>
        <v>100</v>
      </c>
      <c r="V27" s="707" t="s">
        <v>14</v>
      </c>
      <c r="W27" s="708">
        <f t="shared" si="14"/>
        <v>100</v>
      </c>
      <c r="X27" s="709"/>
      <c r="Y27" s="3739"/>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39"/>
      <c r="Q28" s="1351" t="str">
        <f t="shared" si="11"/>
        <v>公共部分装修</v>
      </c>
      <c r="R28" s="704" t="s">
        <v>14</v>
      </c>
      <c r="S28" s="705">
        <f t="shared" si="12"/>
        <v>100</v>
      </c>
      <c r="T28" s="704" t="s">
        <v>14</v>
      </c>
      <c r="U28" s="705">
        <f t="shared" si="13"/>
        <v>100</v>
      </c>
      <c r="V28" s="704" t="s">
        <v>14</v>
      </c>
      <c r="W28" s="705">
        <f t="shared" si="14"/>
        <v>100</v>
      </c>
      <c r="X28" s="1354"/>
      <c r="Y28" s="3739"/>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39"/>
      <c r="Q29" s="1351" t="str">
        <f t="shared" si="11"/>
        <v>成新率</v>
      </c>
      <c r="R29" s="704" t="s">
        <v>14</v>
      </c>
      <c r="S29" s="705" t="e">
        <f t="shared" si="12"/>
        <v>#N/A</v>
      </c>
      <c r="T29" s="704" t="s">
        <v>14</v>
      </c>
      <c r="U29" s="705" t="e">
        <f t="shared" si="13"/>
        <v>#N/A</v>
      </c>
      <c r="V29" s="704" t="s">
        <v>14</v>
      </c>
      <c r="W29" s="705" t="e">
        <f t="shared" si="14"/>
        <v>#N/A</v>
      </c>
      <c r="X29" s="1354"/>
      <c r="Y29" s="3739"/>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39"/>
      <c r="Q30" s="1351" t="str">
        <f t="shared" si="11"/>
        <v>物业等级</v>
      </c>
      <c r="R30" s="704" t="s">
        <v>14</v>
      </c>
      <c r="S30" s="705">
        <f t="shared" si="12"/>
        <v>100</v>
      </c>
      <c r="T30" s="704" t="s">
        <v>14</v>
      </c>
      <c r="U30" s="705">
        <f t="shared" si="13"/>
        <v>100</v>
      </c>
      <c r="V30" s="704" t="s">
        <v>14</v>
      </c>
      <c r="W30" s="705">
        <f t="shared" si="14"/>
        <v>100</v>
      </c>
      <c r="X30" s="1354"/>
      <c r="Y30" s="3739"/>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39"/>
      <c r="Q31" s="1342" t="str">
        <f t="shared" si="11"/>
        <v>停车位面积</v>
      </c>
      <c r="R31" s="700" t="s">
        <v>14</v>
      </c>
      <c r="S31" s="701" t="e">
        <f t="shared" si="12"/>
        <v>#N/A</v>
      </c>
      <c r="T31" s="700" t="s">
        <v>14</v>
      </c>
      <c r="U31" s="701" t="e">
        <f t="shared" si="13"/>
        <v>#N/A</v>
      </c>
      <c r="V31" s="700" t="s">
        <v>14</v>
      </c>
      <c r="W31" s="701" t="e">
        <f t="shared" si="14"/>
        <v>#N/A</v>
      </c>
      <c r="X31" s="702"/>
      <c r="Y31" s="3739"/>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39" t="s">
        <v>1696</v>
      </c>
      <c r="Q32" s="1351" t="str">
        <f t="shared" si="11"/>
        <v>车位类型</v>
      </c>
      <c r="R32" s="704" t="s">
        <v>14</v>
      </c>
      <c r="S32" s="705">
        <f t="shared" si="12"/>
        <v>100</v>
      </c>
      <c r="T32" s="704" t="s">
        <v>14</v>
      </c>
      <c r="U32" s="705">
        <f t="shared" si="13"/>
        <v>100</v>
      </c>
      <c r="V32" s="704" t="s">
        <v>14</v>
      </c>
      <c r="W32" s="705">
        <f t="shared" si="14"/>
        <v>100</v>
      </c>
      <c r="X32" s="1354"/>
      <c r="Y32" s="3739"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39"/>
      <c r="Q33" s="1351" t="str">
        <f t="shared" si="11"/>
        <v>是否直接入户</v>
      </c>
      <c r="R33" s="704" t="s">
        <v>14</v>
      </c>
      <c r="S33" s="705">
        <f t="shared" si="12"/>
        <v>100</v>
      </c>
      <c r="T33" s="704" t="s">
        <v>14</v>
      </c>
      <c r="U33" s="705">
        <f t="shared" si="13"/>
        <v>100</v>
      </c>
      <c r="V33" s="704" t="s">
        <v>14</v>
      </c>
      <c r="W33" s="705">
        <f t="shared" si="14"/>
        <v>100</v>
      </c>
      <c r="X33" s="1354"/>
      <c r="Y33" s="3739"/>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39"/>
      <c r="Q34" s="1351">
        <f t="shared" si="11"/>
        <v>111</v>
      </c>
      <c r="R34" s="704" t="s">
        <v>14</v>
      </c>
      <c r="S34" s="705">
        <f t="shared" si="12"/>
        <v>100</v>
      </c>
      <c r="T34" s="704" t="s">
        <v>14</v>
      </c>
      <c r="U34" s="705">
        <f t="shared" si="13"/>
        <v>100</v>
      </c>
      <c r="V34" s="704" t="s">
        <v>14</v>
      </c>
      <c r="W34" s="705">
        <f t="shared" si="14"/>
        <v>100</v>
      </c>
      <c r="X34" s="1354"/>
      <c r="Y34" s="3739"/>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39"/>
      <c r="Q35" s="706">
        <f t="shared" si="11"/>
        <v>111</v>
      </c>
      <c r="R35" s="707" t="s">
        <v>14</v>
      </c>
      <c r="S35" s="708">
        <f t="shared" si="12"/>
        <v>100</v>
      </c>
      <c r="T35" s="707" t="s">
        <v>14</v>
      </c>
      <c r="U35" s="708">
        <f t="shared" si="13"/>
        <v>100</v>
      </c>
      <c r="V35" s="707" t="s">
        <v>14</v>
      </c>
      <c r="W35" s="708">
        <f t="shared" si="14"/>
        <v>100</v>
      </c>
      <c r="X35" s="709"/>
      <c r="Y35" s="3739"/>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39"/>
      <c r="Q36" s="1351">
        <f t="shared" si="11"/>
        <v>111</v>
      </c>
      <c r="R36" s="704" t="s">
        <v>14</v>
      </c>
      <c r="S36" s="705">
        <f t="shared" si="12"/>
        <v>100</v>
      </c>
      <c r="T36" s="704" t="s">
        <v>14</v>
      </c>
      <c r="U36" s="705">
        <f t="shared" si="13"/>
        <v>100</v>
      </c>
      <c r="V36" s="704" t="s">
        <v>14</v>
      </c>
      <c r="W36" s="705">
        <f t="shared" si="14"/>
        <v>100</v>
      </c>
      <c r="X36" s="1354"/>
      <c r="Y36" s="3739"/>
      <c r="Z36" s="1355">
        <f t="shared" si="15"/>
        <v>111</v>
      </c>
      <c r="AA36" s="1352">
        <f t="shared" si="3"/>
        <v>1</v>
      </c>
      <c r="AB36" s="1352">
        <f t="shared" si="4"/>
        <v>1</v>
      </c>
      <c r="AC36" s="1352">
        <f t="shared" si="5"/>
        <v>1</v>
      </c>
    </row>
    <row r="37" spans="1:29" ht="15">
      <c r="A37" s="429" t="s">
        <v>1844</v>
      </c>
      <c r="B37" s="1972" t="s">
        <v>3354</v>
      </c>
      <c r="C37" s="1153" t="s">
        <v>0</v>
      </c>
      <c r="D37" s="1154"/>
      <c r="E37" s="1155"/>
      <c r="F37" s="1156"/>
      <c r="G37" s="1157"/>
      <c r="H37" s="1158"/>
      <c r="I37" s="1155"/>
      <c r="J37" s="1158"/>
      <c r="K37" s="567"/>
      <c r="L37" s="2723"/>
      <c r="M37" s="2724"/>
      <c r="N37" s="2715"/>
      <c r="O37" s="2724"/>
      <c r="P37" s="3732" t="str">
        <f>A37</f>
        <v>成交单价</v>
      </c>
      <c r="Q37" s="3732"/>
      <c r="R37" s="3733">
        <f>E37</f>
        <v>0</v>
      </c>
      <c r="S37" s="3733"/>
      <c r="T37" s="3733">
        <f>G37</f>
        <v>0</v>
      </c>
      <c r="U37" s="3733"/>
      <c r="V37" s="3733">
        <f>I37</f>
        <v>0</v>
      </c>
      <c r="W37" s="3733"/>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32" t="str">
        <f>A38</f>
        <v>比较价值（元/平方米）</v>
      </c>
      <c r="Q38" s="3732"/>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729" t="str">
        <f>A39</f>
        <v>估价对象XX用房的比较价值（楼面单价，元/平方米）</v>
      </c>
      <c r="Q39" s="3730"/>
      <c r="R39" s="3759" t="e">
        <f>IF(F1="售价",ROUND(IF(D38="简单平均",AVERAGE(R38:W38),R38*F38+T38*H38+V38*J38),0),ROUND(IF(D38="简单平均",AVERAGE(R38:V38),R38*F38+T38*H38+V38*J38),1))</f>
        <v>#DIV/0!</v>
      </c>
      <c r="S39" s="3759"/>
      <c r="T39" s="3759"/>
      <c r="U39" s="3759"/>
      <c r="V39" s="3759"/>
      <c r="W39" s="375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2025-4</v>
      </c>
      <c r="D48" s="1184">
        <f>EDATE(C48,-1)</f>
        <v>45717</v>
      </c>
      <c r="E48" s="1184">
        <f t="shared" ref="E48:O48" si="16">EDATE(D48,-1)</f>
        <v>45689</v>
      </c>
      <c r="F48" s="1184">
        <f t="shared" si="16"/>
        <v>45658</v>
      </c>
      <c r="G48" s="1184">
        <f t="shared" si="16"/>
        <v>45627</v>
      </c>
      <c r="H48" s="1184">
        <f t="shared" si="16"/>
        <v>45597</v>
      </c>
      <c r="I48" s="1184">
        <f t="shared" si="16"/>
        <v>45566</v>
      </c>
      <c r="J48" s="1184">
        <f t="shared" si="16"/>
        <v>45536</v>
      </c>
      <c r="K48" s="1184">
        <f t="shared" si="16"/>
        <v>45505</v>
      </c>
      <c r="L48" s="1184">
        <f t="shared" si="16"/>
        <v>45474</v>
      </c>
      <c r="M48" s="1184">
        <f t="shared" si="16"/>
        <v>45444</v>
      </c>
      <c r="N48" s="1184">
        <f t="shared" si="16"/>
        <v>45413</v>
      </c>
      <c r="O48" s="1184">
        <f t="shared" si="16"/>
        <v>45383</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5" t="s">
        <v>1770</v>
      </c>
      <c r="D4" s="3716"/>
      <c r="E4" s="3717" t="s">
        <v>1771</v>
      </c>
      <c r="F4" s="3718"/>
      <c r="G4" s="3715" t="s">
        <v>1772</v>
      </c>
      <c r="H4" s="3716"/>
      <c r="I4" s="3715" t="s">
        <v>1773</v>
      </c>
      <c r="J4" s="3716"/>
      <c r="K4" s="558" t="s">
        <v>1774</v>
      </c>
      <c r="L4" s="2714"/>
      <c r="M4" s="2715"/>
      <c r="N4" s="2715"/>
      <c r="O4" s="2715"/>
      <c r="P4" s="3719" t="s">
        <v>1775</v>
      </c>
      <c r="Q4" s="3720"/>
      <c r="R4" s="3702" t="s">
        <v>1771</v>
      </c>
      <c r="S4" s="3703"/>
      <c r="T4" s="3702" t="s">
        <v>1772</v>
      </c>
      <c r="U4" s="3703"/>
      <c r="V4" s="3727" t="s">
        <v>1773</v>
      </c>
      <c r="W4" s="3727"/>
      <c r="X4" s="1354"/>
      <c r="Y4" s="3702" t="s">
        <v>1775</v>
      </c>
      <c r="Z4" s="3703"/>
      <c r="AA4" s="3697" t="s">
        <v>1771</v>
      </c>
      <c r="AB4" s="3698" t="s">
        <v>1772</v>
      </c>
      <c r="AC4" s="3697" t="s">
        <v>1773</v>
      </c>
    </row>
    <row r="5" spans="1:29" ht="15">
      <c r="A5" s="357"/>
      <c r="B5" s="358"/>
      <c r="C5" s="3708" t="s">
        <v>1673</v>
      </c>
      <c r="D5" s="3709"/>
      <c r="E5" s="3706" t="s">
        <v>1674</v>
      </c>
      <c r="F5" s="3707"/>
      <c r="G5" s="3708" t="s">
        <v>1675</v>
      </c>
      <c r="H5" s="3709"/>
      <c r="I5" s="3708" t="s">
        <v>1676</v>
      </c>
      <c r="J5" s="3709"/>
      <c r="K5" s="558"/>
      <c r="L5" s="2714"/>
      <c r="M5" s="2715"/>
      <c r="N5" s="2715"/>
      <c r="O5" s="2715"/>
      <c r="P5" s="3721"/>
      <c r="Q5" s="3722"/>
      <c r="R5" s="3704"/>
      <c r="S5" s="3705"/>
      <c r="T5" s="3704"/>
      <c r="U5" s="3705"/>
      <c r="V5" s="3727"/>
      <c r="W5" s="3727"/>
      <c r="X5" s="1354"/>
      <c r="Y5" s="3704"/>
      <c r="Z5" s="3705"/>
      <c r="AA5" s="3698"/>
      <c r="AB5" s="3698"/>
      <c r="AC5" s="3698"/>
    </row>
    <row r="6" spans="1:29" ht="15.75" thickBot="1">
      <c r="A6" s="359"/>
      <c r="B6" s="360"/>
      <c r="C6" s="3710" t="s">
        <v>1677</v>
      </c>
      <c r="D6" s="3711"/>
      <c r="E6" s="3712" t="s">
        <v>1677</v>
      </c>
      <c r="F6" s="3713"/>
      <c r="G6" s="3710" t="s">
        <v>1677</v>
      </c>
      <c r="H6" s="3711"/>
      <c r="I6" s="3710" t="s">
        <v>1677</v>
      </c>
      <c r="J6" s="3711"/>
      <c r="K6" s="558" t="s">
        <v>1678</v>
      </c>
      <c r="L6" s="2714"/>
      <c r="M6" s="2715"/>
      <c r="N6" s="2715"/>
      <c r="O6" s="2715"/>
      <c r="P6" s="3723"/>
      <c r="Q6" s="3724"/>
      <c r="R6" s="3704"/>
      <c r="S6" s="3705"/>
      <c r="T6" s="3725"/>
      <c r="U6" s="3726"/>
      <c r="V6" s="3727"/>
      <c r="W6" s="3727"/>
      <c r="X6" s="1354"/>
      <c r="Y6" s="3725"/>
      <c r="Z6" s="3726"/>
      <c r="AA6" s="3699"/>
      <c r="AB6" s="3699"/>
      <c r="AC6" s="3699"/>
    </row>
    <row r="7" spans="1:29" s="107" customFormat="1" ht="15.75" thickBot="1">
      <c r="A7" s="361" t="s">
        <v>1679</v>
      </c>
      <c r="B7" s="362"/>
      <c r="C7" s="363">
        <f>'数据-取费表'!B2</f>
        <v>45754</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00" t="s">
        <v>1680</v>
      </c>
      <c r="Q7" s="3728"/>
      <c r="R7" s="700" t="s">
        <v>14</v>
      </c>
      <c r="S7" s="701">
        <f t="shared" ref="S7:S14" si="0">F7</f>
        <v>0</v>
      </c>
      <c r="T7" s="700" t="s">
        <v>14</v>
      </c>
      <c r="U7" s="701">
        <f t="shared" ref="U7:U14" si="1">H7</f>
        <v>0</v>
      </c>
      <c r="V7" s="700" t="s">
        <v>14</v>
      </c>
      <c r="W7" s="701">
        <f t="shared" ref="W7:W14" si="2">J7</f>
        <v>0</v>
      </c>
      <c r="X7" s="702"/>
      <c r="Y7" s="3700" t="s">
        <v>1680</v>
      </c>
      <c r="Z7" s="3701"/>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00" t="s">
        <v>1683</v>
      </c>
      <c r="Q8" s="3701"/>
      <c r="R8" s="700" t="s">
        <v>14</v>
      </c>
      <c r="S8" s="701">
        <f t="shared" si="0"/>
        <v>100</v>
      </c>
      <c r="T8" s="700" t="s">
        <v>14</v>
      </c>
      <c r="U8" s="701">
        <f t="shared" si="1"/>
        <v>100</v>
      </c>
      <c r="V8" s="700" t="s">
        <v>14</v>
      </c>
      <c r="W8" s="701">
        <f t="shared" si="2"/>
        <v>100</v>
      </c>
      <c r="X8" s="702"/>
      <c r="Y8" s="3700" t="s">
        <v>1683</v>
      </c>
      <c r="Z8" s="3701"/>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32" t="s">
        <v>1686</v>
      </c>
      <c r="Q9" s="1342" t="str">
        <f t="shared" ref="Q9:Q14" si="6">B9</f>
        <v>用途</v>
      </c>
      <c r="R9" s="700" t="s">
        <v>14</v>
      </c>
      <c r="S9" s="701">
        <f t="shared" si="0"/>
        <v>100</v>
      </c>
      <c r="T9" s="700" t="s">
        <v>14</v>
      </c>
      <c r="U9" s="701">
        <f t="shared" si="1"/>
        <v>100</v>
      </c>
      <c r="V9" s="700" t="s">
        <v>14</v>
      </c>
      <c r="W9" s="701">
        <f t="shared" si="2"/>
        <v>100</v>
      </c>
      <c r="X9" s="702"/>
      <c r="Y9" s="3644"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32"/>
      <c r="Q10" s="1342"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32"/>
      <c r="Q11" s="1342">
        <f t="shared" si="6"/>
        <v>111</v>
      </c>
      <c r="R11" s="700" t="s">
        <v>14</v>
      </c>
      <c r="S11" s="701">
        <f t="shared" si="0"/>
        <v>100</v>
      </c>
      <c r="T11" s="700" t="s">
        <v>14</v>
      </c>
      <c r="U11" s="701">
        <f t="shared" si="1"/>
        <v>100</v>
      </c>
      <c r="V11" s="700" t="s">
        <v>14</v>
      </c>
      <c r="W11" s="701">
        <f t="shared" si="2"/>
        <v>100</v>
      </c>
      <c r="X11" s="702"/>
      <c r="Y11" s="3644"/>
      <c r="Z11" s="52">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32"/>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32"/>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34" t="s">
        <v>1691</v>
      </c>
      <c r="Q14" s="1351" t="str">
        <f t="shared" si="6"/>
        <v>交通便捷度</v>
      </c>
      <c r="R14" s="704" t="s">
        <v>14</v>
      </c>
      <c r="S14" s="705">
        <f t="shared" si="0"/>
        <v>100</v>
      </c>
      <c r="T14" s="704" t="s">
        <v>14</v>
      </c>
      <c r="U14" s="705">
        <f t="shared" si="1"/>
        <v>100</v>
      </c>
      <c r="V14" s="704" t="s">
        <v>14</v>
      </c>
      <c r="W14" s="705">
        <f t="shared" si="2"/>
        <v>100</v>
      </c>
      <c r="X14" s="1354"/>
      <c r="Y14" s="3734"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35"/>
      <c r="Q15" s="1351"/>
      <c r="R15" s="704"/>
      <c r="S15" s="705"/>
      <c r="T15" s="704"/>
      <c r="U15" s="705"/>
      <c r="V15" s="704"/>
      <c r="W15" s="705"/>
      <c r="X15" s="1354"/>
      <c r="Y15" s="3735"/>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35"/>
      <c r="Q16" s="1351" t="str">
        <f>B16</f>
        <v>公共配套设施</v>
      </c>
      <c r="R16" s="704" t="s">
        <v>14</v>
      </c>
      <c r="S16" s="705">
        <f>F16</f>
        <v>100</v>
      </c>
      <c r="T16" s="704" t="s">
        <v>14</v>
      </c>
      <c r="U16" s="705">
        <f>H16</f>
        <v>100</v>
      </c>
      <c r="V16" s="704" t="s">
        <v>14</v>
      </c>
      <c r="W16" s="705">
        <f>J16</f>
        <v>100</v>
      </c>
      <c r="X16" s="1354"/>
      <c r="Y16" s="3735"/>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35"/>
      <c r="Q17" s="1351"/>
      <c r="R17" s="704"/>
      <c r="S17" s="705"/>
      <c r="T17" s="704"/>
      <c r="U17" s="705"/>
      <c r="V17" s="704"/>
      <c r="W17" s="705"/>
      <c r="X17" s="1354"/>
      <c r="Y17" s="3735"/>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35"/>
      <c r="Q18" s="1351" t="str">
        <f>B18</f>
        <v>基础设施水平</v>
      </c>
      <c r="R18" s="704" t="s">
        <v>14</v>
      </c>
      <c r="S18" s="705">
        <f>F18</f>
        <v>100</v>
      </c>
      <c r="T18" s="704" t="s">
        <v>14</v>
      </c>
      <c r="U18" s="705">
        <f>H18</f>
        <v>100</v>
      </c>
      <c r="V18" s="704" t="s">
        <v>14</v>
      </c>
      <c r="W18" s="705">
        <f>J18</f>
        <v>100</v>
      </c>
      <c r="X18" s="1354"/>
      <c r="Y18" s="3735"/>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35"/>
      <c r="Q19" s="1351"/>
      <c r="R19" s="704"/>
      <c r="S19" s="705"/>
      <c r="T19" s="704"/>
      <c r="U19" s="705"/>
      <c r="V19" s="704"/>
      <c r="W19" s="705"/>
      <c r="X19" s="1354"/>
      <c r="Y19" s="3735"/>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35"/>
      <c r="Q20" s="1351" t="str">
        <f>B20</f>
        <v>自然及人文环境</v>
      </c>
      <c r="R20" s="704" t="s">
        <v>14</v>
      </c>
      <c r="S20" s="705">
        <f>F20</f>
        <v>100</v>
      </c>
      <c r="T20" s="704" t="s">
        <v>14</v>
      </c>
      <c r="U20" s="705">
        <f>H20</f>
        <v>100</v>
      </c>
      <c r="V20" s="704" t="s">
        <v>14</v>
      </c>
      <c r="W20" s="705">
        <f>J20</f>
        <v>100</v>
      </c>
      <c r="X20" s="1354"/>
      <c r="Y20" s="3735"/>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35"/>
      <c r="Q21" s="1351"/>
      <c r="R21" s="704"/>
      <c r="S21" s="705"/>
      <c r="T21" s="704"/>
      <c r="U21" s="705"/>
      <c r="V21" s="704"/>
      <c r="W21" s="705"/>
      <c r="X21" s="1354"/>
      <c r="Y21" s="3735"/>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35"/>
      <c r="Q22" s="1351" t="str">
        <f>B22</f>
        <v>楼层</v>
      </c>
      <c r="R22" s="704" t="s">
        <v>14</v>
      </c>
      <c r="S22" s="705">
        <f>F22</f>
        <v>100</v>
      </c>
      <c r="T22" s="704" t="s">
        <v>14</v>
      </c>
      <c r="U22" s="705">
        <f>H22</f>
        <v>100</v>
      </c>
      <c r="V22" s="704" t="s">
        <v>14</v>
      </c>
      <c r="W22" s="705">
        <f>J22</f>
        <v>100</v>
      </c>
      <c r="X22" s="1354"/>
      <c r="Y22" s="3735"/>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35"/>
      <c r="Q23" s="1351">
        <f>B23</f>
        <v>111</v>
      </c>
      <c r="R23" s="704" t="s">
        <v>14</v>
      </c>
      <c r="S23" s="705">
        <f>F23</f>
        <v>100</v>
      </c>
      <c r="T23" s="704" t="s">
        <v>14</v>
      </c>
      <c r="U23" s="705">
        <f>H23</f>
        <v>100</v>
      </c>
      <c r="V23" s="704" t="s">
        <v>14</v>
      </c>
      <c r="W23" s="705">
        <f>J23</f>
        <v>100</v>
      </c>
      <c r="X23" s="1354"/>
      <c r="Y23" s="3735"/>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35"/>
      <c r="Q24" s="1351">
        <f t="shared" ref="Q24:Q34" si="11">B24</f>
        <v>111</v>
      </c>
      <c r="R24" s="704" t="s">
        <v>14</v>
      </c>
      <c r="S24" s="705">
        <f>F24</f>
        <v>100</v>
      </c>
      <c r="T24" s="704" t="s">
        <v>14</v>
      </c>
      <c r="U24" s="705">
        <f>H24</f>
        <v>100</v>
      </c>
      <c r="V24" s="704" t="s">
        <v>14</v>
      </c>
      <c r="W24" s="705">
        <f>J24</f>
        <v>100</v>
      </c>
      <c r="X24" s="1354"/>
      <c r="Y24" s="3735"/>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35"/>
      <c r="Q25" s="1342">
        <f t="shared" si="11"/>
        <v>111</v>
      </c>
      <c r="R25" s="700" t="s">
        <v>14</v>
      </c>
      <c r="S25" s="701">
        <f>F25</f>
        <v>100</v>
      </c>
      <c r="T25" s="700" t="s">
        <v>14</v>
      </c>
      <c r="U25" s="701">
        <f>H25</f>
        <v>100</v>
      </c>
      <c r="V25" s="700" t="s">
        <v>14</v>
      </c>
      <c r="W25" s="701">
        <f>J25</f>
        <v>100</v>
      </c>
      <c r="X25" s="702"/>
      <c r="Y25" s="3735"/>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58"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9"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39"/>
      <c r="Q27" s="706" t="str">
        <f t="shared" si="11"/>
        <v>成新率</v>
      </c>
      <c r="R27" s="707" t="s">
        <v>14</v>
      </c>
      <c r="S27" s="708" t="e">
        <f t="shared" si="12"/>
        <v>#N/A</v>
      </c>
      <c r="T27" s="707" t="s">
        <v>14</v>
      </c>
      <c r="U27" s="708" t="e">
        <f t="shared" si="13"/>
        <v>#N/A</v>
      </c>
      <c r="V27" s="707" t="s">
        <v>14</v>
      </c>
      <c r="W27" s="708" t="e">
        <f t="shared" si="14"/>
        <v>#N/A</v>
      </c>
      <c r="X27" s="709"/>
      <c r="Y27" s="3739"/>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39"/>
      <c r="Q28" s="1351" t="str">
        <f t="shared" si="11"/>
        <v>物业等级</v>
      </c>
      <c r="R28" s="704" t="s">
        <v>14</v>
      </c>
      <c r="S28" s="705">
        <f t="shared" si="12"/>
        <v>100</v>
      </c>
      <c r="T28" s="704" t="s">
        <v>14</v>
      </c>
      <c r="U28" s="705">
        <f t="shared" si="13"/>
        <v>100</v>
      </c>
      <c r="V28" s="704" t="s">
        <v>14</v>
      </c>
      <c r="W28" s="705">
        <f t="shared" si="14"/>
        <v>100</v>
      </c>
      <c r="X28" s="1354"/>
      <c r="Y28" s="3739"/>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39"/>
      <c r="Q29" s="1351" t="str">
        <f t="shared" si="11"/>
        <v>有无电梯</v>
      </c>
      <c r="R29" s="704" t="s">
        <v>14</v>
      </c>
      <c r="S29" s="705">
        <f t="shared" si="12"/>
        <v>100</v>
      </c>
      <c r="T29" s="704" t="s">
        <v>14</v>
      </c>
      <c r="U29" s="705">
        <f t="shared" si="13"/>
        <v>100</v>
      </c>
      <c r="V29" s="704" t="s">
        <v>14</v>
      </c>
      <c r="W29" s="705">
        <f t="shared" si="14"/>
        <v>100</v>
      </c>
      <c r="X29" s="1354"/>
      <c r="Y29" s="3739"/>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39"/>
      <c r="Q30" s="1351" t="str">
        <f t="shared" si="11"/>
        <v>建筑面积</v>
      </c>
      <c r="R30" s="704" t="s">
        <v>14</v>
      </c>
      <c r="S30" s="705" t="e">
        <f t="shared" si="12"/>
        <v>#N/A</v>
      </c>
      <c r="T30" s="704" t="s">
        <v>14</v>
      </c>
      <c r="U30" s="705" t="e">
        <f t="shared" si="13"/>
        <v>#N/A</v>
      </c>
      <c r="V30" s="704" t="s">
        <v>14</v>
      </c>
      <c r="W30" s="705" t="e">
        <f t="shared" si="14"/>
        <v>#N/A</v>
      </c>
      <c r="X30" s="1354"/>
      <c r="Y30" s="3739"/>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39"/>
      <c r="Q31" s="1342" t="str">
        <f t="shared" si="11"/>
        <v>是否封闭</v>
      </c>
      <c r="R31" s="700" t="s">
        <v>14</v>
      </c>
      <c r="S31" s="701">
        <f t="shared" si="12"/>
        <v>100</v>
      </c>
      <c r="T31" s="700" t="s">
        <v>14</v>
      </c>
      <c r="U31" s="701">
        <f t="shared" si="13"/>
        <v>100</v>
      </c>
      <c r="V31" s="700" t="s">
        <v>14</v>
      </c>
      <c r="W31" s="701">
        <f t="shared" si="14"/>
        <v>100</v>
      </c>
      <c r="X31" s="702"/>
      <c r="Y31" s="3739"/>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39" t="s">
        <v>1696</v>
      </c>
      <c r="Q32" s="1351">
        <f t="shared" si="11"/>
        <v>111</v>
      </c>
      <c r="R32" s="704" t="s">
        <v>14</v>
      </c>
      <c r="S32" s="705">
        <f t="shared" si="12"/>
        <v>100</v>
      </c>
      <c r="T32" s="704" t="s">
        <v>14</v>
      </c>
      <c r="U32" s="705">
        <f t="shared" si="13"/>
        <v>100</v>
      </c>
      <c r="V32" s="704" t="s">
        <v>14</v>
      </c>
      <c r="W32" s="705">
        <f t="shared" si="14"/>
        <v>100</v>
      </c>
      <c r="X32" s="1354"/>
      <c r="Y32" s="3739"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39"/>
      <c r="Q33" s="1351">
        <f t="shared" si="11"/>
        <v>111</v>
      </c>
      <c r="R33" s="704" t="s">
        <v>14</v>
      </c>
      <c r="S33" s="705">
        <f t="shared" si="12"/>
        <v>100</v>
      </c>
      <c r="T33" s="704" t="s">
        <v>14</v>
      </c>
      <c r="U33" s="705">
        <f t="shared" si="13"/>
        <v>100</v>
      </c>
      <c r="V33" s="704" t="s">
        <v>14</v>
      </c>
      <c r="W33" s="705">
        <f t="shared" si="14"/>
        <v>100</v>
      </c>
      <c r="X33" s="1354"/>
      <c r="Y33" s="3739"/>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39"/>
      <c r="Q34" s="1351">
        <f t="shared" si="11"/>
        <v>111</v>
      </c>
      <c r="R34" s="704" t="s">
        <v>14</v>
      </c>
      <c r="S34" s="705">
        <f t="shared" si="12"/>
        <v>100</v>
      </c>
      <c r="T34" s="704" t="s">
        <v>14</v>
      </c>
      <c r="U34" s="705">
        <f t="shared" si="13"/>
        <v>100</v>
      </c>
      <c r="V34" s="704" t="s">
        <v>14</v>
      </c>
      <c r="W34" s="705">
        <f t="shared" si="14"/>
        <v>100</v>
      </c>
      <c r="X34" s="1354"/>
      <c r="Y34" s="3739"/>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32" t="str">
        <f>A35</f>
        <v>成交单价（元/平方米）</v>
      </c>
      <c r="Q35" s="3732"/>
      <c r="R35" s="3733">
        <f>E35</f>
        <v>0</v>
      </c>
      <c r="S35" s="3733"/>
      <c r="T35" s="3733">
        <f>G35</f>
        <v>0</v>
      </c>
      <c r="U35" s="3733"/>
      <c r="V35" s="3733">
        <f>I35</f>
        <v>0</v>
      </c>
      <c r="W35" s="3733"/>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32" t="str">
        <f>A36</f>
        <v>比较价值（元/平方米）</v>
      </c>
      <c r="Q36" s="3732"/>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729" t="str">
        <f>A37</f>
        <v>估价对象XX用房的比较价值（楼面单价，元/平方米）</v>
      </c>
      <c r="Q37" s="3730"/>
      <c r="R37" s="3759" t="e">
        <f>IF(F1="售价",ROUND(IF(D36="简单平均",AVERAGE(R36:W36),R36*F36+T36*H36+V36*J36),0),ROUND(IF(D36="简单平均",AVERAGE(R36:V36),R36*F36+T36*H36+V36*J36),1))</f>
        <v>#DIV/0!</v>
      </c>
      <c r="S37" s="3759"/>
      <c r="T37" s="3759"/>
      <c r="U37" s="3759"/>
      <c r="V37" s="3759"/>
      <c r="W37" s="375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2025-4</v>
      </c>
      <c r="D46" s="1184">
        <f>EDATE(C46,-1)</f>
        <v>45717</v>
      </c>
      <c r="E46" s="1184">
        <f t="shared" ref="E46:O46" si="16">EDATE(D46,-1)</f>
        <v>45689</v>
      </c>
      <c r="F46" s="1184">
        <f t="shared" si="16"/>
        <v>45658</v>
      </c>
      <c r="G46" s="1184">
        <f t="shared" si="16"/>
        <v>45627</v>
      </c>
      <c r="H46" s="1184">
        <f t="shared" si="16"/>
        <v>45597</v>
      </c>
      <c r="I46" s="1184">
        <f t="shared" si="16"/>
        <v>45566</v>
      </c>
      <c r="J46" s="1184">
        <f t="shared" si="16"/>
        <v>45536</v>
      </c>
      <c r="K46" s="1184">
        <f t="shared" si="16"/>
        <v>45505</v>
      </c>
      <c r="L46" s="1184">
        <f t="shared" si="16"/>
        <v>45474</v>
      </c>
      <c r="M46" s="1184">
        <f t="shared" si="16"/>
        <v>45444</v>
      </c>
      <c r="N46" s="1184">
        <f t="shared" si="16"/>
        <v>45413</v>
      </c>
      <c r="O46" s="1184">
        <f t="shared" si="16"/>
        <v>45383</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715" t="s">
        <v>1770</v>
      </c>
      <c r="D4" s="3716"/>
      <c r="E4" s="3717" t="s">
        <v>1771</v>
      </c>
      <c r="F4" s="3718"/>
      <c r="G4" s="3715" t="s">
        <v>1772</v>
      </c>
      <c r="H4" s="3716"/>
      <c r="I4" s="3715" t="s">
        <v>1773</v>
      </c>
      <c r="J4" s="3716"/>
      <c r="K4" s="558" t="s">
        <v>1774</v>
      </c>
      <c r="L4" s="2714"/>
      <c r="M4" s="2715"/>
      <c r="N4" s="2715"/>
      <c r="O4" s="2715"/>
      <c r="P4" s="3719" t="s">
        <v>1775</v>
      </c>
      <c r="Q4" s="3720"/>
      <c r="R4" s="3702" t="s">
        <v>1771</v>
      </c>
      <c r="S4" s="3703"/>
      <c r="T4" s="3702" t="s">
        <v>1772</v>
      </c>
      <c r="U4" s="3703"/>
      <c r="V4" s="3727" t="s">
        <v>1773</v>
      </c>
      <c r="W4" s="3727"/>
      <c r="X4" s="1354"/>
      <c r="Y4" s="3702" t="s">
        <v>1775</v>
      </c>
      <c r="Z4" s="3703"/>
      <c r="AA4" s="3697" t="s">
        <v>1771</v>
      </c>
      <c r="AB4" s="3698" t="s">
        <v>1772</v>
      </c>
      <c r="AC4" s="3697" t="s">
        <v>1773</v>
      </c>
    </row>
    <row r="5" spans="1:30" ht="15">
      <c r="A5" s="357"/>
      <c r="B5" s="358"/>
      <c r="C5" s="3708" t="s">
        <v>1673</v>
      </c>
      <c r="D5" s="3709"/>
      <c r="E5" s="3706" t="s">
        <v>1674</v>
      </c>
      <c r="F5" s="3707"/>
      <c r="G5" s="3708" t="s">
        <v>1675</v>
      </c>
      <c r="H5" s="3709"/>
      <c r="I5" s="3708" t="s">
        <v>1676</v>
      </c>
      <c r="J5" s="3709"/>
      <c r="K5" s="558"/>
      <c r="L5" s="2714"/>
      <c r="M5" s="2715"/>
      <c r="N5" s="2715"/>
      <c r="O5" s="2715"/>
      <c r="P5" s="3721"/>
      <c r="Q5" s="3722"/>
      <c r="R5" s="3704"/>
      <c r="S5" s="3705"/>
      <c r="T5" s="3704"/>
      <c r="U5" s="3705"/>
      <c r="V5" s="3727"/>
      <c r="W5" s="3727"/>
      <c r="X5" s="1354"/>
      <c r="Y5" s="3704"/>
      <c r="Z5" s="3705"/>
      <c r="AA5" s="3698"/>
      <c r="AB5" s="3698"/>
      <c r="AC5" s="3698"/>
    </row>
    <row r="6" spans="1:30" ht="15.75" thickBot="1">
      <c r="A6" s="359"/>
      <c r="B6" s="360"/>
      <c r="C6" s="3710" t="s">
        <v>1677</v>
      </c>
      <c r="D6" s="3711"/>
      <c r="E6" s="3712" t="s">
        <v>1677</v>
      </c>
      <c r="F6" s="3713"/>
      <c r="G6" s="3710" t="s">
        <v>1677</v>
      </c>
      <c r="H6" s="3711"/>
      <c r="I6" s="3710" t="s">
        <v>1677</v>
      </c>
      <c r="J6" s="3711"/>
      <c r="K6" s="558" t="s">
        <v>1678</v>
      </c>
      <c r="L6" s="2714"/>
      <c r="M6" s="2715"/>
      <c r="N6" s="2715"/>
      <c r="O6" s="2715"/>
      <c r="P6" s="3723"/>
      <c r="Q6" s="3724"/>
      <c r="R6" s="3704"/>
      <c r="S6" s="3705"/>
      <c r="T6" s="3725"/>
      <c r="U6" s="3726"/>
      <c r="V6" s="3727"/>
      <c r="W6" s="3727"/>
      <c r="X6" s="1354"/>
      <c r="Y6" s="3725"/>
      <c r="Z6" s="3726"/>
      <c r="AA6" s="3699"/>
      <c r="AB6" s="3699"/>
      <c r="AC6" s="3699"/>
    </row>
    <row r="7" spans="1:30" s="107" customFormat="1" ht="15.75" thickBot="1">
      <c r="A7" s="361" t="s">
        <v>1679</v>
      </c>
      <c r="B7" s="362"/>
      <c r="C7" s="363">
        <f>'数据-取费表'!B2</f>
        <v>45754</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00" t="s">
        <v>1680</v>
      </c>
      <c r="Q7" s="3728"/>
      <c r="R7" s="700" t="s">
        <v>14</v>
      </c>
      <c r="S7" s="701">
        <f t="shared" ref="S7:S15" si="0">F7</f>
        <v>0</v>
      </c>
      <c r="T7" s="700" t="s">
        <v>14</v>
      </c>
      <c r="U7" s="701">
        <f t="shared" ref="U7:U15" si="1">H7</f>
        <v>0</v>
      </c>
      <c r="V7" s="700" t="s">
        <v>14</v>
      </c>
      <c r="W7" s="701">
        <f t="shared" ref="W7:W15" si="2">J7</f>
        <v>0</v>
      </c>
      <c r="X7" s="702"/>
      <c r="Y7" s="3700" t="s">
        <v>1680</v>
      </c>
      <c r="Z7" s="3701"/>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00" t="s">
        <v>1683</v>
      </c>
      <c r="Q8" s="3701"/>
      <c r="R8" s="700" t="s">
        <v>14</v>
      </c>
      <c r="S8" s="701">
        <f t="shared" si="0"/>
        <v>0</v>
      </c>
      <c r="T8" s="700" t="s">
        <v>14</v>
      </c>
      <c r="U8" s="701">
        <f t="shared" si="1"/>
        <v>0</v>
      </c>
      <c r="V8" s="700" t="s">
        <v>14</v>
      </c>
      <c r="W8" s="701">
        <f t="shared" si="2"/>
        <v>0</v>
      </c>
      <c r="X8" s="702"/>
      <c r="Y8" s="3700" t="s">
        <v>1683</v>
      </c>
      <c r="Z8" s="3701"/>
      <c r="AA8" s="703" t="e">
        <f t="shared" ref="AA8:AA45" si="3">D8/F8</f>
        <v>#DIV/0!</v>
      </c>
      <c r="AB8" s="703" t="e">
        <f t="shared" ref="AB8:AB45" si="4">D8/H8</f>
        <v>#DIV/0!</v>
      </c>
      <c r="AC8" s="703" t="e">
        <f t="shared" ref="AC8:AC45" si="5">D8/J8</f>
        <v>#DIV/0!</v>
      </c>
    </row>
    <row r="9" spans="1:30" s="107"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32"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103</v>
      </c>
      <c r="G10" s="413"/>
      <c r="H10" s="126">
        <f>ROUND(100/'数据-取费表'!G16,0)</f>
        <v>103</v>
      </c>
      <c r="I10" s="413"/>
      <c r="J10" s="126">
        <f>ROUND(100/'数据-取费表'!G16,0)</f>
        <v>103</v>
      </c>
      <c r="K10" s="619"/>
      <c r="L10" s="2718"/>
      <c r="M10" s="2719"/>
      <c r="N10" s="2719"/>
      <c r="O10" s="2772"/>
      <c r="P10" s="3732"/>
      <c r="Q10" s="1342" t="str">
        <f t="shared" si="6"/>
        <v>土地使用年限（年）</v>
      </c>
      <c r="R10" s="700" t="s">
        <v>14</v>
      </c>
      <c r="S10" s="701">
        <f t="shared" si="0"/>
        <v>103</v>
      </c>
      <c r="T10" s="700" t="s">
        <v>14</v>
      </c>
      <c r="U10" s="701">
        <f t="shared" si="1"/>
        <v>103</v>
      </c>
      <c r="V10" s="700" t="s">
        <v>14</v>
      </c>
      <c r="W10" s="701">
        <f t="shared" si="2"/>
        <v>103</v>
      </c>
      <c r="X10" s="702"/>
      <c r="Y10" s="3644"/>
      <c r="Z10" s="52" t="str">
        <f t="shared" si="7"/>
        <v>土地使用年限（年）</v>
      </c>
      <c r="AA10" s="703">
        <f t="shared" si="3"/>
        <v>0.970873786407767</v>
      </c>
      <c r="AB10" s="703">
        <f t="shared" si="4"/>
        <v>0.970873786407767</v>
      </c>
      <c r="AC10" s="703">
        <f t="shared" si="5"/>
        <v>0.970873786407767</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32"/>
      <c r="Q11" s="1342" t="str">
        <f t="shared" si="6"/>
        <v>容积率</v>
      </c>
      <c r="R11" s="700" t="s">
        <v>14</v>
      </c>
      <c r="S11" s="701" t="e">
        <f t="shared" si="0"/>
        <v>#N/A</v>
      </c>
      <c r="T11" s="700" t="s">
        <v>14</v>
      </c>
      <c r="U11" s="701" t="e">
        <f t="shared" si="1"/>
        <v>#N/A</v>
      </c>
      <c r="V11" s="700" t="s">
        <v>14</v>
      </c>
      <c r="W11" s="701" t="e">
        <f t="shared" si="2"/>
        <v>#N/A</v>
      </c>
      <c r="X11" s="702"/>
      <c r="Y11" s="3644"/>
      <c r="Z11" s="52"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32"/>
      <c r="Q12" s="1342" t="str">
        <f t="shared" si="6"/>
        <v>配建</v>
      </c>
      <c r="R12" s="700" t="s">
        <v>14</v>
      </c>
      <c r="S12" s="701">
        <f t="shared" si="0"/>
        <v>100</v>
      </c>
      <c r="T12" s="700" t="s">
        <v>14</v>
      </c>
      <c r="U12" s="701">
        <f t="shared" si="1"/>
        <v>100</v>
      </c>
      <c r="V12" s="700" t="s">
        <v>14</v>
      </c>
      <c r="W12" s="701">
        <f t="shared" si="2"/>
        <v>100</v>
      </c>
      <c r="X12" s="702"/>
      <c r="Y12" s="3644"/>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32"/>
      <c r="Q13" s="1342">
        <f t="shared" si="6"/>
        <v>111</v>
      </c>
      <c r="R13" s="700" t="s">
        <v>14</v>
      </c>
      <c r="S13" s="701">
        <f t="shared" si="0"/>
        <v>100</v>
      </c>
      <c r="T13" s="700" t="s">
        <v>14</v>
      </c>
      <c r="U13" s="701">
        <f t="shared" si="1"/>
        <v>100</v>
      </c>
      <c r="V13" s="700" t="s">
        <v>14</v>
      </c>
      <c r="W13" s="701">
        <f t="shared" si="2"/>
        <v>100</v>
      </c>
      <c r="X13" s="702"/>
      <c r="Y13" s="3644"/>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32"/>
      <c r="Q14" s="1342">
        <f t="shared" si="6"/>
        <v>111</v>
      </c>
      <c r="R14" s="700" t="s">
        <v>14</v>
      </c>
      <c r="S14" s="701">
        <f t="shared" si="0"/>
        <v>100</v>
      </c>
      <c r="T14" s="700" t="s">
        <v>14</v>
      </c>
      <c r="U14" s="701">
        <f t="shared" si="1"/>
        <v>100</v>
      </c>
      <c r="V14" s="700" t="s">
        <v>14</v>
      </c>
      <c r="W14" s="701">
        <f t="shared" si="2"/>
        <v>100</v>
      </c>
      <c r="X14" s="702"/>
      <c r="Y14" s="3644"/>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34" t="s">
        <v>1691</v>
      </c>
      <c r="Q15" s="1351" t="str">
        <f t="shared" si="6"/>
        <v>居住社区成熟度</v>
      </c>
      <c r="R15" s="704" t="s">
        <v>14</v>
      </c>
      <c r="S15" s="705">
        <f t="shared" si="0"/>
        <v>100</v>
      </c>
      <c r="T15" s="704" t="s">
        <v>14</v>
      </c>
      <c r="U15" s="705">
        <f t="shared" si="1"/>
        <v>100</v>
      </c>
      <c r="V15" s="704" t="s">
        <v>14</v>
      </c>
      <c r="W15" s="705">
        <f t="shared" si="2"/>
        <v>100</v>
      </c>
      <c r="X15" s="1354"/>
      <c r="Y15" s="3734"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35"/>
      <c r="Q16" s="1351"/>
      <c r="R16" s="704"/>
      <c r="S16" s="705"/>
      <c r="T16" s="704"/>
      <c r="U16" s="705"/>
      <c r="V16" s="704"/>
      <c r="W16" s="705"/>
      <c r="X16" s="1354"/>
      <c r="Y16" s="3735"/>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35"/>
      <c r="Q17" s="1351" t="str">
        <f>B17</f>
        <v>商业繁华度</v>
      </c>
      <c r="R17" s="704" t="s">
        <v>14</v>
      </c>
      <c r="S17" s="705">
        <f>F17</f>
        <v>100</v>
      </c>
      <c r="T17" s="704" t="s">
        <v>14</v>
      </c>
      <c r="U17" s="705">
        <f>H17</f>
        <v>100</v>
      </c>
      <c r="V17" s="704" t="s">
        <v>14</v>
      </c>
      <c r="W17" s="705">
        <f>J17</f>
        <v>100</v>
      </c>
      <c r="X17" s="1354"/>
      <c r="Y17" s="3735"/>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35"/>
      <c r="Q18" s="1351"/>
      <c r="R18" s="704"/>
      <c r="S18" s="705"/>
      <c r="T18" s="704"/>
      <c r="U18" s="705"/>
      <c r="V18" s="704"/>
      <c r="W18" s="705"/>
      <c r="X18" s="1354"/>
      <c r="Y18" s="3735"/>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35"/>
      <c r="Q19" s="1351" t="str">
        <f>B19</f>
        <v>办公集聚程度</v>
      </c>
      <c r="R19" s="704" t="s">
        <v>14</v>
      </c>
      <c r="S19" s="705">
        <f>F19</f>
        <v>100</v>
      </c>
      <c r="T19" s="704" t="s">
        <v>14</v>
      </c>
      <c r="U19" s="705">
        <f>H19</f>
        <v>100</v>
      </c>
      <c r="V19" s="704" t="s">
        <v>14</v>
      </c>
      <c r="W19" s="705">
        <f>J19</f>
        <v>100</v>
      </c>
      <c r="X19" s="1354"/>
      <c r="Y19" s="3735"/>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35"/>
      <c r="Q20" s="1351"/>
      <c r="R20" s="704"/>
      <c r="S20" s="705"/>
      <c r="T20" s="704"/>
      <c r="U20" s="705"/>
      <c r="V20" s="704"/>
      <c r="W20" s="705"/>
      <c r="X20" s="1354"/>
      <c r="Y20" s="3735"/>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35"/>
      <c r="Q21" s="1351" t="str">
        <f>B21</f>
        <v>交通便捷度</v>
      </c>
      <c r="R21" s="704" t="s">
        <v>14</v>
      </c>
      <c r="S21" s="705">
        <f>F21</f>
        <v>100</v>
      </c>
      <c r="T21" s="704" t="s">
        <v>14</v>
      </c>
      <c r="U21" s="705">
        <f>H21</f>
        <v>100</v>
      </c>
      <c r="V21" s="704" t="s">
        <v>14</v>
      </c>
      <c r="W21" s="705">
        <f>J21</f>
        <v>100</v>
      </c>
      <c r="X21" s="1354"/>
      <c r="Y21" s="3735"/>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35"/>
      <c r="Q22" s="1351"/>
      <c r="R22" s="704"/>
      <c r="S22" s="705"/>
      <c r="T22" s="704"/>
      <c r="U22" s="705"/>
      <c r="V22" s="704"/>
      <c r="W22" s="705"/>
      <c r="X22" s="1354"/>
      <c r="Y22" s="3735"/>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35"/>
      <c r="Q23" s="1351" t="str">
        <f t="shared" ref="Q23:Q37" si="8">B23</f>
        <v>区域土地利用方向</v>
      </c>
      <c r="R23" s="704" t="s">
        <v>14</v>
      </c>
      <c r="S23" s="705">
        <f>F23</f>
        <v>100</v>
      </c>
      <c r="T23" s="704" t="s">
        <v>14</v>
      </c>
      <c r="U23" s="705">
        <f>H23</f>
        <v>100</v>
      </c>
      <c r="V23" s="704" t="s">
        <v>14</v>
      </c>
      <c r="W23" s="705">
        <f>J23</f>
        <v>100</v>
      </c>
      <c r="X23" s="1354"/>
      <c r="Y23" s="3735"/>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35"/>
      <c r="Q24" s="1351"/>
      <c r="R24" s="704"/>
      <c r="S24" s="705"/>
      <c r="T24" s="704"/>
      <c r="U24" s="705"/>
      <c r="V24" s="704"/>
      <c r="W24" s="705"/>
      <c r="X24" s="1354"/>
      <c r="Y24" s="3735"/>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35"/>
      <c r="Q25" s="1351" t="str">
        <f t="shared" si="8"/>
        <v>自然及人文环境状况</v>
      </c>
      <c r="R25" s="704" t="s">
        <v>14</v>
      </c>
      <c r="S25" s="705">
        <f>F25</f>
        <v>100</v>
      </c>
      <c r="T25" s="704" t="s">
        <v>14</v>
      </c>
      <c r="U25" s="705">
        <f>H25</f>
        <v>100</v>
      </c>
      <c r="V25" s="704" t="s">
        <v>14</v>
      </c>
      <c r="W25" s="705">
        <f>J25</f>
        <v>100</v>
      </c>
      <c r="X25" s="1354"/>
      <c r="Y25" s="3735"/>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35"/>
      <c r="Q26" s="1351"/>
      <c r="R26" s="704"/>
      <c r="S26" s="705"/>
      <c r="T26" s="704"/>
      <c r="U26" s="705"/>
      <c r="V26" s="704"/>
      <c r="W26" s="705"/>
      <c r="X26" s="1354"/>
      <c r="Y26" s="3735"/>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35"/>
      <c r="Q27" s="1342" t="str">
        <f t="shared" si="8"/>
        <v>公共配套设施</v>
      </c>
      <c r="R27" s="700" t="s">
        <v>14</v>
      </c>
      <c r="S27" s="701">
        <f>F27</f>
        <v>100</v>
      </c>
      <c r="T27" s="700" t="s">
        <v>14</v>
      </c>
      <c r="U27" s="701">
        <f>H27</f>
        <v>100</v>
      </c>
      <c r="V27" s="700" t="s">
        <v>14</v>
      </c>
      <c r="W27" s="701">
        <f>J27</f>
        <v>100</v>
      </c>
      <c r="X27" s="702"/>
      <c r="Y27" s="3735"/>
      <c r="Z27" s="52"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735"/>
      <c r="Q28" s="1342"/>
      <c r="R28" s="700"/>
      <c r="S28" s="701"/>
      <c r="T28" s="700"/>
      <c r="U28" s="701"/>
      <c r="V28" s="700"/>
      <c r="W28" s="701"/>
      <c r="X28" s="702"/>
      <c r="Y28" s="3735"/>
      <c r="Z28" s="52"/>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35"/>
      <c r="Q29" s="1342" t="str">
        <f t="shared" ref="Q29" si="9">B29</f>
        <v>基础设施水平</v>
      </c>
      <c r="R29" s="700" t="s">
        <v>14</v>
      </c>
      <c r="S29" s="701">
        <f>F29</f>
        <v>100</v>
      </c>
      <c r="T29" s="700" t="s">
        <v>14</v>
      </c>
      <c r="U29" s="701">
        <f>H29</f>
        <v>100</v>
      </c>
      <c r="V29" s="700" t="s">
        <v>14</v>
      </c>
      <c r="W29" s="701">
        <f>J29</f>
        <v>100</v>
      </c>
      <c r="X29" s="702"/>
      <c r="Y29" s="3735"/>
      <c r="Z29" s="52"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735"/>
      <c r="Q30" s="1342"/>
      <c r="R30" s="700"/>
      <c r="S30" s="701"/>
      <c r="T30" s="700"/>
      <c r="U30" s="701"/>
      <c r="V30" s="700"/>
      <c r="W30" s="701"/>
      <c r="X30" s="702"/>
      <c r="Y30" s="3735"/>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3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5"/>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35"/>
      <c r="Q32" s="1351" t="str">
        <f t="shared" si="8"/>
        <v>毗邻道路的类型与等级</v>
      </c>
      <c r="R32" s="704" t="s">
        <v>14</v>
      </c>
      <c r="S32" s="705">
        <f t="shared" si="10"/>
        <v>100</v>
      </c>
      <c r="T32" s="704" t="s">
        <v>14</v>
      </c>
      <c r="U32" s="705">
        <f t="shared" si="11"/>
        <v>100</v>
      </c>
      <c r="V32" s="704" t="s">
        <v>14</v>
      </c>
      <c r="W32" s="705">
        <f t="shared" si="12"/>
        <v>100</v>
      </c>
      <c r="X32" s="1354"/>
      <c r="Y32" s="3735"/>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35"/>
      <c r="Q33" s="1351"/>
      <c r="R33" s="704"/>
      <c r="S33" s="705"/>
      <c r="T33" s="704"/>
      <c r="U33" s="705"/>
      <c r="V33" s="704"/>
      <c r="W33" s="705"/>
      <c r="X33" s="1354"/>
      <c r="Y33" s="3735"/>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35"/>
      <c r="Q34" s="1351" t="str">
        <f t="shared" si="8"/>
        <v>土地级别</v>
      </c>
      <c r="R34" s="704" t="s">
        <v>14</v>
      </c>
      <c r="S34" s="705">
        <f t="shared" si="10"/>
        <v>100</v>
      </c>
      <c r="T34" s="704" t="s">
        <v>14</v>
      </c>
      <c r="U34" s="705">
        <f t="shared" si="11"/>
        <v>100</v>
      </c>
      <c r="V34" s="704" t="s">
        <v>14</v>
      </c>
      <c r="W34" s="705">
        <f t="shared" si="12"/>
        <v>100</v>
      </c>
      <c r="X34" s="1354"/>
      <c r="Y34" s="3735"/>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35"/>
      <c r="Q35" s="1351">
        <f t="shared" si="8"/>
        <v>111</v>
      </c>
      <c r="R35" s="704" t="s">
        <v>14</v>
      </c>
      <c r="S35" s="705">
        <f t="shared" si="10"/>
        <v>100</v>
      </c>
      <c r="T35" s="704" t="s">
        <v>14</v>
      </c>
      <c r="U35" s="705">
        <f t="shared" si="11"/>
        <v>100</v>
      </c>
      <c r="V35" s="704" t="s">
        <v>14</v>
      </c>
      <c r="W35" s="705">
        <f t="shared" si="12"/>
        <v>100</v>
      </c>
      <c r="X35" s="1354"/>
      <c r="Y35" s="3735"/>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58" t="s">
        <v>1696</v>
      </c>
      <c r="Q36" s="1351">
        <f t="shared" si="8"/>
        <v>111</v>
      </c>
      <c r="R36" s="704" t="s">
        <v>14</v>
      </c>
      <c r="S36" s="705">
        <f t="shared" si="10"/>
        <v>100</v>
      </c>
      <c r="T36" s="704" t="s">
        <v>14</v>
      </c>
      <c r="U36" s="705">
        <f t="shared" si="11"/>
        <v>100</v>
      </c>
      <c r="V36" s="704" t="s">
        <v>14</v>
      </c>
      <c r="W36" s="705">
        <f t="shared" si="12"/>
        <v>100</v>
      </c>
      <c r="X36" s="1354"/>
      <c r="Y36" s="3739"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39"/>
      <c r="Q37" s="1351">
        <f t="shared" si="8"/>
        <v>111</v>
      </c>
      <c r="R37" s="707" t="s">
        <v>14</v>
      </c>
      <c r="S37" s="708">
        <f t="shared" si="10"/>
        <v>100</v>
      </c>
      <c r="T37" s="707" t="s">
        <v>14</v>
      </c>
      <c r="U37" s="708">
        <f t="shared" si="11"/>
        <v>100</v>
      </c>
      <c r="V37" s="707" t="s">
        <v>14</v>
      </c>
      <c r="W37" s="708">
        <f t="shared" si="12"/>
        <v>100</v>
      </c>
      <c r="X37" s="709"/>
      <c r="Y37" s="3739"/>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39"/>
      <c r="Q38" s="1351" t="str">
        <f>B38</f>
        <v>宗地面积</v>
      </c>
      <c r="R38" s="704" t="s">
        <v>14</v>
      </c>
      <c r="S38" s="705" t="e">
        <f t="shared" si="10"/>
        <v>#N/A</v>
      </c>
      <c r="T38" s="704" t="s">
        <v>14</v>
      </c>
      <c r="U38" s="705" t="e">
        <f t="shared" si="11"/>
        <v>#N/A</v>
      </c>
      <c r="V38" s="704" t="s">
        <v>14</v>
      </c>
      <c r="W38" s="705" t="e">
        <f t="shared" si="12"/>
        <v>#N/A</v>
      </c>
      <c r="X38" s="1354"/>
      <c r="Y38" s="3739"/>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39"/>
      <c r="Q39" s="1351" t="str">
        <f t="shared" ref="Q39:Q45" si="14">B39</f>
        <v>宗地形状</v>
      </c>
      <c r="R39" s="704" t="s">
        <v>14</v>
      </c>
      <c r="S39" s="705">
        <f t="shared" si="10"/>
        <v>100</v>
      </c>
      <c r="T39" s="704" t="s">
        <v>14</v>
      </c>
      <c r="U39" s="705">
        <f t="shared" si="11"/>
        <v>100</v>
      </c>
      <c r="V39" s="704" t="s">
        <v>14</v>
      </c>
      <c r="W39" s="705">
        <f t="shared" si="12"/>
        <v>100</v>
      </c>
      <c r="X39" s="1354"/>
      <c r="Y39" s="3739"/>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39"/>
      <c r="Q40" s="1351" t="str">
        <f t="shared" si="14"/>
        <v>临街宽度及深度</v>
      </c>
      <c r="R40" s="704" t="s">
        <v>14</v>
      </c>
      <c r="S40" s="705">
        <f t="shared" si="10"/>
        <v>100</v>
      </c>
      <c r="T40" s="704" t="s">
        <v>14</v>
      </c>
      <c r="U40" s="705">
        <f t="shared" si="11"/>
        <v>100</v>
      </c>
      <c r="V40" s="704" t="s">
        <v>14</v>
      </c>
      <c r="W40" s="705">
        <f t="shared" si="12"/>
        <v>100</v>
      </c>
      <c r="X40" s="1354"/>
      <c r="Y40" s="3739"/>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39"/>
      <c r="Q41" s="1351" t="str">
        <f t="shared" si="14"/>
        <v>宗地开发程度</v>
      </c>
      <c r="R41" s="700" t="s">
        <v>14</v>
      </c>
      <c r="S41" s="701">
        <f t="shared" si="10"/>
        <v>100</v>
      </c>
      <c r="T41" s="700" t="s">
        <v>14</v>
      </c>
      <c r="U41" s="701">
        <f t="shared" si="11"/>
        <v>100</v>
      </c>
      <c r="V41" s="700" t="s">
        <v>14</v>
      </c>
      <c r="W41" s="701">
        <f t="shared" si="12"/>
        <v>100</v>
      </c>
      <c r="X41" s="702"/>
      <c r="Y41" s="3739"/>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39" t="s">
        <v>1696</v>
      </c>
      <c r="Q42" s="1351" t="str">
        <f t="shared" si="14"/>
        <v>工程地质条件</v>
      </c>
      <c r="R42" s="704" t="s">
        <v>14</v>
      </c>
      <c r="S42" s="705">
        <f t="shared" si="10"/>
        <v>100</v>
      </c>
      <c r="T42" s="704" t="s">
        <v>14</v>
      </c>
      <c r="U42" s="705">
        <f t="shared" si="11"/>
        <v>100</v>
      </c>
      <c r="V42" s="704" t="s">
        <v>14</v>
      </c>
      <c r="W42" s="705">
        <f t="shared" si="12"/>
        <v>100</v>
      </c>
      <c r="X42" s="1354"/>
      <c r="Y42" s="3739"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39"/>
      <c r="Q43" s="1351">
        <f t="shared" si="14"/>
        <v>111</v>
      </c>
      <c r="R43" s="704" t="s">
        <v>14</v>
      </c>
      <c r="S43" s="705">
        <f t="shared" si="10"/>
        <v>100</v>
      </c>
      <c r="T43" s="704" t="s">
        <v>14</v>
      </c>
      <c r="U43" s="705">
        <f t="shared" si="11"/>
        <v>100</v>
      </c>
      <c r="V43" s="704" t="s">
        <v>14</v>
      </c>
      <c r="W43" s="705">
        <f t="shared" si="12"/>
        <v>100</v>
      </c>
      <c r="X43" s="1354"/>
      <c r="Y43" s="3739"/>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39"/>
      <c r="Q44" s="1351">
        <f t="shared" si="14"/>
        <v>111</v>
      </c>
      <c r="R44" s="704" t="s">
        <v>14</v>
      </c>
      <c r="S44" s="705">
        <f t="shared" si="10"/>
        <v>100</v>
      </c>
      <c r="T44" s="704" t="s">
        <v>14</v>
      </c>
      <c r="U44" s="705">
        <f t="shared" si="11"/>
        <v>100</v>
      </c>
      <c r="V44" s="704" t="s">
        <v>14</v>
      </c>
      <c r="W44" s="705">
        <f t="shared" si="12"/>
        <v>100</v>
      </c>
      <c r="X44" s="1354"/>
      <c r="Y44" s="3739"/>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39"/>
      <c r="Q45" s="1351">
        <f t="shared" si="14"/>
        <v>111</v>
      </c>
      <c r="R45" s="707" t="s">
        <v>14</v>
      </c>
      <c r="S45" s="708">
        <f t="shared" si="10"/>
        <v>100</v>
      </c>
      <c r="T45" s="707" t="s">
        <v>14</v>
      </c>
      <c r="U45" s="708">
        <f t="shared" si="11"/>
        <v>100</v>
      </c>
      <c r="V45" s="707" t="s">
        <v>14</v>
      </c>
      <c r="W45" s="708">
        <f t="shared" si="12"/>
        <v>100</v>
      </c>
      <c r="X45" s="709"/>
      <c r="Y45" s="3739"/>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32" t="str">
        <f>A46</f>
        <v>成交单价</v>
      </c>
      <c r="Q46" s="3732"/>
      <c r="R46" s="3727">
        <f>E46</f>
        <v>0</v>
      </c>
      <c r="S46" s="3727"/>
      <c r="T46" s="3727">
        <f>G46</f>
        <v>0</v>
      </c>
      <c r="U46" s="3727"/>
      <c r="V46" s="3727">
        <f>I46</f>
        <v>0</v>
      </c>
      <c r="W46" s="3727"/>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732" t="str">
        <f>A47</f>
        <v>比较价值（元/平方米）</v>
      </c>
      <c r="Q47" s="3732"/>
      <c r="R47" s="3760" t="e">
        <f>ROUND(PRODUCT(R46,AA7:AA45),0)</f>
        <v>#DIV/0!</v>
      </c>
      <c r="S47" s="3760"/>
      <c r="T47" s="3760" t="e">
        <f>ROUND(PRODUCT(T46,AB7:AB45),0)</f>
        <v>#DIV/0!</v>
      </c>
      <c r="U47" s="3760"/>
      <c r="V47" s="3760" t="e">
        <f>ROUND(PRODUCT(V46,AC7:AC45),0)</f>
        <v>#DIV/0!</v>
      </c>
      <c r="W47" s="3760"/>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729" t="str">
        <f>A48</f>
        <v>估价对象XX用房的比较价值（楼面单价，元/平方米）</v>
      </c>
      <c r="Q48" s="3730"/>
      <c r="R48" s="3761" t="e">
        <f>ROUND(IF(D47="简单平均",AVERAGE(R47:W47),R47*F47+T47*H47+V47*J47),0)</f>
        <v>#DIV/0!</v>
      </c>
      <c r="S48" s="3761"/>
      <c r="T48" s="3761"/>
      <c r="U48" s="3761"/>
      <c r="V48" s="3761"/>
      <c r="W48" s="376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15" t="s">
        <v>1887</v>
      </c>
      <c r="H55" s="3762"/>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21093.46</v>
      </c>
      <c r="F56" s="885" t="e">
        <f t="shared" ref="F56:F64" si="15">ROUND(B56*E56/10000,0)</f>
        <v>#DIV/0!</v>
      </c>
      <c r="G56" s="3714"/>
      <c r="H56" s="3732"/>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10270.209999999999</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31363.67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2025-4-1</v>
      </c>
      <c r="D67" s="691">
        <f>EDATE(C67,-3)</f>
        <v>45658</v>
      </c>
      <c r="E67" s="691">
        <f>EDATE(D67,-3)</f>
        <v>45566</v>
      </c>
      <c r="F67" s="691">
        <f t="shared" ref="F67:O67" si="18">EDATE(E67,-3)</f>
        <v>45474</v>
      </c>
      <c r="G67" s="691">
        <f t="shared" si="18"/>
        <v>45383</v>
      </c>
      <c r="H67" s="691">
        <f t="shared" si="18"/>
        <v>45292</v>
      </c>
      <c r="I67" s="691">
        <f t="shared" si="18"/>
        <v>45200</v>
      </c>
      <c r="J67" s="691">
        <f t="shared" si="18"/>
        <v>45108</v>
      </c>
      <c r="K67" s="691">
        <f t="shared" si="18"/>
        <v>45017</v>
      </c>
      <c r="L67" s="691">
        <f t="shared" si="18"/>
        <v>44927</v>
      </c>
      <c r="M67" s="691">
        <f t="shared" si="18"/>
        <v>44835</v>
      </c>
      <c r="N67" s="691">
        <f t="shared" si="18"/>
        <v>44743</v>
      </c>
      <c r="O67" s="691">
        <f t="shared" si="18"/>
        <v>44652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5" t="s">
        <v>1770</v>
      </c>
      <c r="D4" s="3716"/>
      <c r="E4" s="3717" t="s">
        <v>1771</v>
      </c>
      <c r="F4" s="3718"/>
      <c r="G4" s="3715" t="s">
        <v>1772</v>
      </c>
      <c r="H4" s="3716"/>
      <c r="I4" s="3715" t="s">
        <v>1773</v>
      </c>
      <c r="J4" s="3716"/>
      <c r="K4" s="558" t="s">
        <v>1774</v>
      </c>
      <c r="L4" s="2714"/>
      <c r="M4" s="2715"/>
      <c r="N4" s="2715"/>
      <c r="O4" s="2715"/>
      <c r="P4" s="3719" t="s">
        <v>1775</v>
      </c>
      <c r="Q4" s="3720"/>
      <c r="R4" s="3702" t="s">
        <v>1771</v>
      </c>
      <c r="S4" s="3703"/>
      <c r="T4" s="3702" t="s">
        <v>1772</v>
      </c>
      <c r="U4" s="3703"/>
      <c r="V4" s="3727" t="s">
        <v>1773</v>
      </c>
      <c r="W4" s="3727"/>
      <c r="X4" s="1354"/>
      <c r="Y4" s="3702" t="s">
        <v>1775</v>
      </c>
      <c r="Z4" s="3703"/>
      <c r="AA4" s="3697" t="s">
        <v>1771</v>
      </c>
      <c r="AB4" s="3698" t="s">
        <v>1772</v>
      </c>
      <c r="AC4" s="3697" t="s">
        <v>1773</v>
      </c>
    </row>
    <row r="5" spans="1:29" ht="15">
      <c r="A5" s="357"/>
      <c r="B5" s="358"/>
      <c r="C5" s="3708" t="s">
        <v>1673</v>
      </c>
      <c r="D5" s="3709"/>
      <c r="E5" s="3706" t="s">
        <v>1674</v>
      </c>
      <c r="F5" s="3707"/>
      <c r="G5" s="3708" t="s">
        <v>1675</v>
      </c>
      <c r="H5" s="3709"/>
      <c r="I5" s="3708" t="s">
        <v>1676</v>
      </c>
      <c r="J5" s="3709"/>
      <c r="K5" s="558"/>
      <c r="L5" s="2714"/>
      <c r="M5" s="2715"/>
      <c r="N5" s="2715"/>
      <c r="O5" s="2715"/>
      <c r="P5" s="3721"/>
      <c r="Q5" s="3722"/>
      <c r="R5" s="3704"/>
      <c r="S5" s="3705"/>
      <c r="T5" s="3704"/>
      <c r="U5" s="3705"/>
      <c r="V5" s="3727"/>
      <c r="W5" s="3727"/>
      <c r="X5" s="1354"/>
      <c r="Y5" s="3704"/>
      <c r="Z5" s="3705"/>
      <c r="AA5" s="3698"/>
      <c r="AB5" s="3698"/>
      <c r="AC5" s="3698"/>
    </row>
    <row r="6" spans="1:29" ht="15.75" thickBot="1">
      <c r="A6" s="359"/>
      <c r="B6" s="360"/>
      <c r="C6" s="3763" t="s">
        <v>1919</v>
      </c>
      <c r="D6" s="3764"/>
      <c r="E6" s="3765" t="s">
        <v>1919</v>
      </c>
      <c r="F6" s="3766"/>
      <c r="G6" s="3763" t="s">
        <v>1919</v>
      </c>
      <c r="H6" s="3764"/>
      <c r="I6" s="3763" t="s">
        <v>1919</v>
      </c>
      <c r="J6" s="3764"/>
      <c r="K6" s="558" t="s">
        <v>1678</v>
      </c>
      <c r="L6" s="2714"/>
      <c r="M6" s="2715"/>
      <c r="N6" s="2715"/>
      <c r="O6" s="2715"/>
      <c r="P6" s="3723"/>
      <c r="Q6" s="3724"/>
      <c r="R6" s="3704"/>
      <c r="S6" s="3705"/>
      <c r="T6" s="3725"/>
      <c r="U6" s="3726"/>
      <c r="V6" s="3727"/>
      <c r="W6" s="3727"/>
      <c r="X6" s="1354"/>
      <c r="Y6" s="3725"/>
      <c r="Z6" s="3726"/>
      <c r="AA6" s="3699"/>
      <c r="AB6" s="3699"/>
      <c r="AC6" s="3699"/>
    </row>
    <row r="7" spans="1:29" s="107" customFormat="1" ht="15.75" thickBot="1">
      <c r="A7" s="361" t="s">
        <v>1679</v>
      </c>
      <c r="B7" s="362"/>
      <c r="C7" s="363">
        <f>'数据-取费表'!B2</f>
        <v>45754</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00" t="s">
        <v>1680</v>
      </c>
      <c r="Q7" s="3728"/>
      <c r="R7" s="700" t="s">
        <v>14</v>
      </c>
      <c r="S7" s="701">
        <f t="shared" ref="S7:S15" si="0">F7</f>
        <v>0</v>
      </c>
      <c r="T7" s="700" t="s">
        <v>14</v>
      </c>
      <c r="U7" s="701">
        <f t="shared" ref="U7:U15" si="1">H7</f>
        <v>0</v>
      </c>
      <c r="V7" s="700" t="s">
        <v>14</v>
      </c>
      <c r="W7" s="701">
        <f t="shared" ref="W7:W15" si="2">J7</f>
        <v>0</v>
      </c>
      <c r="X7" s="702"/>
      <c r="Y7" s="3700" t="s">
        <v>1680</v>
      </c>
      <c r="Z7" s="3701"/>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00" t="s">
        <v>1683</v>
      </c>
      <c r="Q8" s="3701"/>
      <c r="R8" s="700" t="s">
        <v>14</v>
      </c>
      <c r="S8" s="701">
        <f t="shared" si="0"/>
        <v>0</v>
      </c>
      <c r="T8" s="700" t="s">
        <v>14</v>
      </c>
      <c r="U8" s="701">
        <f t="shared" si="1"/>
        <v>0</v>
      </c>
      <c r="V8" s="700" t="s">
        <v>14</v>
      </c>
      <c r="W8" s="701">
        <f t="shared" si="2"/>
        <v>0</v>
      </c>
      <c r="X8" s="702"/>
      <c r="Y8" s="3700" t="s">
        <v>1683</v>
      </c>
      <c r="Z8" s="3701"/>
      <c r="AA8" s="703" t="e">
        <f t="shared" ref="AA8:AA40" si="3">D8/F8</f>
        <v>#DIV/0!</v>
      </c>
      <c r="AB8" s="703" t="e">
        <f t="shared" ref="AB8:AB40" si="4">D8/H8</f>
        <v>#DIV/0!</v>
      </c>
      <c r="AC8" s="703" t="e">
        <f t="shared" ref="AC8:AC40" si="5">D8/J8</f>
        <v>#DIV/0!</v>
      </c>
    </row>
    <row r="9" spans="1:29" s="107"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32"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103</v>
      </c>
      <c r="G10" s="382"/>
      <c r="H10" s="126">
        <f>ROUND(100/'数据-取费表'!G16,0)</f>
        <v>103</v>
      </c>
      <c r="I10" s="382"/>
      <c r="J10" s="126">
        <f>ROUND(100/'数据-取费表'!G16,0)</f>
        <v>103</v>
      </c>
      <c r="K10" s="619"/>
      <c r="L10" s="2718"/>
      <c r="M10" s="2719"/>
      <c r="N10" s="2719"/>
      <c r="O10" s="2772"/>
      <c r="P10" s="3732"/>
      <c r="Q10" s="1342" t="str">
        <f t="shared" si="6"/>
        <v>土地使用年限（年）</v>
      </c>
      <c r="R10" s="700" t="s">
        <v>14</v>
      </c>
      <c r="S10" s="701">
        <f t="shared" si="0"/>
        <v>103</v>
      </c>
      <c r="T10" s="700" t="s">
        <v>14</v>
      </c>
      <c r="U10" s="701">
        <f t="shared" si="1"/>
        <v>103</v>
      </c>
      <c r="V10" s="700" t="s">
        <v>14</v>
      </c>
      <c r="W10" s="701">
        <f t="shared" si="2"/>
        <v>103</v>
      </c>
      <c r="X10" s="702"/>
      <c r="Y10" s="3644"/>
      <c r="Z10" s="52" t="str">
        <f t="shared" si="7"/>
        <v>土地使用年限（年）</v>
      </c>
      <c r="AA10" s="703">
        <f t="shared" si="3"/>
        <v>0.970873786407767</v>
      </c>
      <c r="AB10" s="703">
        <f t="shared" si="4"/>
        <v>0.970873786407767</v>
      </c>
      <c r="AC10" s="703">
        <f t="shared" si="5"/>
        <v>0.970873786407767</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32"/>
      <c r="Q11" s="1342" t="str">
        <f t="shared" si="6"/>
        <v>容积率</v>
      </c>
      <c r="R11" s="700" t="s">
        <v>14</v>
      </c>
      <c r="S11" s="701" t="e">
        <f t="shared" si="0"/>
        <v>#N/A</v>
      </c>
      <c r="T11" s="700" t="s">
        <v>14</v>
      </c>
      <c r="U11" s="701" t="e">
        <f t="shared" si="1"/>
        <v>#N/A</v>
      </c>
      <c r="V11" s="700" t="s">
        <v>14</v>
      </c>
      <c r="W11" s="701" t="e">
        <f t="shared" si="2"/>
        <v>#N/A</v>
      </c>
      <c r="X11" s="702"/>
      <c r="Y11" s="3644"/>
      <c r="Z11" s="52"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32"/>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32"/>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32"/>
      <c r="Q14" s="1342">
        <f t="shared" si="6"/>
        <v>111</v>
      </c>
      <c r="R14" s="700" t="s">
        <v>14</v>
      </c>
      <c r="S14" s="701">
        <f t="shared" si="0"/>
        <v>100</v>
      </c>
      <c r="T14" s="700" t="s">
        <v>14</v>
      </c>
      <c r="U14" s="701">
        <f t="shared" si="1"/>
        <v>100</v>
      </c>
      <c r="V14" s="700" t="s">
        <v>14</v>
      </c>
      <c r="W14" s="701">
        <f t="shared" si="2"/>
        <v>100</v>
      </c>
      <c r="X14" s="702"/>
      <c r="Y14" s="3644"/>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34" t="s">
        <v>1691</v>
      </c>
      <c r="Q15" s="1351" t="str">
        <f t="shared" si="6"/>
        <v>产业集聚程度</v>
      </c>
      <c r="R15" s="704" t="s">
        <v>14</v>
      </c>
      <c r="S15" s="705">
        <f t="shared" si="0"/>
        <v>100</v>
      </c>
      <c r="T15" s="704" t="s">
        <v>14</v>
      </c>
      <c r="U15" s="705">
        <f t="shared" si="1"/>
        <v>100</v>
      </c>
      <c r="V15" s="704" t="s">
        <v>14</v>
      </c>
      <c r="W15" s="705">
        <f t="shared" si="2"/>
        <v>100</v>
      </c>
      <c r="X15" s="1354"/>
      <c r="Y15" s="3734"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35"/>
      <c r="Q16" s="1351"/>
      <c r="R16" s="704"/>
      <c r="S16" s="705"/>
      <c r="T16" s="704"/>
      <c r="U16" s="705"/>
      <c r="V16" s="704"/>
      <c r="W16" s="705"/>
      <c r="X16" s="1354"/>
      <c r="Y16" s="3735"/>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35"/>
      <c r="Q17" s="1351" t="str">
        <f>B17</f>
        <v>交通便捷度</v>
      </c>
      <c r="R17" s="704" t="s">
        <v>14</v>
      </c>
      <c r="S17" s="705">
        <f>F17</f>
        <v>100</v>
      </c>
      <c r="T17" s="704" t="s">
        <v>14</v>
      </c>
      <c r="U17" s="705">
        <f>H17</f>
        <v>100</v>
      </c>
      <c r="V17" s="704" t="s">
        <v>14</v>
      </c>
      <c r="W17" s="705">
        <f>J17</f>
        <v>100</v>
      </c>
      <c r="X17" s="1354"/>
      <c r="Y17" s="3735"/>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35"/>
      <c r="Q18" s="1351"/>
      <c r="R18" s="704"/>
      <c r="S18" s="705"/>
      <c r="T18" s="704"/>
      <c r="U18" s="705"/>
      <c r="V18" s="704"/>
      <c r="W18" s="705"/>
      <c r="X18" s="1354"/>
      <c r="Y18" s="3735"/>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35"/>
      <c r="Q19" s="1351" t="str">
        <f t="shared" ref="Q19:Q33" si="8">B19</f>
        <v>区域土地利用方向</v>
      </c>
      <c r="R19" s="704" t="s">
        <v>14</v>
      </c>
      <c r="S19" s="705">
        <f>F19</f>
        <v>100</v>
      </c>
      <c r="T19" s="704" t="s">
        <v>14</v>
      </c>
      <c r="U19" s="705">
        <f>H19</f>
        <v>100</v>
      </c>
      <c r="V19" s="704" t="s">
        <v>14</v>
      </c>
      <c r="W19" s="705">
        <f>J19</f>
        <v>100</v>
      </c>
      <c r="X19" s="1354"/>
      <c r="Y19" s="3735"/>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35"/>
      <c r="Q20" s="1351"/>
      <c r="R20" s="704"/>
      <c r="S20" s="705"/>
      <c r="T20" s="704"/>
      <c r="U20" s="705"/>
      <c r="V20" s="704"/>
      <c r="W20" s="705"/>
      <c r="X20" s="1354"/>
      <c r="Y20" s="3735"/>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35"/>
      <c r="Q21" s="1351" t="str">
        <f t="shared" si="8"/>
        <v>环境状况</v>
      </c>
      <c r="R21" s="704" t="s">
        <v>14</v>
      </c>
      <c r="S21" s="705">
        <f>F21</f>
        <v>100</v>
      </c>
      <c r="T21" s="704" t="s">
        <v>14</v>
      </c>
      <c r="U21" s="705">
        <f>H21</f>
        <v>100</v>
      </c>
      <c r="V21" s="704" t="s">
        <v>14</v>
      </c>
      <c r="W21" s="705">
        <f>J21</f>
        <v>100</v>
      </c>
      <c r="X21" s="1354"/>
      <c r="Y21" s="3735"/>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35"/>
      <c r="Q22" s="1351"/>
      <c r="R22" s="704"/>
      <c r="S22" s="705"/>
      <c r="T22" s="704"/>
      <c r="U22" s="705"/>
      <c r="V22" s="704"/>
      <c r="W22" s="705"/>
      <c r="X22" s="1354"/>
      <c r="Y22" s="3735"/>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35"/>
      <c r="Q23" s="1342" t="str">
        <f t="shared" si="8"/>
        <v>公共配套设施</v>
      </c>
      <c r="R23" s="700" t="s">
        <v>14</v>
      </c>
      <c r="S23" s="701">
        <f>F23</f>
        <v>100</v>
      </c>
      <c r="T23" s="700" t="s">
        <v>14</v>
      </c>
      <c r="U23" s="701">
        <f>H23</f>
        <v>100</v>
      </c>
      <c r="V23" s="700" t="s">
        <v>14</v>
      </c>
      <c r="W23" s="701">
        <f>J23</f>
        <v>100</v>
      </c>
      <c r="X23" s="702"/>
      <c r="Y23" s="3735"/>
      <c r="Z23" s="52"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735"/>
      <c r="Q24" s="1342"/>
      <c r="R24" s="700"/>
      <c r="S24" s="701"/>
      <c r="T24" s="700"/>
      <c r="U24" s="701"/>
      <c r="V24" s="700"/>
      <c r="W24" s="701"/>
      <c r="X24" s="702"/>
      <c r="Y24" s="3735"/>
      <c r="Z24" s="52"/>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35"/>
      <c r="Q25" s="1342" t="str">
        <f t="shared" ref="Q25" si="9">B25</f>
        <v>基础设施水平</v>
      </c>
      <c r="R25" s="700" t="s">
        <v>14</v>
      </c>
      <c r="S25" s="701">
        <f>F25</f>
        <v>100</v>
      </c>
      <c r="T25" s="700" t="s">
        <v>14</v>
      </c>
      <c r="U25" s="701">
        <f>H25</f>
        <v>100</v>
      </c>
      <c r="V25" s="700" t="s">
        <v>14</v>
      </c>
      <c r="W25" s="701">
        <f>J25</f>
        <v>100</v>
      </c>
      <c r="X25" s="702"/>
      <c r="Y25" s="3735"/>
      <c r="Z25" s="52"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735"/>
      <c r="Q26" s="1342"/>
      <c r="R26" s="700"/>
      <c r="S26" s="701"/>
      <c r="T26" s="700"/>
      <c r="U26" s="701"/>
      <c r="V26" s="700"/>
      <c r="W26" s="701"/>
      <c r="X26" s="702"/>
      <c r="Y26" s="3735"/>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3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5"/>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35"/>
      <c r="Q28" s="1351" t="str">
        <f t="shared" si="8"/>
        <v>毗邻道路的类型与等级</v>
      </c>
      <c r="R28" s="704" t="s">
        <v>14</v>
      </c>
      <c r="S28" s="705">
        <f t="shared" si="10"/>
        <v>100</v>
      </c>
      <c r="T28" s="704" t="s">
        <v>14</v>
      </c>
      <c r="U28" s="705">
        <f t="shared" si="11"/>
        <v>100</v>
      </c>
      <c r="V28" s="704" t="s">
        <v>14</v>
      </c>
      <c r="W28" s="705">
        <f t="shared" si="12"/>
        <v>100</v>
      </c>
      <c r="X28" s="1354"/>
      <c r="Y28" s="3735"/>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35"/>
      <c r="Q29" s="1351"/>
      <c r="R29" s="704"/>
      <c r="S29" s="705"/>
      <c r="T29" s="704"/>
      <c r="U29" s="705"/>
      <c r="V29" s="704"/>
      <c r="W29" s="705"/>
      <c r="X29" s="1354"/>
      <c r="Y29" s="3735"/>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35"/>
      <c r="Q30" s="1351" t="str">
        <f t="shared" si="8"/>
        <v>土地级别</v>
      </c>
      <c r="R30" s="704" t="s">
        <v>14</v>
      </c>
      <c r="S30" s="705">
        <f t="shared" si="10"/>
        <v>100</v>
      </c>
      <c r="T30" s="704" t="s">
        <v>14</v>
      </c>
      <c r="U30" s="705">
        <f t="shared" si="11"/>
        <v>100</v>
      </c>
      <c r="V30" s="704" t="s">
        <v>14</v>
      </c>
      <c r="W30" s="705">
        <f t="shared" si="12"/>
        <v>100</v>
      </c>
      <c r="X30" s="1354"/>
      <c r="Y30" s="3735"/>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35"/>
      <c r="Q31" s="1351">
        <f t="shared" si="8"/>
        <v>111</v>
      </c>
      <c r="R31" s="704" t="s">
        <v>14</v>
      </c>
      <c r="S31" s="705">
        <f t="shared" si="10"/>
        <v>100</v>
      </c>
      <c r="T31" s="704" t="s">
        <v>14</v>
      </c>
      <c r="U31" s="705">
        <f t="shared" si="11"/>
        <v>100</v>
      </c>
      <c r="V31" s="704" t="s">
        <v>14</v>
      </c>
      <c r="W31" s="705">
        <f t="shared" si="12"/>
        <v>100</v>
      </c>
      <c r="X31" s="1354"/>
      <c r="Y31" s="3735"/>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58" t="s">
        <v>1696</v>
      </c>
      <c r="Q32" s="1351">
        <f t="shared" si="8"/>
        <v>111</v>
      </c>
      <c r="R32" s="704" t="s">
        <v>14</v>
      </c>
      <c r="S32" s="705">
        <f t="shared" si="10"/>
        <v>100</v>
      </c>
      <c r="T32" s="704" t="s">
        <v>14</v>
      </c>
      <c r="U32" s="705">
        <f t="shared" si="11"/>
        <v>100</v>
      </c>
      <c r="V32" s="704" t="s">
        <v>14</v>
      </c>
      <c r="W32" s="705">
        <f t="shared" si="12"/>
        <v>100</v>
      </c>
      <c r="X32" s="1354"/>
      <c r="Y32" s="3739"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39"/>
      <c r="Q33" s="1351">
        <f t="shared" si="8"/>
        <v>111</v>
      </c>
      <c r="R33" s="707" t="s">
        <v>14</v>
      </c>
      <c r="S33" s="708">
        <f t="shared" si="10"/>
        <v>100</v>
      </c>
      <c r="T33" s="707" t="s">
        <v>14</v>
      </c>
      <c r="U33" s="708">
        <f t="shared" si="11"/>
        <v>100</v>
      </c>
      <c r="V33" s="707" t="s">
        <v>14</v>
      </c>
      <c r="W33" s="708">
        <f t="shared" si="12"/>
        <v>100</v>
      </c>
      <c r="X33" s="709"/>
      <c r="Y33" s="3739"/>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39"/>
      <c r="Q34" s="1351" t="str">
        <f>B34</f>
        <v>宗地面积</v>
      </c>
      <c r="R34" s="704" t="s">
        <v>14</v>
      </c>
      <c r="S34" s="705" t="e">
        <f t="shared" si="10"/>
        <v>#N/A</v>
      </c>
      <c r="T34" s="704" t="s">
        <v>14</v>
      </c>
      <c r="U34" s="705" t="e">
        <f t="shared" si="11"/>
        <v>#N/A</v>
      </c>
      <c r="V34" s="704" t="s">
        <v>14</v>
      </c>
      <c r="W34" s="705" t="e">
        <f t="shared" si="12"/>
        <v>#N/A</v>
      </c>
      <c r="X34" s="1354"/>
      <c r="Y34" s="3739"/>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39"/>
      <c r="Q35" s="1351" t="str">
        <f t="shared" ref="Q35:Q40" si="14">B35</f>
        <v>宗地形状</v>
      </c>
      <c r="R35" s="704" t="s">
        <v>14</v>
      </c>
      <c r="S35" s="705">
        <f t="shared" si="10"/>
        <v>100</v>
      </c>
      <c r="T35" s="704" t="s">
        <v>14</v>
      </c>
      <c r="U35" s="705">
        <f t="shared" si="11"/>
        <v>100</v>
      </c>
      <c r="V35" s="704" t="s">
        <v>14</v>
      </c>
      <c r="W35" s="705">
        <f t="shared" si="12"/>
        <v>100</v>
      </c>
      <c r="X35" s="1354"/>
      <c r="Y35" s="3739"/>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39"/>
      <c r="Q36" s="1351" t="str">
        <f t="shared" si="14"/>
        <v>宗地开发程度</v>
      </c>
      <c r="R36" s="700" t="s">
        <v>14</v>
      </c>
      <c r="S36" s="701">
        <f t="shared" si="10"/>
        <v>100</v>
      </c>
      <c r="T36" s="700" t="s">
        <v>14</v>
      </c>
      <c r="U36" s="701">
        <f t="shared" si="11"/>
        <v>100</v>
      </c>
      <c r="V36" s="700" t="s">
        <v>14</v>
      </c>
      <c r="W36" s="701">
        <f t="shared" si="12"/>
        <v>100</v>
      </c>
      <c r="X36" s="702"/>
      <c r="Y36" s="3739"/>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39" t="s">
        <v>1696</v>
      </c>
      <c r="Q37" s="1351" t="str">
        <f t="shared" si="14"/>
        <v>工程地质条件</v>
      </c>
      <c r="R37" s="704" t="s">
        <v>14</v>
      </c>
      <c r="S37" s="705">
        <f t="shared" si="10"/>
        <v>100</v>
      </c>
      <c r="T37" s="704" t="s">
        <v>14</v>
      </c>
      <c r="U37" s="705">
        <f t="shared" si="11"/>
        <v>100</v>
      </c>
      <c r="V37" s="704" t="s">
        <v>14</v>
      </c>
      <c r="W37" s="705">
        <f t="shared" si="12"/>
        <v>100</v>
      </c>
      <c r="X37" s="1354"/>
      <c r="Y37" s="3739"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39"/>
      <c r="Q38" s="1351">
        <f t="shared" si="14"/>
        <v>111</v>
      </c>
      <c r="R38" s="704" t="s">
        <v>14</v>
      </c>
      <c r="S38" s="705">
        <f t="shared" si="10"/>
        <v>100</v>
      </c>
      <c r="T38" s="704" t="s">
        <v>14</v>
      </c>
      <c r="U38" s="705">
        <f t="shared" si="11"/>
        <v>100</v>
      </c>
      <c r="V38" s="704" t="s">
        <v>14</v>
      </c>
      <c r="W38" s="705">
        <f t="shared" si="12"/>
        <v>100</v>
      </c>
      <c r="X38" s="1354"/>
      <c r="Y38" s="3739"/>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39"/>
      <c r="Q39" s="1351">
        <f t="shared" si="14"/>
        <v>111</v>
      </c>
      <c r="R39" s="704" t="s">
        <v>14</v>
      </c>
      <c r="S39" s="705">
        <f t="shared" si="10"/>
        <v>100</v>
      </c>
      <c r="T39" s="704" t="s">
        <v>14</v>
      </c>
      <c r="U39" s="705">
        <f t="shared" si="11"/>
        <v>100</v>
      </c>
      <c r="V39" s="704" t="s">
        <v>14</v>
      </c>
      <c r="W39" s="705">
        <f t="shared" si="12"/>
        <v>100</v>
      </c>
      <c r="X39" s="1354"/>
      <c r="Y39" s="3739"/>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39"/>
      <c r="Q40" s="1351">
        <f t="shared" si="14"/>
        <v>111</v>
      </c>
      <c r="R40" s="707" t="s">
        <v>14</v>
      </c>
      <c r="S40" s="708">
        <f t="shared" si="10"/>
        <v>100</v>
      </c>
      <c r="T40" s="707" t="s">
        <v>14</v>
      </c>
      <c r="U40" s="708">
        <f t="shared" si="11"/>
        <v>100</v>
      </c>
      <c r="V40" s="707" t="s">
        <v>14</v>
      </c>
      <c r="W40" s="708">
        <f t="shared" si="12"/>
        <v>100</v>
      </c>
      <c r="X40" s="709"/>
      <c r="Y40" s="3739"/>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732" t="str">
        <f>A41</f>
        <v>成交单价</v>
      </c>
      <c r="Q41" s="3732"/>
      <c r="R41" s="3727">
        <f>E41</f>
        <v>0</v>
      </c>
      <c r="S41" s="3727"/>
      <c r="T41" s="3727">
        <f>G41</f>
        <v>0</v>
      </c>
      <c r="U41" s="3727"/>
      <c r="V41" s="3727">
        <f>I41</f>
        <v>0</v>
      </c>
      <c r="W41" s="3727"/>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732" t="str">
        <f>A42</f>
        <v>比较价值（元/平方米）</v>
      </c>
      <c r="Q42" s="3732"/>
      <c r="R42" s="3760" t="e">
        <f>ROUND(PRODUCT(R41,AA7:AA40),0)</f>
        <v>#DIV/0!</v>
      </c>
      <c r="S42" s="3760"/>
      <c r="T42" s="3760" t="e">
        <f>ROUND(PRODUCT(T41,AB7:AB40),0)</f>
        <v>#DIV/0!</v>
      </c>
      <c r="U42" s="3760"/>
      <c r="V42" s="3760" t="e">
        <f>ROUND(PRODUCT(V41,AC7:AC40),0)</f>
        <v>#DIV/0!</v>
      </c>
      <c r="W42" s="3760"/>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729" t="str">
        <f>A43</f>
        <v>估价对象XX用房的比较价值（楼面单价，元/平方米）</v>
      </c>
      <c r="Q43" s="3730"/>
      <c r="R43" s="3761" t="e">
        <f>ROUND(IF(D42="简单平均",AVERAGE(R42:W42),R42*F42+T42*H42+V42*J42),0)</f>
        <v>#DIV/0!</v>
      </c>
      <c r="S43" s="3761"/>
      <c r="T43" s="3761"/>
      <c r="U43" s="3761"/>
      <c r="V43" s="3761"/>
      <c r="W43" s="376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15" t="s">
        <v>1887</v>
      </c>
      <c r="H50" s="376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21093.46</v>
      </c>
      <c r="F51" s="638" t="e">
        <f t="shared" ref="F51:F60" si="15">ROUND(B51*E51/10000,0)</f>
        <v>#DIV/0!</v>
      </c>
      <c r="G51" s="3714"/>
      <c r="H51" s="3732"/>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10270.209999999999</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6799.81</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2025-4-1</v>
      </c>
      <c r="D63" s="691">
        <f>EDATE(C63,-3)</f>
        <v>45658</v>
      </c>
      <c r="E63" s="691">
        <f>EDATE(D63,-3)</f>
        <v>45566</v>
      </c>
      <c r="F63" s="691">
        <f t="shared" ref="F63:O63" si="18">EDATE(E63,-3)</f>
        <v>45474</v>
      </c>
      <c r="G63" s="691">
        <f t="shared" si="18"/>
        <v>45383</v>
      </c>
      <c r="H63" s="691">
        <f t="shared" si="18"/>
        <v>45292</v>
      </c>
      <c r="I63" s="691">
        <f t="shared" si="18"/>
        <v>45200</v>
      </c>
      <c r="J63" s="691">
        <f t="shared" si="18"/>
        <v>45108</v>
      </c>
      <c r="K63" s="691">
        <f t="shared" si="18"/>
        <v>45017</v>
      </c>
      <c r="L63" s="691">
        <f t="shared" si="18"/>
        <v>44927</v>
      </c>
      <c r="M63" s="691">
        <f t="shared" si="18"/>
        <v>44835</v>
      </c>
      <c r="N63" s="691">
        <f t="shared" si="18"/>
        <v>44743</v>
      </c>
      <c r="O63" s="691">
        <f t="shared" si="18"/>
        <v>44652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70" t="s">
        <v>2084</v>
      </c>
      <c r="D1" s="3771"/>
      <c r="E1" s="3771"/>
      <c r="F1" s="3771"/>
      <c r="G1" s="3771"/>
      <c r="H1" s="3771"/>
      <c r="I1" s="3771"/>
      <c r="J1" s="3771"/>
      <c r="K1" s="3771"/>
      <c r="L1" s="3771"/>
      <c r="M1" s="3771"/>
      <c r="N1" s="3771"/>
      <c r="O1" s="3771"/>
      <c r="P1" s="3771"/>
      <c r="Q1" s="3771"/>
      <c r="R1" s="3771"/>
      <c r="S1" s="3772"/>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7" t="s">
        <v>27</v>
      </c>
      <c r="D22" s="3768"/>
      <c r="E22" s="3768"/>
      <c r="F22" s="3768"/>
      <c r="G22" s="3768"/>
      <c r="H22" s="3768"/>
      <c r="I22" s="3768"/>
      <c r="J22" s="3768"/>
      <c r="K22" s="3768"/>
      <c r="L22" s="3768"/>
      <c r="M22" s="3768"/>
      <c r="N22" s="3768"/>
      <c r="O22" s="3768"/>
      <c r="P22" s="3768"/>
      <c r="Q22" s="376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43746</v>
      </c>
      <c r="C2" s="2144" t="s">
        <v>2074</v>
      </c>
      <c r="D2" s="2144" t="s">
        <v>2075</v>
      </c>
      <c r="E2" s="2611">
        <f ca="1">SUMIF(E6:E13,"&lt;&gt;#ref!",E6:E13)</f>
        <v>41959.05</v>
      </c>
      <c r="F2" s="2792"/>
      <c r="G2" s="2792"/>
      <c r="H2" s="2792"/>
      <c r="I2" s="2792"/>
      <c r="J2" s="2792"/>
      <c r="K2" s="2792"/>
      <c r="L2" s="2792"/>
      <c r="M2" s="2792"/>
      <c r="N2" s="2792"/>
      <c r="O2" s="2792"/>
      <c r="P2" s="2792"/>
    </row>
    <row r="3" spans="1:16" ht="15.75">
      <c r="A3" s="2144" t="s">
        <v>2076</v>
      </c>
      <c r="B3" s="2601">
        <f ca="1">ROUND(B2*10000/E2,0)</f>
        <v>10426</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43746</v>
      </c>
      <c r="C6" s="2144" t="s">
        <v>2074</v>
      </c>
      <c r="D6" s="2792"/>
      <c r="E6" s="2611">
        <f ca="1">SUMIF(INDIRECT("'"&amp;A6&amp;"'"&amp;"!C:C"),"建筑面积",INDIRECT("'"&amp;A6&amp;"'"&amp;"!D:D"))</f>
        <v>41959.05</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N43" sqref="N4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41959.05</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43746</v>
      </c>
      <c r="C2" s="1998" t="s">
        <v>1935</v>
      </c>
      <c r="D2" s="1999" t="s">
        <v>1936</v>
      </c>
      <c r="E2" s="3421" t="s">
        <v>3407</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Ⅱ—05</v>
      </c>
      <c r="J2" s="2001"/>
      <c r="K2" s="1118"/>
      <c r="L2" s="2002" t="s">
        <v>1939</v>
      </c>
      <c r="M2" s="863">
        <f>SUMPRODUCT((区片价!B10:B29=I2)*(区片价!C3:G3=E2)*(区片价!C10:G29))</f>
        <v>21480</v>
      </c>
      <c r="N2" s="865">
        <f>SUMPRODUCT((因素修正幅度!B10:B29=I2)*(因素修正幅度!C3:G3=E2)*(因素修正幅度!C10:G29))</f>
        <v>9.8000000000000004E-2</v>
      </c>
      <c r="O2" s="1118"/>
      <c r="P2" s="1118"/>
      <c r="Q2" s="1118"/>
      <c r="R2" s="1211">
        <v>1</v>
      </c>
      <c r="S2" s="3360">
        <f>ROUND(SUMPRODUCT((B106:B110=R2)*(C105:N105=G2)*(C106:N110)),4)</f>
        <v>1.5206</v>
      </c>
      <c r="T2" s="3360">
        <f t="shared" ref="T2:T16" si="0">ROUND($C$5*$C$22*$C$23*$C$24*S2*$C$28,0)</f>
        <v>26100</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10426</v>
      </c>
      <c r="C3" s="1998" t="s">
        <v>1941</v>
      </c>
      <c r="D3" s="1999" t="s">
        <v>1942</v>
      </c>
      <c r="E3" s="3419" t="s">
        <v>2456</v>
      </c>
      <c r="F3" s="2003" t="s">
        <v>3431</v>
      </c>
      <c r="G3" s="751">
        <f>IF(F3="宗地容积率",'数据-汇总表'!I4,IF(F3="估价对象容积率",'数据-汇总表'!I6,'数据-汇总表'!I7))</f>
        <v>3.18</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20721</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80"/>
      <c r="B4" s="3781"/>
      <c r="C4" s="3781"/>
      <c r="D4" s="3782"/>
      <c r="E4" s="3782"/>
      <c r="F4" s="3782"/>
      <c r="G4" s="3782"/>
      <c r="H4" s="3782"/>
      <c r="I4" s="3782"/>
      <c r="J4" s="378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17904</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21456</v>
      </c>
      <c r="D5" s="1338">
        <f>ROUND(C6*C17+C20,0)</f>
        <v>21456</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16201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21480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15441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二级</v>
      </c>
      <c r="Y7" s="1213" t="s">
        <v>1956</v>
      </c>
      <c r="Z7" s="1214">
        <f>G3</f>
        <v>3.18</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77" t="s">
        <v>1960</v>
      </c>
      <c r="X8" s="377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4" t="s">
        <v>3254</v>
      </c>
      <c r="B20" s="166" t="s">
        <v>1994</v>
      </c>
      <c r="C20" s="3324">
        <f>ROUND(IF(F21="与级别开发程度一致",0,(G21-E21)/C21),0)</f>
        <v>-24</v>
      </c>
      <c r="D20" s="3340" t="s">
        <v>1998</v>
      </c>
      <c r="E20" s="3341"/>
      <c r="F20" s="3790" t="s">
        <v>1995</v>
      </c>
      <c r="G20" s="3791"/>
      <c r="H20" s="3325" t="s">
        <v>3432</v>
      </c>
      <c r="I20" s="3325" t="s">
        <v>3433</v>
      </c>
      <c r="J20" s="3326" t="s">
        <v>3435</v>
      </c>
      <c r="K20" s="2046" t="s">
        <v>3434</v>
      </c>
      <c r="L20" s="2046" t="s">
        <v>3436</v>
      </c>
      <c r="M20" s="2046" t="s">
        <v>3438</v>
      </c>
      <c r="N20" s="2046" t="s">
        <v>3437</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85"/>
      <c r="B21" s="2163" t="s">
        <v>1997</v>
      </c>
      <c r="C21" s="2164">
        <f>IF(E3="M4科研用地",SUMPRODUCT((修正!A2:A7=E3)*(修正!B1:M1=G2)*(修正!B2:M7)),SUMPRODUCT((修正!A2:A7=E2)*(修正!B1:M1=G2)*(修正!B2:M7)))</f>
        <v>2.5</v>
      </c>
      <c r="D21" s="186" t="str">
        <f>IF(OR(G2="八级",G2="九级",G2="十级",G2="十一级",G2="十二级"),"五通一平","七通一平")</f>
        <v>七通一平</v>
      </c>
      <c r="E21" s="2154">
        <f>SUMPRODUCT((修正!B1:M1=G2)*(修正!B17:M17))</f>
        <v>375</v>
      </c>
      <c r="F21" s="2155"/>
      <c r="G21" s="2156">
        <f>SUM(H21:O21)</f>
        <v>315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50</v>
      </c>
      <c r="N21" s="2164">
        <f>SUMPRODUCT((七通一平=N20)*(修正!B1:M1=G2)*(修正!B8:M16))</f>
        <v>20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2053" t="s">
        <v>2002</v>
      </c>
      <c r="E23" s="760">
        <v>44197</v>
      </c>
      <c r="F23" s="2053" t="s">
        <v>2003</v>
      </c>
      <c r="G23" s="761">
        <f>'数据-取费表'!B2</f>
        <v>45754</v>
      </c>
      <c r="H23" s="3342" t="s">
        <v>3256</v>
      </c>
      <c r="I23" s="3343" t="str">
        <f>IF(H23="季度增幅（自定义）",SUMIF(N25:N28,E2,O25:O28),"")</f>
        <v/>
      </c>
      <c r="J23" s="3445" t="s">
        <v>3255</v>
      </c>
      <c r="K23" s="1124"/>
      <c r="L23" s="2054" t="s">
        <v>2004</v>
      </c>
      <c r="M23" s="1327">
        <f>ROUND(SUMIF(地价!B2:G2,E2,地价!B16:G16),0)</f>
        <v>0</v>
      </c>
      <c r="N23" s="2055" t="s">
        <v>2005</v>
      </c>
      <c r="O23" s="762">
        <f>ROUNDDOWN(DATEDIF(E23,G23,"M")/3,0)</f>
        <v>17</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0.97370000000000001</v>
      </c>
      <c r="D24" s="2059" t="s">
        <v>2007</v>
      </c>
      <c r="E24" s="1334">
        <f>存贷款利率!E27/100</f>
        <v>4.3499999999999997E-2</v>
      </c>
      <c r="F24" s="2059" t="s">
        <v>1999</v>
      </c>
      <c r="G24" s="767">
        <f>SUMIF(M30:Q30,E2,M33:Q33)</f>
        <v>0.05</v>
      </c>
      <c r="H24" s="2059" t="s">
        <v>2008</v>
      </c>
      <c r="I24" s="768">
        <f>SUMIF('数据-取费表'!C6:C15,E2,'数据-取费表'!F6:F15)/COUNTIF('数据-取费表'!C6:C15,E2)</f>
        <v>45.01</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3335</v>
      </c>
      <c r="C25" s="770">
        <f>IF(B25="容积率修正",IF(G3&lt;10,D26,J26),C27)</f>
        <v>0.96020000000000005</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3257</v>
      </c>
      <c r="D26" s="1351">
        <f>IF(E26=G26,F26,IF(G3&lt;10,ROUND(F26+(H26-F26)*(G3-E26)/(G26-E26),4),"——"))</f>
        <v>0.96020000000000005</v>
      </c>
      <c r="E26" s="751">
        <f>ROUNDDOWN(G3,1)</f>
        <v>3.1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0.96389999999999998</v>
      </c>
      <c r="G26" s="751">
        <f>ROUNDUP(G3,1)</f>
        <v>3.2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0.95930000000000004</v>
      </c>
      <c r="I26" s="3344" t="s">
        <v>3258</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1.036</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43746</v>
      </c>
      <c r="D30" s="2082"/>
      <c r="E30" s="2045"/>
      <c r="F30" s="2083"/>
      <c r="G30" s="2045"/>
      <c r="H30" s="2045"/>
      <c r="I30" s="2045"/>
      <c r="J30" s="2084"/>
      <c r="K30" s="1118"/>
      <c r="L30" s="3350" t="s">
        <v>1936</v>
      </c>
      <c r="M30" s="3351" t="s">
        <v>1990</v>
      </c>
      <c r="N30" s="3351" t="s">
        <v>1991</v>
      </c>
      <c r="O30" s="3351" t="s">
        <v>1992</v>
      </c>
      <c r="P30" s="3351" t="s">
        <v>1993</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2245</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16481</v>
      </c>
      <c r="D33" s="2097">
        <f>'数据-汇总表'!F19</f>
        <v>21093.46</v>
      </c>
      <c r="E33" s="772">
        <f>ROUND(C33*D33/10000,0)</f>
        <v>34764</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4120</v>
      </c>
      <c r="D34" s="2102"/>
      <c r="E34" s="772">
        <f>ROUND(IF(B25="楼层修正",SUM(V2:V16)*M40,C34*D34/10000),0)</f>
        <v>0</v>
      </c>
      <c r="F34" s="2103" t="s">
        <v>2032</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3261</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8"/>
      <c r="B37" s="2112" t="s">
        <v>2036</v>
      </c>
      <c r="C37" s="174">
        <f>ROUND(D5*C22*C23*C24*C28*F37,0)</f>
        <v>12015</v>
      </c>
      <c r="D37" s="2097"/>
      <c r="E37" s="170">
        <f>ROUND(C37*D37/10000,0)</f>
        <v>0</v>
      </c>
      <c r="F37" s="170">
        <f>SUMIF(修正!A57:A68,G2,修正!B57:B68)</f>
        <v>0.7</v>
      </c>
      <c r="G37" s="170">
        <f>ROUND(IF(E2="工业",C37*$M$42,C37*$M$41),0)</f>
        <v>3004</v>
      </c>
      <c r="H37" s="170">
        <f>D37</f>
        <v>0</v>
      </c>
      <c r="I37" s="170">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9"/>
      <c r="B38" s="2040" t="s">
        <v>2037</v>
      </c>
      <c r="C38" s="174">
        <f>ROUND(D5*C22*C23*C24*C28*F38,0)</f>
        <v>6866</v>
      </c>
      <c r="D38" s="2097"/>
      <c r="E38" s="170">
        <f t="shared" ref="E38:E42" si="4">ROUND(C38*D38/10000,0)</f>
        <v>0</v>
      </c>
      <c r="F38" s="170">
        <f>SUMIF(修正!A57:A68,G2,修正!C57:C68)</f>
        <v>0.4</v>
      </c>
      <c r="G38" s="170">
        <f>ROUND(IF(E2="工业",C38*$M$42,C38*$M$41),0)</f>
        <v>1717</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9"/>
      <c r="B39" s="2040" t="s">
        <v>3259</v>
      </c>
      <c r="C39" s="174">
        <f>ROUND(D5*C22*C23*C24*C28*F39,0)</f>
        <v>5149</v>
      </c>
      <c r="D39" s="2097"/>
      <c r="E39" s="170">
        <f t="shared" si="4"/>
        <v>0</v>
      </c>
      <c r="F39" s="170">
        <f>SUMIF(修正!A57:A68,G2,修正!D57:D68)</f>
        <v>0.3</v>
      </c>
      <c r="G39" s="170">
        <f>ROUND(IF(E2="工业",C39*$M$42,C39*$M$41),0)</f>
        <v>1287</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5149</v>
      </c>
      <c r="D40" s="2097">
        <f>'数据-汇总表'!G19</f>
        <v>10595.380000000001</v>
      </c>
      <c r="E40" s="170">
        <f t="shared" si="4"/>
        <v>5456</v>
      </c>
      <c r="F40" s="174">
        <f>SUMIF(修正!A57:A68,G2,修正!E57:E68)</f>
        <v>0.3</v>
      </c>
      <c r="G40" s="170">
        <f>ROUND(IF(E2="工业",C40*$M$42,C40*$M$41),0)</f>
        <v>1287</v>
      </c>
      <c r="H40" s="170">
        <f t="shared" si="5"/>
        <v>10595.380000000001</v>
      </c>
      <c r="I40" s="170">
        <f t="shared" si="6"/>
        <v>1364</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5149</v>
      </c>
      <c r="D41" s="2097"/>
      <c r="E41" s="170">
        <f t="shared" si="4"/>
        <v>0</v>
      </c>
      <c r="F41" s="174">
        <f>SUMIF(修正!A57:A68,G2,修正!F57:F68)</f>
        <v>0.3</v>
      </c>
      <c r="G41" s="170">
        <f>ROUND(IF(E2="工业",C41*$M$42,C41*$M$41),0)</f>
        <v>1287</v>
      </c>
      <c r="H41" s="170">
        <f t="shared" si="5"/>
        <v>0</v>
      </c>
      <c r="I41" s="170">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3433</v>
      </c>
      <c r="D42" s="2102">
        <f>'数据-汇总表'!G20</f>
        <v>10270.209999999999</v>
      </c>
      <c r="E42" s="186">
        <f t="shared" si="4"/>
        <v>3526</v>
      </c>
      <c r="F42" s="766">
        <f>SUMIF(修正!A57:A68,G2,修正!G57:G68)</f>
        <v>0.2</v>
      </c>
      <c r="G42" s="186">
        <f>ROUND(IF(E2="工业",C42*$M$42,C42*$M$41),0)</f>
        <v>858</v>
      </c>
      <c r="H42" s="186">
        <f t="shared" si="5"/>
        <v>10270.209999999999</v>
      </c>
      <c r="I42" s="186">
        <f t="shared" si="6"/>
        <v>881</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0.97370000000000001</v>
      </c>
      <c r="D44" s="170" t="s">
        <v>1999</v>
      </c>
      <c r="E44" s="2152">
        <f>G24</f>
        <v>0.05</v>
      </c>
      <c r="F44" s="170" t="s">
        <v>2008</v>
      </c>
      <c r="G44" s="182">
        <f>I24</f>
        <v>45.01</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3270</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2612</v>
      </c>
      <c r="B91" s="3377">
        <f>1+E93</f>
        <v>1.036</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3439</v>
      </c>
      <c r="D93" s="3365">
        <f>SUMIF($J$92:$N$92,C93,J93:N93)</f>
        <v>0</v>
      </c>
      <c r="E93" s="3381">
        <f>ROUND(SUM(D93:D101),4)</f>
        <v>3.5999999999999997E-2</v>
      </c>
      <c r="F93" s="1813">
        <f>IF(E2="公共服务",SUMIF(L1:L12,G2,N1:N12),"——")</f>
        <v>9.8000000000000004E-2</v>
      </c>
      <c r="G93" s="3372">
        <v>1.2200000000000001E-2</v>
      </c>
      <c r="H93" s="3420">
        <f>IFERROR(ROUNDDOWN($F$93*I93/2,4),"——")</f>
        <v>1.2200000000000001E-2</v>
      </c>
      <c r="I93" s="3366">
        <v>0.25</v>
      </c>
      <c r="J93" s="3344">
        <f t="shared" ref="J93:J101" si="27">K93+$G93</f>
        <v>2.4400000000000002E-2</v>
      </c>
      <c r="K93" s="3344">
        <f t="shared" ref="K93:K101" si="28">$L93+$G93</f>
        <v>1.2200000000000001E-2</v>
      </c>
      <c r="L93" s="3344">
        <v>0</v>
      </c>
      <c r="M93" s="3344">
        <f t="shared" ref="M93:N101" si="29">L93-$G93</f>
        <v>-1.2200000000000001E-2</v>
      </c>
      <c r="N93" s="3344">
        <f t="shared" si="29"/>
        <v>-2.4400000000000002E-2</v>
      </c>
    </row>
    <row r="94" spans="1:37" ht="38.25">
      <c r="A94" s="3378" t="s">
        <v>3273</v>
      </c>
      <c r="B94" s="3369" t="str">
        <f>估价对象房地状况!C18</f>
        <v>估价对象周边道路状况、公共交通通达情况、停车便捷程度，综合评价交通便捷度较好</v>
      </c>
      <c r="C94" s="2043" t="s">
        <v>3440</v>
      </c>
      <c r="D94" s="3365">
        <f t="shared" ref="D94:D101" si="30">SUMIF($J$60:$N$60,C94,J94:N94)</f>
        <v>1.2699999999999999E-2</v>
      </c>
      <c r="E94" s="3382"/>
      <c r="F94" s="1813"/>
      <c r="G94" s="3372">
        <v>1.2699999999999999E-2</v>
      </c>
      <c r="H94" s="3420">
        <f>IFERROR(ROUNDDOWN($F$93*I94/2,4),"——")</f>
        <v>1.2699999999999999E-2</v>
      </c>
      <c r="I94" s="3366">
        <v>0.26</v>
      </c>
      <c r="J94" s="3344">
        <f t="shared" si="27"/>
        <v>2.5399999999999999E-2</v>
      </c>
      <c r="K94" s="3344">
        <f t="shared" si="28"/>
        <v>1.2699999999999999E-2</v>
      </c>
      <c r="L94" s="3344">
        <v>0</v>
      </c>
      <c r="M94" s="3344">
        <f t="shared" si="29"/>
        <v>-1.2699999999999999E-2</v>
      </c>
      <c r="N94" s="3344">
        <f t="shared" si="29"/>
        <v>-2.5399999999999999E-2</v>
      </c>
    </row>
    <row r="95" spans="1:37" ht="36">
      <c r="A95" s="3368" t="s">
        <v>3269</v>
      </c>
      <c r="B95" s="3369">
        <f>估价对象房地状况!C19</f>
        <v>0</v>
      </c>
      <c r="C95" s="2043" t="s">
        <v>3439</v>
      </c>
      <c r="D95" s="3365">
        <f t="shared" si="30"/>
        <v>0</v>
      </c>
      <c r="E95" s="3382"/>
      <c r="F95" s="1813"/>
      <c r="G95" s="3372">
        <v>5.3E-3</v>
      </c>
      <c r="H95" s="3420">
        <f t="shared" ref="H95:H101" si="31">IFERROR(ROUNDDOWN($F$93*I95/2,4),"——")</f>
        <v>5.3E-3</v>
      </c>
      <c r="I95" s="3366">
        <v>0.11</v>
      </c>
      <c r="J95" s="3344">
        <f t="shared" si="27"/>
        <v>1.06E-2</v>
      </c>
      <c r="K95" s="3344">
        <f t="shared" si="28"/>
        <v>5.3E-3</v>
      </c>
      <c r="L95" s="3344">
        <v>0</v>
      </c>
      <c r="M95" s="3344">
        <f t="shared" si="29"/>
        <v>-5.3E-3</v>
      </c>
      <c r="N95" s="3344">
        <f t="shared" si="29"/>
        <v>-1.06E-2</v>
      </c>
    </row>
    <row r="96" spans="1:37" ht="36.75">
      <c r="A96" s="3378" t="s">
        <v>3274</v>
      </c>
      <c r="B96" s="3384" t="s">
        <v>3285</v>
      </c>
      <c r="C96" s="2043" t="s">
        <v>3440</v>
      </c>
      <c r="D96" s="3365">
        <f t="shared" si="30"/>
        <v>2.3999999999999998E-3</v>
      </c>
      <c r="E96" s="3382"/>
      <c r="F96" s="1813"/>
      <c r="G96" s="3372">
        <v>2.3999999999999998E-3</v>
      </c>
      <c r="H96" s="3420">
        <f t="shared" si="31"/>
        <v>2.3999999999999998E-3</v>
      </c>
      <c r="I96" s="3366">
        <v>0.05</v>
      </c>
      <c r="J96" s="3344">
        <f t="shared" si="27"/>
        <v>4.7999999999999996E-3</v>
      </c>
      <c r="K96" s="3344">
        <f t="shared" si="28"/>
        <v>2.3999999999999998E-3</v>
      </c>
      <c r="L96" s="3344">
        <v>0</v>
      </c>
      <c r="M96" s="3344">
        <f t="shared" si="29"/>
        <v>-2.3999999999999998E-3</v>
      </c>
      <c r="N96" s="3344">
        <f t="shared" si="29"/>
        <v>-4.7999999999999996E-3</v>
      </c>
    </row>
    <row r="97" spans="1:14" ht="24">
      <c r="A97" s="3378" t="s">
        <v>3275</v>
      </c>
      <c r="B97" s="3369">
        <f>估价对象房地状况!C24</f>
        <v>0</v>
      </c>
      <c r="C97" s="2043" t="s">
        <v>3439</v>
      </c>
      <c r="D97" s="3365">
        <f t="shared" si="30"/>
        <v>0</v>
      </c>
      <c r="E97" s="3382"/>
      <c r="F97" s="1813"/>
      <c r="G97" s="3372">
        <v>2.3999999999999998E-3</v>
      </c>
      <c r="H97" s="3420">
        <f t="shared" si="31"/>
        <v>2.3999999999999998E-3</v>
      </c>
      <c r="I97" s="3366">
        <v>0.05</v>
      </c>
      <c r="J97" s="3344">
        <f t="shared" si="27"/>
        <v>4.7999999999999996E-3</v>
      </c>
      <c r="K97" s="3344">
        <f t="shared" si="28"/>
        <v>2.3999999999999998E-3</v>
      </c>
      <c r="L97" s="3344">
        <v>0</v>
      </c>
      <c r="M97" s="3344">
        <f t="shared" si="29"/>
        <v>-2.3999999999999998E-3</v>
      </c>
      <c r="N97" s="3344">
        <f t="shared" si="29"/>
        <v>-4.7999999999999996E-3</v>
      </c>
    </row>
    <row r="98" spans="1:14" ht="24">
      <c r="A98" s="3378" t="s">
        <v>3276</v>
      </c>
      <c r="B98" s="3385" t="s">
        <v>3286</v>
      </c>
      <c r="C98" s="2043" t="s">
        <v>3440</v>
      </c>
      <c r="D98" s="3365">
        <f t="shared" si="30"/>
        <v>2.8999999999999998E-3</v>
      </c>
      <c r="E98" s="3382"/>
      <c r="F98" s="1813"/>
      <c r="G98" s="3372">
        <v>2.8999999999999998E-3</v>
      </c>
      <c r="H98" s="3420">
        <f t="shared" si="31"/>
        <v>2.8999999999999998E-3</v>
      </c>
      <c r="I98" s="3366">
        <v>0.06</v>
      </c>
      <c r="J98" s="3344">
        <f t="shared" si="27"/>
        <v>5.7999999999999996E-3</v>
      </c>
      <c r="K98" s="3344">
        <f t="shared" si="28"/>
        <v>2.8999999999999998E-3</v>
      </c>
      <c r="L98" s="3344">
        <v>0</v>
      </c>
      <c r="M98" s="3344">
        <f t="shared" si="29"/>
        <v>-2.8999999999999998E-3</v>
      </c>
      <c r="N98" s="3344">
        <f t="shared" si="29"/>
        <v>-5.7999999999999996E-3</v>
      </c>
    </row>
    <row r="99" spans="1:14" ht="25.5">
      <c r="A99" s="3378" t="s">
        <v>3277</v>
      </c>
      <c r="B99" s="3369" t="str">
        <f>估价对象房地状况!C21</f>
        <v>估价对象所在区域公共配套设施齐备情况</v>
      </c>
      <c r="C99" s="2043" t="s">
        <v>3441</v>
      </c>
      <c r="D99" s="3365">
        <f t="shared" si="30"/>
        <v>5.7999999999999996E-3</v>
      </c>
      <c r="E99" s="3382"/>
      <c r="F99" s="1813"/>
      <c r="G99" s="3372">
        <v>2.8999999999999998E-3</v>
      </c>
      <c r="H99" s="3420">
        <f t="shared" si="31"/>
        <v>2.8999999999999998E-3</v>
      </c>
      <c r="I99" s="3366">
        <v>0.06</v>
      </c>
      <c r="J99" s="3344">
        <f t="shared" si="27"/>
        <v>5.7999999999999996E-3</v>
      </c>
      <c r="K99" s="3344">
        <f t="shared" si="28"/>
        <v>2.8999999999999998E-3</v>
      </c>
      <c r="L99" s="3344">
        <v>0</v>
      </c>
      <c r="M99" s="3344">
        <f t="shared" si="29"/>
        <v>-2.8999999999999998E-3</v>
      </c>
      <c r="N99" s="3344">
        <f t="shared" si="29"/>
        <v>-5.7999999999999996E-3</v>
      </c>
    </row>
    <row r="100" spans="1:14" ht="25.5">
      <c r="A100" s="3378" t="s">
        <v>3278</v>
      </c>
      <c r="B100" s="3369" t="str">
        <f>估价对象房地状况!C22</f>
        <v>估价对象所在区域基础设施水平</v>
      </c>
      <c r="C100" s="2043" t="s">
        <v>3441</v>
      </c>
      <c r="D100" s="3365">
        <f t="shared" si="30"/>
        <v>8.8000000000000005E-3</v>
      </c>
      <c r="E100" s="3382"/>
      <c r="F100" s="1813"/>
      <c r="G100" s="3372">
        <v>4.4000000000000003E-3</v>
      </c>
      <c r="H100" s="3420">
        <f t="shared" si="31"/>
        <v>4.4000000000000003E-3</v>
      </c>
      <c r="I100" s="3366">
        <v>0.09</v>
      </c>
      <c r="J100" s="3344">
        <f t="shared" si="27"/>
        <v>8.8000000000000005E-3</v>
      </c>
      <c r="K100" s="3344">
        <f t="shared" si="28"/>
        <v>4.4000000000000003E-3</v>
      </c>
      <c r="L100" s="3344">
        <v>0</v>
      </c>
      <c r="M100" s="3344">
        <f t="shared" si="29"/>
        <v>-4.4000000000000003E-3</v>
      </c>
      <c r="N100" s="3344">
        <f t="shared" si="29"/>
        <v>-8.8000000000000005E-3</v>
      </c>
    </row>
    <row r="101" spans="1:14" ht="26.25" thickBot="1">
      <c r="A101" s="3379" t="s">
        <v>3279</v>
      </c>
      <c r="B101" s="3386" t="str">
        <f>估价对象房地状况!C20</f>
        <v>区域自然环境：；人文环境；综合评价环境状况一般</v>
      </c>
      <c r="C101" s="2043" t="s">
        <v>3440</v>
      </c>
      <c r="D101" s="3365">
        <f t="shared" si="30"/>
        <v>3.3999999999999998E-3</v>
      </c>
      <c r="E101" s="3383"/>
      <c r="F101" s="1813"/>
      <c r="G101" s="3372">
        <v>3.3999999999999998E-3</v>
      </c>
      <c r="H101" s="3420">
        <f t="shared" si="31"/>
        <v>3.3999999999999998E-3</v>
      </c>
      <c r="I101" s="3367">
        <v>7.0000000000000007E-2</v>
      </c>
      <c r="J101" s="3344">
        <f t="shared" si="27"/>
        <v>6.7999999999999996E-3</v>
      </c>
      <c r="K101" s="3344">
        <f t="shared" si="28"/>
        <v>3.3999999999999998E-3</v>
      </c>
      <c r="L101" s="3344">
        <v>0</v>
      </c>
      <c r="M101" s="3344">
        <f t="shared" si="29"/>
        <v>-3.3999999999999998E-3</v>
      </c>
      <c r="N101" s="3344">
        <f t="shared" si="29"/>
        <v>-6.7999999999999996E-3</v>
      </c>
    </row>
    <row r="103" spans="1:14">
      <c r="A103" s="3786" t="s">
        <v>3294</v>
      </c>
      <c r="B103" s="3786"/>
      <c r="C103" s="3786"/>
      <c r="D103" s="3786"/>
      <c r="E103" s="3786"/>
      <c r="F103" s="3786"/>
      <c r="G103" s="3786"/>
      <c r="H103" s="3786"/>
      <c r="I103" s="3786"/>
      <c r="J103" s="3786"/>
      <c r="K103" s="3389"/>
      <c r="L103" s="3389"/>
      <c r="M103" s="3389"/>
      <c r="N103" s="3389"/>
    </row>
    <row r="104" spans="1:14">
      <c r="A104" s="3787" t="s">
        <v>3295</v>
      </c>
      <c r="B104" s="3787" t="s">
        <v>3296</v>
      </c>
      <c r="C104" s="3390" t="s">
        <v>3297</v>
      </c>
      <c r="D104" s="3391"/>
      <c r="E104" s="3391"/>
      <c r="F104" s="3391"/>
      <c r="G104" s="3391"/>
      <c r="H104" s="3391"/>
      <c r="I104" s="3391"/>
      <c r="J104" s="3392"/>
      <c r="K104" s="3393"/>
      <c r="L104" s="3393"/>
      <c r="M104" s="3393"/>
      <c r="N104" s="3393"/>
    </row>
    <row r="105" spans="1:14">
      <c r="A105" s="3787"/>
      <c r="B105" s="378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7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4"/>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6" t="s">
        <v>3311</v>
      </c>
      <c r="B113" s="3776"/>
      <c r="C113" s="3776"/>
      <c r="D113" s="3776"/>
      <c r="E113" s="3776"/>
      <c r="F113" s="3776"/>
      <c r="G113" s="3776"/>
      <c r="H113" s="3776"/>
      <c r="I113" s="3776"/>
      <c r="J113" s="377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3.18</v>
      </c>
      <c r="C116" s="3399" t="s">
        <v>3313</v>
      </c>
      <c r="D116" s="3400">
        <f>SUMPRODUCT((A118:A122=F116)*(B117:M117=H116)*B118:M122)</f>
        <v>0.90669999999999995</v>
      </c>
      <c r="E116" s="1999" t="s">
        <v>3314</v>
      </c>
      <c r="F116" s="3401" t="str">
        <f>E2</f>
        <v>公共服务</v>
      </c>
      <c r="G116" s="1999" t="s">
        <v>3315</v>
      </c>
      <c r="H116" s="3401" t="str">
        <f>G2</f>
        <v>二级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0.96179999999999999</v>
      </c>
      <c r="C118" s="3387">
        <f>B118</f>
        <v>0.96179999999999999</v>
      </c>
      <c r="D118" s="3387">
        <f>ROUND(0.949-0.014*B116,4)</f>
        <v>0.90449999999999997</v>
      </c>
      <c r="E118" s="3387">
        <f>D118</f>
        <v>0.90449999999999997</v>
      </c>
      <c r="F118" s="3387">
        <f>E118</f>
        <v>0.90449999999999997</v>
      </c>
      <c r="G118" s="3387">
        <f>F118</f>
        <v>0.90449999999999997</v>
      </c>
      <c r="H118" s="3387">
        <f>G118</f>
        <v>0.90449999999999997</v>
      </c>
      <c r="I118" s="3387">
        <f>ROUND(0.8486-0.018*B116,4)</f>
        <v>0.79139999999999999</v>
      </c>
      <c r="J118" s="3387">
        <f t="shared" ref="J118:M122" si="35">I118</f>
        <v>0.79139999999999999</v>
      </c>
      <c r="K118" s="3387">
        <f t="shared" si="35"/>
        <v>0.79139999999999999</v>
      </c>
      <c r="L118" s="3387">
        <f t="shared" si="35"/>
        <v>0.79139999999999999</v>
      </c>
      <c r="M118" s="3410">
        <f t="shared" si="35"/>
        <v>0.79139999999999999</v>
      </c>
      <c r="N118" s="3397"/>
    </row>
    <row r="119" spans="1:14">
      <c r="A119" s="3409" t="s">
        <v>3329</v>
      </c>
      <c r="B119" s="3387">
        <f>ROUND(0.993-0.0112*B116,4)</f>
        <v>0.95740000000000003</v>
      </c>
      <c r="C119" s="3387">
        <f>B119</f>
        <v>0.95740000000000003</v>
      </c>
      <c r="D119" s="3387">
        <f>ROUND(0.9415-0.0142*B116,4)</f>
        <v>0.89629999999999999</v>
      </c>
      <c r="E119" s="3387">
        <f t="shared" ref="E119:H120" si="36">D119</f>
        <v>0.89629999999999999</v>
      </c>
      <c r="F119" s="3387">
        <f t="shared" si="36"/>
        <v>0.89629999999999999</v>
      </c>
      <c r="G119" s="3387">
        <f t="shared" si="36"/>
        <v>0.89629999999999999</v>
      </c>
      <c r="H119" s="3387">
        <f t="shared" si="36"/>
        <v>0.89629999999999999</v>
      </c>
      <c r="I119" s="3387">
        <f>ROUND(0.838-0.0182*B116,4)</f>
        <v>0.78010000000000002</v>
      </c>
      <c r="J119" s="3387">
        <f t="shared" si="35"/>
        <v>0.78010000000000002</v>
      </c>
      <c r="K119" s="3387">
        <f t="shared" si="35"/>
        <v>0.78010000000000002</v>
      </c>
      <c r="L119" s="3387">
        <f t="shared" si="35"/>
        <v>0.78010000000000002</v>
      </c>
      <c r="M119" s="3410">
        <f t="shared" si="35"/>
        <v>0.78010000000000002</v>
      </c>
      <c r="N119" s="3397"/>
    </row>
    <row r="120" spans="1:14">
      <c r="A120" s="3409" t="s">
        <v>3330</v>
      </c>
      <c r="B120" s="3387">
        <f>ROUND(0.9448-0.0115*B116,4)</f>
        <v>0.90820000000000001</v>
      </c>
      <c r="C120" s="3387">
        <f>B120</f>
        <v>0.90820000000000001</v>
      </c>
      <c r="D120" s="3387">
        <f>ROUND(0.937-0.0145*B116,4)</f>
        <v>0.89090000000000003</v>
      </c>
      <c r="E120" s="3387">
        <f t="shared" si="36"/>
        <v>0.89090000000000003</v>
      </c>
      <c r="F120" s="3387">
        <f t="shared" si="36"/>
        <v>0.89090000000000003</v>
      </c>
      <c r="G120" s="3387">
        <f t="shared" si="36"/>
        <v>0.89090000000000003</v>
      </c>
      <c r="H120" s="3387">
        <f t="shared" si="36"/>
        <v>0.89090000000000003</v>
      </c>
      <c r="I120" s="3387">
        <f>ROUND(0.7965-0.0185*B116,4)</f>
        <v>0.73770000000000002</v>
      </c>
      <c r="J120" s="3387">
        <f t="shared" si="35"/>
        <v>0.73770000000000002</v>
      </c>
      <c r="K120" s="3387">
        <f t="shared" si="35"/>
        <v>0.73770000000000002</v>
      </c>
      <c r="L120" s="3387">
        <f t="shared" si="35"/>
        <v>0.73770000000000002</v>
      </c>
      <c r="M120" s="3410">
        <f t="shared" si="35"/>
        <v>0.73770000000000002</v>
      </c>
      <c r="N120" s="3397"/>
    </row>
    <row r="121" spans="1:14" ht="13.5" thickBot="1">
      <c r="A121" s="3411" t="s">
        <v>3331</v>
      </c>
      <c r="B121" s="3412">
        <f>ROUND(0.7836-0.012*B116,4)</f>
        <v>0.74539999999999995</v>
      </c>
      <c r="C121" s="3412">
        <f>B121</f>
        <v>0.74539999999999995</v>
      </c>
      <c r="D121" s="3412">
        <f>ROUND(0.753-0.015*B116,4)</f>
        <v>0.70530000000000004</v>
      </c>
      <c r="E121" s="3412">
        <f>D121</f>
        <v>0.70530000000000004</v>
      </c>
      <c r="F121" s="3412">
        <f>E121</f>
        <v>0.70530000000000004</v>
      </c>
      <c r="G121" s="3412">
        <f>ROUND(0.6612-0.018*B116,4)</f>
        <v>0.60399999999999998</v>
      </c>
      <c r="H121" s="3412">
        <f>G121</f>
        <v>0.60399999999999998</v>
      </c>
      <c r="I121" s="3412">
        <f>ROUND(0.5905-0.019*B116,4)</f>
        <v>0.53010000000000002</v>
      </c>
      <c r="J121" s="3412">
        <f t="shared" si="35"/>
        <v>0.53010000000000002</v>
      </c>
      <c r="K121" s="3412">
        <f t="shared" si="35"/>
        <v>0.53010000000000002</v>
      </c>
      <c r="L121" s="3412">
        <f t="shared" si="35"/>
        <v>0.53010000000000002</v>
      </c>
      <c r="M121" s="3413">
        <f t="shared" si="35"/>
        <v>0.53010000000000002</v>
      </c>
      <c r="N121" s="3397"/>
    </row>
    <row r="122" spans="1:14">
      <c r="A122" s="3414" t="s">
        <v>2612</v>
      </c>
      <c r="B122" s="3387">
        <f>ROUND(0.9404-0.0106*B116,4)</f>
        <v>0.90669999999999995</v>
      </c>
      <c r="C122" s="3387">
        <f>B122</f>
        <v>0.90669999999999995</v>
      </c>
      <c r="D122" s="3387">
        <f>ROUND(0.8955-0.0135*B116,4)</f>
        <v>0.85260000000000002</v>
      </c>
      <c r="E122" s="3387">
        <f t="shared" ref="E122:H122" si="37">D122</f>
        <v>0.85260000000000002</v>
      </c>
      <c r="F122" s="3387">
        <f t="shared" si="37"/>
        <v>0.85260000000000002</v>
      </c>
      <c r="G122" s="3387">
        <f t="shared" si="37"/>
        <v>0.85260000000000002</v>
      </c>
      <c r="H122" s="3387">
        <f t="shared" si="37"/>
        <v>0.85260000000000002</v>
      </c>
      <c r="I122" s="3387">
        <f>ROUND(0.7632-0.0166*B116,4)</f>
        <v>0.71040000000000003</v>
      </c>
      <c r="J122" s="3387">
        <f t="shared" si="35"/>
        <v>0.71040000000000003</v>
      </c>
      <c r="K122" s="3387">
        <f t="shared" si="35"/>
        <v>0.71040000000000003</v>
      </c>
      <c r="L122" s="3387">
        <f t="shared" si="35"/>
        <v>0.71040000000000003</v>
      </c>
      <c r="M122" s="3410">
        <f t="shared" si="35"/>
        <v>0.71040000000000003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99" t="s">
        <v>2607</v>
      </c>
      <c r="B20" s="3792" t="s">
        <v>2628</v>
      </c>
      <c r="C20" s="3102" t="s">
        <v>2439</v>
      </c>
      <c r="D20" s="3103"/>
      <c r="E20" s="3104">
        <v>1</v>
      </c>
      <c r="F20" s="3105" t="s">
        <v>2440</v>
      </c>
      <c r="G20" s="3105"/>
    </row>
    <row r="21" spans="1:13" ht="19.5" customHeight="1">
      <c r="A21" s="3800"/>
      <c r="B21" s="3793"/>
      <c r="C21" s="3106" t="s">
        <v>2441</v>
      </c>
      <c r="D21" s="3107"/>
      <c r="E21" s="3108">
        <v>1</v>
      </c>
      <c r="F21" s="3105" t="s">
        <v>2442</v>
      </c>
      <c r="G21" s="3105"/>
    </row>
    <row r="22" spans="1:13" ht="19.5" customHeight="1">
      <c r="A22" s="3800"/>
      <c r="B22" s="3793"/>
      <c r="C22" s="3106" t="s">
        <v>2443</v>
      </c>
      <c r="D22" s="3107"/>
      <c r="E22" s="3108">
        <v>0.9</v>
      </c>
      <c r="F22" s="3105" t="s">
        <v>2444</v>
      </c>
      <c r="G22" s="3105"/>
    </row>
    <row r="23" spans="1:13" ht="19.5" customHeight="1">
      <c r="A23" s="3800"/>
      <c r="B23" s="3793"/>
      <c r="C23" s="3106" t="s">
        <v>2445</v>
      </c>
      <c r="D23" s="3107"/>
      <c r="E23" s="3108">
        <v>0.9</v>
      </c>
      <c r="F23" s="3105" t="s">
        <v>2446</v>
      </c>
      <c r="G23" s="3105"/>
    </row>
    <row r="24" spans="1:13" ht="19.5" customHeight="1">
      <c r="A24" s="3800"/>
      <c r="B24" s="3793"/>
      <c r="C24" s="3106" t="s">
        <v>2447</v>
      </c>
      <c r="D24" s="3107"/>
      <c r="E24" s="3108">
        <v>0.8</v>
      </c>
      <c r="F24" s="3105" t="s">
        <v>2448</v>
      </c>
      <c r="G24" s="3105"/>
    </row>
    <row r="25" spans="1:13" ht="19.5" customHeight="1" thickBot="1">
      <c r="A25" s="3801"/>
      <c r="B25" s="3794"/>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95" t="s">
        <v>2631</v>
      </c>
      <c r="B27" s="3792" t="s">
        <v>2612</v>
      </c>
      <c r="C27" s="3102" t="s">
        <v>2452</v>
      </c>
      <c r="D27" s="3103"/>
      <c r="E27" s="3104">
        <v>1</v>
      </c>
      <c r="F27" s="3105" t="s">
        <v>2453</v>
      </c>
      <c r="G27" s="3105"/>
    </row>
    <row r="28" spans="1:13" ht="19.5" customHeight="1">
      <c r="A28" s="3796"/>
      <c r="B28" s="3793"/>
      <c r="C28" s="3106" t="s">
        <v>2454</v>
      </c>
      <c r="D28" s="3107"/>
      <c r="E28" s="3108">
        <v>1</v>
      </c>
      <c r="F28" s="3105" t="s">
        <v>2455</v>
      </c>
      <c r="G28" s="3105"/>
    </row>
    <row r="29" spans="1:13" ht="19.5" customHeight="1">
      <c r="A29" s="3796"/>
      <c r="B29" s="3793"/>
      <c r="C29" s="3106" t="s">
        <v>2456</v>
      </c>
      <c r="D29" s="3107"/>
      <c r="E29" s="3108">
        <v>0.8</v>
      </c>
      <c r="F29" s="3105" t="s">
        <v>2457</v>
      </c>
      <c r="G29" s="3105"/>
    </row>
    <row r="30" spans="1:13" ht="19.5" customHeight="1">
      <c r="A30" s="3796"/>
      <c r="B30" s="3793"/>
      <c r="C30" s="3106" t="s">
        <v>2458</v>
      </c>
      <c r="D30" s="3107"/>
      <c r="E30" s="3108">
        <v>0.8</v>
      </c>
      <c r="F30" s="3105" t="s">
        <v>2459</v>
      </c>
      <c r="G30" s="3105"/>
    </row>
    <row r="31" spans="1:13" ht="19.5" customHeight="1">
      <c r="A31" s="3796"/>
      <c r="B31" s="3793"/>
      <c r="C31" s="3106" t="s">
        <v>2460</v>
      </c>
      <c r="D31" s="3107"/>
      <c r="E31" s="3108">
        <v>0.8</v>
      </c>
      <c r="F31" s="3105" t="s">
        <v>2461</v>
      </c>
      <c r="G31" s="3105"/>
    </row>
    <row r="32" spans="1:13" ht="19.5" customHeight="1">
      <c r="A32" s="3796"/>
      <c r="B32" s="3793"/>
      <c r="C32" s="3106" t="s">
        <v>2462</v>
      </c>
      <c r="D32" s="3107"/>
      <c r="E32" s="3108">
        <v>0.7</v>
      </c>
      <c r="F32" s="3105" t="s">
        <v>2463</v>
      </c>
      <c r="G32" s="3105"/>
    </row>
    <row r="33" spans="1:7" ht="19.5" customHeight="1">
      <c r="A33" s="3796"/>
      <c r="B33" s="3793"/>
      <c r="C33" s="3106" t="s">
        <v>2464</v>
      </c>
      <c r="D33" s="3107"/>
      <c r="E33" s="3108">
        <v>0.8</v>
      </c>
      <c r="F33" s="3105" t="s">
        <v>2465</v>
      </c>
      <c r="G33" s="3105"/>
    </row>
    <row r="34" spans="1:7" ht="19.5" customHeight="1">
      <c r="A34" s="3796"/>
      <c r="B34" s="3793"/>
      <c r="C34" s="3106" t="s">
        <v>2466</v>
      </c>
      <c r="D34" s="3107"/>
      <c r="E34" s="3108">
        <v>0.6</v>
      </c>
      <c r="F34" s="3105" t="s">
        <v>2467</v>
      </c>
      <c r="G34" s="3105"/>
    </row>
    <row r="35" spans="1:7" ht="19.5" customHeight="1">
      <c r="A35" s="3796"/>
      <c r="B35" s="3793"/>
      <c r="C35" s="3106" t="s">
        <v>2468</v>
      </c>
      <c r="D35" s="3107"/>
      <c r="E35" s="3108">
        <v>0.2</v>
      </c>
      <c r="F35" s="3105" t="s">
        <v>2469</v>
      </c>
      <c r="G35" s="3105"/>
    </row>
    <row r="36" spans="1:7" ht="19.5" customHeight="1">
      <c r="A36" s="3796"/>
      <c r="B36" s="3793"/>
      <c r="C36" s="3106" t="s">
        <v>2470</v>
      </c>
      <c r="D36" s="3107"/>
      <c r="E36" s="3108">
        <v>0.2</v>
      </c>
      <c r="F36" s="3105" t="s">
        <v>2471</v>
      </c>
      <c r="G36" s="3105"/>
    </row>
    <row r="37" spans="1:7" ht="19.5" customHeight="1">
      <c r="A37" s="3796"/>
      <c r="B37" s="3798" t="s">
        <v>2632</v>
      </c>
      <c r="C37" s="3106" t="s">
        <v>2472</v>
      </c>
      <c r="D37" s="3107"/>
      <c r="E37" s="3108">
        <v>0.6</v>
      </c>
      <c r="F37" s="3105" t="s">
        <v>2473</v>
      </c>
      <c r="G37" s="3105"/>
    </row>
    <row r="38" spans="1:7" ht="19.5" customHeight="1">
      <c r="A38" s="3796"/>
      <c r="B38" s="3793"/>
      <c r="C38" s="3106" t="s">
        <v>2474</v>
      </c>
      <c r="D38" s="3107"/>
      <c r="E38" s="3108">
        <v>0.6</v>
      </c>
      <c r="F38" s="3105" t="s">
        <v>2475</v>
      </c>
      <c r="G38" s="3105"/>
    </row>
    <row r="39" spans="1:7" ht="19.5" customHeight="1" thickBot="1">
      <c r="A39" s="3797"/>
      <c r="B39" s="3794"/>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99" t="s">
        <v>2610</v>
      </c>
      <c r="B41" s="3792" t="s">
        <v>2634</v>
      </c>
      <c r="C41" s="3102" t="s">
        <v>2479</v>
      </c>
      <c r="D41" s="3103"/>
      <c r="E41" s="3104">
        <v>1</v>
      </c>
      <c r="F41" s="3105" t="s">
        <v>2480</v>
      </c>
      <c r="G41" s="3105"/>
    </row>
    <row r="42" spans="1:7" ht="19.5" customHeight="1">
      <c r="A42" s="3800"/>
      <c r="B42" s="3793"/>
      <c r="C42" s="3106" t="s">
        <v>2481</v>
      </c>
      <c r="D42" s="3107"/>
      <c r="E42" s="3108">
        <v>1</v>
      </c>
      <c r="F42" s="3105" t="s">
        <v>2482</v>
      </c>
      <c r="G42" s="3105"/>
    </row>
    <row r="43" spans="1:7" ht="19.5" customHeight="1">
      <c r="A43" s="3800"/>
      <c r="B43" s="3802"/>
      <c r="C43" s="3106" t="s">
        <v>2483</v>
      </c>
      <c r="D43" s="3107"/>
      <c r="E43" s="3108">
        <v>1.5</v>
      </c>
      <c r="F43" s="3105" t="s">
        <v>2484</v>
      </c>
      <c r="G43" s="3105"/>
    </row>
    <row r="44" spans="1:7" ht="19.5" customHeight="1">
      <c r="A44" s="3800"/>
      <c r="B44" s="3117" t="s">
        <v>2635</v>
      </c>
      <c r="C44" s="3106" t="s">
        <v>2636</v>
      </c>
      <c r="D44" s="3107"/>
      <c r="E44" s="3108">
        <v>2</v>
      </c>
      <c r="F44" s="3105" t="s">
        <v>2485</v>
      </c>
      <c r="G44" s="3105"/>
    </row>
    <row r="45" spans="1:7" ht="19.5" customHeight="1">
      <c r="A45" s="3800"/>
      <c r="B45" s="3798" t="s">
        <v>2637</v>
      </c>
      <c r="C45" s="3106" t="s">
        <v>2486</v>
      </c>
      <c r="D45" s="3107"/>
      <c r="E45" s="3108">
        <v>1</v>
      </c>
      <c r="F45" s="3105" t="s">
        <v>2487</v>
      </c>
      <c r="G45" s="3105"/>
    </row>
    <row r="46" spans="1:7" ht="19.5" customHeight="1">
      <c r="A46" s="3800"/>
      <c r="B46" s="3793"/>
      <c r="C46" s="3106" t="s">
        <v>2488</v>
      </c>
      <c r="D46" s="3107"/>
      <c r="E46" s="3108">
        <v>1</v>
      </c>
      <c r="F46" s="3105" t="s">
        <v>2489</v>
      </c>
      <c r="G46" s="3105"/>
    </row>
    <row r="47" spans="1:7" ht="19.5" customHeight="1">
      <c r="A47" s="3800"/>
      <c r="B47" s="3793"/>
      <c r="C47" s="3106" t="s">
        <v>2490</v>
      </c>
      <c r="D47" s="3107"/>
      <c r="E47" s="3108">
        <v>1</v>
      </c>
      <c r="F47" s="3105" t="s">
        <v>2491</v>
      </c>
      <c r="G47" s="3105"/>
    </row>
    <row r="48" spans="1:7" ht="19.5" customHeight="1">
      <c r="A48" s="3800"/>
      <c r="B48" s="3793"/>
      <c r="C48" s="3106" t="s">
        <v>2492</v>
      </c>
      <c r="D48" s="3107"/>
      <c r="E48" s="3108">
        <v>1</v>
      </c>
      <c r="F48" s="3105" t="s">
        <v>2493</v>
      </c>
      <c r="G48" s="3105"/>
    </row>
    <row r="49" spans="1:7" ht="19.5" customHeight="1">
      <c r="A49" s="3800"/>
      <c r="B49" s="3793"/>
      <c r="C49" s="3106" t="s">
        <v>2494</v>
      </c>
      <c r="D49" s="3107"/>
      <c r="E49" s="3108">
        <v>1</v>
      </c>
      <c r="F49" s="3105" t="s">
        <v>2495</v>
      </c>
      <c r="G49" s="3105"/>
    </row>
    <row r="50" spans="1:7" ht="19.5" customHeight="1">
      <c r="A50" s="3800"/>
      <c r="B50" s="3793"/>
      <c r="C50" s="3106" t="s">
        <v>2496</v>
      </c>
      <c r="D50" s="3107"/>
      <c r="E50" s="3108">
        <v>1</v>
      </c>
      <c r="F50" s="3105" t="s">
        <v>2497</v>
      </c>
      <c r="G50" s="3105"/>
    </row>
    <row r="51" spans="1:7" ht="19.5" customHeight="1" thickBot="1">
      <c r="A51" s="3801"/>
      <c r="B51" s="3794"/>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98" t="s">
        <v>2651</v>
      </c>
      <c r="C73" s="3091" t="s">
        <v>2652</v>
      </c>
      <c r="D73" s="3091" t="s">
        <v>2653</v>
      </c>
      <c r="E73" s="3117">
        <v>0.2</v>
      </c>
      <c r="F73" s="3117">
        <v>25</v>
      </c>
    </row>
    <row r="74" spans="1:7" ht="24">
      <c r="A74" s="3117">
        <v>2</v>
      </c>
      <c r="B74" s="3793"/>
      <c r="C74" s="3091" t="s">
        <v>2654</v>
      </c>
      <c r="D74" s="3091" t="s">
        <v>2655</v>
      </c>
      <c r="E74" s="3117">
        <v>0.2</v>
      </c>
      <c r="F74" s="3117">
        <v>25</v>
      </c>
    </row>
    <row r="75" spans="1:7" ht="24">
      <c r="A75" s="3117">
        <v>3</v>
      </c>
      <c r="B75" s="3793"/>
      <c r="C75" s="3091" t="s">
        <v>2656</v>
      </c>
      <c r="D75" s="3091" t="s">
        <v>2657</v>
      </c>
      <c r="E75" s="3117">
        <v>0.2</v>
      </c>
      <c r="F75" s="3117">
        <v>25</v>
      </c>
    </row>
    <row r="76" spans="1:7" ht="13.5">
      <c r="A76" s="3117">
        <v>4</v>
      </c>
      <c r="B76" s="3793"/>
      <c r="C76" s="3091" t="s">
        <v>2658</v>
      </c>
      <c r="D76" s="3091" t="s">
        <v>2659</v>
      </c>
      <c r="E76" s="3117">
        <v>0.15</v>
      </c>
      <c r="F76" s="3117">
        <v>20</v>
      </c>
    </row>
    <row r="77" spans="1:7" ht="24">
      <c r="A77" s="3117">
        <v>5</v>
      </c>
      <c r="B77" s="3793"/>
      <c r="C77" s="3091" t="s">
        <v>2660</v>
      </c>
      <c r="D77" s="3091" t="s">
        <v>2661</v>
      </c>
      <c r="E77" s="3117">
        <v>0.15</v>
      </c>
      <c r="F77" s="3117">
        <v>20</v>
      </c>
    </row>
    <row r="78" spans="1:7" ht="24">
      <c r="A78" s="3117">
        <v>6</v>
      </c>
      <c r="B78" s="3793"/>
      <c r="C78" s="3091" t="s">
        <v>2662</v>
      </c>
      <c r="D78" s="3091" t="s">
        <v>2663</v>
      </c>
      <c r="E78" s="3117">
        <v>0.15</v>
      </c>
      <c r="F78" s="3117">
        <v>20</v>
      </c>
    </row>
    <row r="79" spans="1:7" ht="24">
      <c r="A79" s="3117">
        <v>7</v>
      </c>
      <c r="B79" s="3793"/>
      <c r="C79" s="3091" t="s">
        <v>2664</v>
      </c>
      <c r="D79" s="3091" t="s">
        <v>2665</v>
      </c>
      <c r="E79" s="3117">
        <v>0.15</v>
      </c>
      <c r="F79" s="3117">
        <v>20</v>
      </c>
    </row>
    <row r="80" spans="1:7" ht="24">
      <c r="A80" s="3117">
        <v>8</v>
      </c>
      <c r="B80" s="3793"/>
      <c r="C80" s="3091" t="s">
        <v>2666</v>
      </c>
      <c r="D80" s="3091" t="s">
        <v>2667</v>
      </c>
      <c r="E80" s="3117">
        <v>0.1</v>
      </c>
      <c r="F80" s="3117">
        <v>15</v>
      </c>
    </row>
    <row r="81" spans="1:6" ht="24">
      <c r="A81" s="3117">
        <v>9</v>
      </c>
      <c r="B81" s="3793"/>
      <c r="C81" s="3091" t="s">
        <v>2668</v>
      </c>
      <c r="D81" s="3091" t="s">
        <v>2669</v>
      </c>
      <c r="E81" s="3117">
        <v>0.1</v>
      </c>
      <c r="F81" s="3117">
        <v>15</v>
      </c>
    </row>
    <row r="82" spans="1:6" ht="24">
      <c r="A82" s="3117">
        <v>10</v>
      </c>
      <c r="B82" s="3793"/>
      <c r="C82" s="3091" t="s">
        <v>2670</v>
      </c>
      <c r="D82" s="3091" t="s">
        <v>2671</v>
      </c>
      <c r="E82" s="3117">
        <v>0.1</v>
      </c>
      <c r="F82" s="3117">
        <v>15</v>
      </c>
    </row>
    <row r="83" spans="1:6" ht="24">
      <c r="A83" s="3117">
        <v>11</v>
      </c>
      <c r="B83" s="3793"/>
      <c r="C83" s="3091" t="s">
        <v>2672</v>
      </c>
      <c r="D83" s="3091" t="s">
        <v>2673</v>
      </c>
      <c r="E83" s="3117">
        <v>0.1</v>
      </c>
      <c r="F83" s="3117">
        <v>15</v>
      </c>
    </row>
    <row r="84" spans="1:6" ht="24">
      <c r="A84" s="3117">
        <v>12</v>
      </c>
      <c r="B84" s="3793"/>
      <c r="C84" s="3091" t="s">
        <v>2674</v>
      </c>
      <c r="D84" s="3091" t="s">
        <v>2675</v>
      </c>
      <c r="E84" s="3117">
        <v>0.1</v>
      </c>
      <c r="F84" s="3117">
        <v>15</v>
      </c>
    </row>
    <row r="85" spans="1:6" ht="13.5">
      <c r="A85" s="3117">
        <v>13</v>
      </c>
      <c r="B85" s="3793"/>
      <c r="C85" s="3091" t="s">
        <v>2676</v>
      </c>
      <c r="D85" s="3091" t="s">
        <v>2677</v>
      </c>
      <c r="E85" s="3117">
        <v>0.1</v>
      </c>
      <c r="F85" s="3117">
        <v>15</v>
      </c>
    </row>
    <row r="86" spans="1:6" ht="13.5">
      <c r="A86" s="3117">
        <v>14</v>
      </c>
      <c r="B86" s="3793"/>
      <c r="C86" s="3091" t="s">
        <v>2678</v>
      </c>
      <c r="D86" s="3091" t="s">
        <v>2679</v>
      </c>
      <c r="E86" s="3117">
        <v>0.1</v>
      </c>
      <c r="F86" s="3117">
        <v>15</v>
      </c>
    </row>
    <row r="87" spans="1:6" ht="13.5">
      <c r="A87" s="3117">
        <v>15</v>
      </c>
      <c r="B87" s="3793"/>
      <c r="C87" s="3091" t="s">
        <v>2680</v>
      </c>
      <c r="D87" s="3091" t="s">
        <v>2681</v>
      </c>
      <c r="E87" s="3117">
        <v>0.1</v>
      </c>
      <c r="F87" s="3117">
        <v>15</v>
      </c>
    </row>
    <row r="88" spans="1:6" ht="24">
      <c r="A88" s="3117">
        <v>16</v>
      </c>
      <c r="B88" s="3793"/>
      <c r="C88" s="3091" t="s">
        <v>2682</v>
      </c>
      <c r="D88" s="3091" t="s">
        <v>2683</v>
      </c>
      <c r="E88" s="3117">
        <v>0.1</v>
      </c>
      <c r="F88" s="3117">
        <v>15</v>
      </c>
    </row>
    <row r="89" spans="1:6" ht="24">
      <c r="A89" s="3117">
        <v>17</v>
      </c>
      <c r="B89" s="3802"/>
      <c r="C89" s="3091" t="s">
        <v>2684</v>
      </c>
      <c r="D89" s="3091" t="s">
        <v>2685</v>
      </c>
      <c r="E89" s="3117">
        <v>0.1</v>
      </c>
      <c r="F89" s="3117">
        <v>15</v>
      </c>
    </row>
    <row r="90" spans="1:6" ht="13.5">
      <c r="A90" s="3117">
        <v>18</v>
      </c>
      <c r="B90" s="3798" t="s">
        <v>2686</v>
      </c>
      <c r="C90" s="3091" t="s">
        <v>2687</v>
      </c>
      <c r="D90" s="3091" t="s">
        <v>2688</v>
      </c>
      <c r="E90" s="3117">
        <v>0.2</v>
      </c>
      <c r="F90" s="3117">
        <v>25</v>
      </c>
    </row>
    <row r="91" spans="1:6" ht="24">
      <c r="A91" s="3117">
        <v>19</v>
      </c>
      <c r="B91" s="3793"/>
      <c r="C91" s="3091" t="s">
        <v>2689</v>
      </c>
      <c r="D91" s="3091" t="s">
        <v>2690</v>
      </c>
      <c r="E91" s="3117">
        <v>0.2</v>
      </c>
      <c r="F91" s="3117">
        <v>25</v>
      </c>
    </row>
    <row r="92" spans="1:6" ht="13.5">
      <c r="A92" s="3117">
        <v>20</v>
      </c>
      <c r="B92" s="3793"/>
      <c r="C92" s="3091" t="s">
        <v>2691</v>
      </c>
      <c r="D92" s="3091" t="s">
        <v>2692</v>
      </c>
      <c r="E92" s="3117">
        <v>0.15</v>
      </c>
      <c r="F92" s="3117">
        <v>20</v>
      </c>
    </row>
    <row r="93" spans="1:6" ht="13.5">
      <c r="A93" s="3117">
        <v>21</v>
      </c>
      <c r="B93" s="3793"/>
      <c r="C93" s="3091" t="s">
        <v>2693</v>
      </c>
      <c r="D93" s="3091" t="s">
        <v>2694</v>
      </c>
      <c r="E93" s="3117">
        <v>0.15</v>
      </c>
      <c r="F93" s="3117">
        <v>20</v>
      </c>
    </row>
    <row r="94" spans="1:6" ht="13.5">
      <c r="A94" s="3117">
        <v>22</v>
      </c>
      <c r="B94" s="3793"/>
      <c r="C94" s="3091" t="s">
        <v>2695</v>
      </c>
      <c r="D94" s="3091" t="s">
        <v>2696</v>
      </c>
      <c r="E94" s="3117">
        <v>0.15</v>
      </c>
      <c r="F94" s="3117">
        <v>20</v>
      </c>
    </row>
    <row r="95" spans="1:6" ht="36">
      <c r="A95" s="3117">
        <v>23</v>
      </c>
      <c r="B95" s="3793"/>
      <c r="C95" s="3091" t="s">
        <v>2697</v>
      </c>
      <c r="D95" s="3091" t="s">
        <v>2698</v>
      </c>
      <c r="E95" s="3117">
        <v>0.15</v>
      </c>
      <c r="F95" s="3117">
        <v>20</v>
      </c>
    </row>
    <row r="96" spans="1:6" ht="13.5">
      <c r="A96" s="3117">
        <v>24</v>
      </c>
      <c r="B96" s="3793"/>
      <c r="C96" s="3091" t="s">
        <v>2699</v>
      </c>
      <c r="D96" s="3091" t="s">
        <v>2700</v>
      </c>
      <c r="E96" s="3117">
        <v>0.1</v>
      </c>
      <c r="F96" s="3117">
        <v>15</v>
      </c>
    </row>
    <row r="97" spans="1:6" ht="13.5">
      <c r="A97" s="3117">
        <v>25</v>
      </c>
      <c r="B97" s="3793"/>
      <c r="C97" s="3091" t="s">
        <v>2701</v>
      </c>
      <c r="D97" s="3091" t="s">
        <v>2702</v>
      </c>
      <c r="E97" s="3117">
        <v>0.1</v>
      </c>
      <c r="F97" s="3117">
        <v>15</v>
      </c>
    </row>
    <row r="98" spans="1:6" ht="24">
      <c r="A98" s="3117">
        <v>26</v>
      </c>
      <c r="B98" s="3793"/>
      <c r="C98" s="3091" t="s">
        <v>2703</v>
      </c>
      <c r="D98" s="3091" t="s">
        <v>2704</v>
      </c>
      <c r="E98" s="3117">
        <v>0.1</v>
      </c>
      <c r="F98" s="3117">
        <v>15</v>
      </c>
    </row>
    <row r="99" spans="1:6" ht="24">
      <c r="A99" s="3117">
        <v>27</v>
      </c>
      <c r="B99" s="3793"/>
      <c r="C99" s="3091" t="s">
        <v>2705</v>
      </c>
      <c r="D99" s="3091" t="s">
        <v>2706</v>
      </c>
      <c r="E99" s="3117">
        <v>0.1</v>
      </c>
      <c r="F99" s="3117">
        <v>15</v>
      </c>
    </row>
    <row r="100" spans="1:6" ht="13.5">
      <c r="A100" s="3117">
        <v>28</v>
      </c>
      <c r="B100" s="3793"/>
      <c r="C100" s="3091" t="s">
        <v>2707</v>
      </c>
      <c r="D100" s="3091" t="s">
        <v>2708</v>
      </c>
      <c r="E100" s="3117">
        <v>0.1</v>
      </c>
      <c r="F100" s="3117">
        <v>15</v>
      </c>
    </row>
    <row r="101" spans="1:6" ht="13.5">
      <c r="A101" s="3117">
        <v>29</v>
      </c>
      <c r="B101" s="3793"/>
      <c r="C101" s="3091" t="s">
        <v>2709</v>
      </c>
      <c r="D101" s="3091" t="s">
        <v>2710</v>
      </c>
      <c r="E101" s="3117">
        <v>0.1</v>
      </c>
      <c r="F101" s="3117">
        <v>15</v>
      </c>
    </row>
    <row r="102" spans="1:6" ht="13.5">
      <c r="A102" s="3117">
        <v>30</v>
      </c>
      <c r="B102" s="3793"/>
      <c r="C102" s="3091" t="s">
        <v>2711</v>
      </c>
      <c r="D102" s="3091" t="s">
        <v>2712</v>
      </c>
      <c r="E102" s="3117">
        <v>0.1</v>
      </c>
      <c r="F102" s="3117">
        <v>15</v>
      </c>
    </row>
    <row r="103" spans="1:6" ht="24">
      <c r="A103" s="3117">
        <v>31</v>
      </c>
      <c r="B103" s="3793"/>
      <c r="C103" s="3091" t="s">
        <v>2713</v>
      </c>
      <c r="D103" s="3091" t="s">
        <v>2714</v>
      </c>
      <c r="E103" s="3117">
        <v>0.1</v>
      </c>
      <c r="F103" s="3117">
        <v>15</v>
      </c>
    </row>
    <row r="104" spans="1:6" ht="24">
      <c r="A104" s="3117">
        <v>32</v>
      </c>
      <c r="B104" s="3793"/>
      <c r="C104" s="3091" t="s">
        <v>2715</v>
      </c>
      <c r="D104" s="3091" t="s">
        <v>2716</v>
      </c>
      <c r="E104" s="3117">
        <v>0.1</v>
      </c>
      <c r="F104" s="3117">
        <v>15</v>
      </c>
    </row>
    <row r="105" spans="1:6" ht="24">
      <c r="A105" s="3117">
        <v>33</v>
      </c>
      <c r="B105" s="3793"/>
      <c r="C105" s="3091" t="s">
        <v>2717</v>
      </c>
      <c r="D105" s="3091" t="s">
        <v>2718</v>
      </c>
      <c r="E105" s="3117">
        <v>0.1</v>
      </c>
      <c r="F105" s="3117">
        <v>15</v>
      </c>
    </row>
    <row r="106" spans="1:6" ht="24">
      <c r="A106" s="3117">
        <v>34</v>
      </c>
      <c r="B106" s="3802"/>
      <c r="C106" s="3091" t="s">
        <v>2719</v>
      </c>
      <c r="D106" s="3091" t="s">
        <v>2720</v>
      </c>
      <c r="E106" s="3117">
        <v>0.1</v>
      </c>
      <c r="F106" s="3117">
        <v>15</v>
      </c>
    </row>
    <row r="107" spans="1:6" ht="24">
      <c r="A107" s="3117">
        <v>35</v>
      </c>
      <c r="B107" s="3798" t="s">
        <v>2721</v>
      </c>
      <c r="C107" s="3117" t="s">
        <v>2722</v>
      </c>
      <c r="D107" s="3091" t="s">
        <v>2723</v>
      </c>
      <c r="E107" s="3117">
        <v>0.15</v>
      </c>
      <c r="F107" s="3117">
        <v>20</v>
      </c>
    </row>
    <row r="108" spans="1:6" ht="13.5">
      <c r="A108" s="3117">
        <v>36</v>
      </c>
      <c r="B108" s="3793"/>
      <c r="C108" s="3117" t="s">
        <v>2724</v>
      </c>
      <c r="D108" s="3091" t="s">
        <v>2725</v>
      </c>
      <c r="E108" s="3117">
        <v>0.15</v>
      </c>
      <c r="F108" s="3117">
        <v>20</v>
      </c>
    </row>
    <row r="109" spans="1:6" ht="13.5">
      <c r="A109" s="3117">
        <v>37</v>
      </c>
      <c r="B109" s="3793"/>
      <c r="C109" s="3117" t="s">
        <v>2726</v>
      </c>
      <c r="D109" s="3091" t="s">
        <v>2727</v>
      </c>
      <c r="E109" s="3117">
        <v>0.15</v>
      </c>
      <c r="F109" s="3117">
        <v>20</v>
      </c>
    </row>
    <row r="110" spans="1:6" ht="13.5">
      <c r="A110" s="3117">
        <v>38</v>
      </c>
      <c r="B110" s="3793"/>
      <c r="C110" s="3117" t="s">
        <v>2728</v>
      </c>
      <c r="D110" s="3091" t="s">
        <v>2729</v>
      </c>
      <c r="E110" s="3117">
        <v>0.1</v>
      </c>
      <c r="F110" s="3117">
        <v>15</v>
      </c>
    </row>
    <row r="111" spans="1:6" ht="24">
      <c r="A111" s="3117">
        <v>39</v>
      </c>
      <c r="B111" s="3793"/>
      <c r="C111" s="3117" t="s">
        <v>2730</v>
      </c>
      <c r="D111" s="3091" t="s">
        <v>2731</v>
      </c>
      <c r="E111" s="3117">
        <v>0.1</v>
      </c>
      <c r="F111" s="3117">
        <v>15</v>
      </c>
    </row>
    <row r="112" spans="1:6" ht="24">
      <c r="A112" s="3117">
        <v>40</v>
      </c>
      <c r="B112" s="3802"/>
      <c r="C112" s="3117" t="s">
        <v>2732</v>
      </c>
      <c r="D112" s="3091" t="s">
        <v>2733</v>
      </c>
      <c r="E112" s="3117">
        <v>0.1</v>
      </c>
      <c r="F112" s="3117">
        <v>15</v>
      </c>
    </row>
    <row r="113" spans="1:6" ht="13.5">
      <c r="A113" s="3117">
        <v>41</v>
      </c>
      <c r="B113" s="3803" t="s">
        <v>2734</v>
      </c>
      <c r="C113" s="3117" t="s">
        <v>2735</v>
      </c>
      <c r="D113" s="3091" t="s">
        <v>2736</v>
      </c>
      <c r="E113" s="3117">
        <v>0.1</v>
      </c>
      <c r="F113" s="3117">
        <v>15</v>
      </c>
    </row>
    <row r="114" spans="1:6" ht="13.5">
      <c r="A114" s="3117">
        <v>42</v>
      </c>
      <c r="B114" s="3803"/>
      <c r="C114" s="3117" t="s">
        <v>2737</v>
      </c>
      <c r="D114" s="3091" t="s">
        <v>2738</v>
      </c>
      <c r="E114" s="3117">
        <v>0.1</v>
      </c>
      <c r="F114" s="3117">
        <v>15</v>
      </c>
    </row>
    <row r="115" spans="1:6" ht="24">
      <c r="A115" s="3117">
        <v>43</v>
      </c>
      <c r="B115" s="3803"/>
      <c r="C115" s="3117" t="s">
        <v>2739</v>
      </c>
      <c r="D115" s="3091" t="s">
        <v>2740</v>
      </c>
      <c r="E115" s="3117">
        <v>0.1</v>
      </c>
      <c r="F115" s="3117">
        <v>15</v>
      </c>
    </row>
    <row r="116" spans="1:6" ht="13.5">
      <c r="A116" s="3117">
        <v>44</v>
      </c>
      <c r="B116" s="3798" t="s">
        <v>2741</v>
      </c>
      <c r="C116" s="3117" t="s">
        <v>2742</v>
      </c>
      <c r="D116" s="3091" t="s">
        <v>2743</v>
      </c>
      <c r="E116" s="3117">
        <v>0.1</v>
      </c>
      <c r="F116" s="3117">
        <v>15</v>
      </c>
    </row>
    <row r="117" spans="1:6" ht="24">
      <c r="A117" s="3117">
        <v>45</v>
      </c>
      <c r="B117" s="3802"/>
      <c r="C117" s="3091" t="s">
        <v>2744</v>
      </c>
      <c r="D117" s="3091" t="s">
        <v>2745</v>
      </c>
      <c r="E117" s="3117">
        <v>0.1</v>
      </c>
      <c r="F117" s="3117">
        <v>15</v>
      </c>
    </row>
    <row r="118" spans="1:6" ht="24">
      <c r="A118" s="3117">
        <v>46</v>
      </c>
      <c r="B118" s="3798" t="s">
        <v>2746</v>
      </c>
      <c r="C118" s="3117" t="s">
        <v>2747</v>
      </c>
      <c r="D118" s="3091" t="s">
        <v>2748</v>
      </c>
      <c r="E118" s="3117">
        <v>0.1</v>
      </c>
      <c r="F118" s="3117">
        <v>15</v>
      </c>
    </row>
    <row r="119" spans="1:6" ht="24">
      <c r="A119" s="3117">
        <v>47</v>
      </c>
      <c r="B119" s="3802"/>
      <c r="C119" s="3117" t="s">
        <v>2749</v>
      </c>
      <c r="D119" s="3091" t="s">
        <v>2750</v>
      </c>
      <c r="E119" s="3117">
        <v>0.1</v>
      </c>
      <c r="F119" s="3117">
        <v>15</v>
      </c>
    </row>
    <row r="120" spans="1:6" ht="13.5">
      <c r="A120" s="3117">
        <v>48</v>
      </c>
      <c r="B120" s="3798" t="s">
        <v>2751</v>
      </c>
      <c r="C120" s="3117" t="s">
        <v>2752</v>
      </c>
      <c r="D120" s="3091" t="s">
        <v>2753</v>
      </c>
      <c r="E120" s="3117">
        <v>0.1</v>
      </c>
      <c r="F120" s="3117">
        <v>15</v>
      </c>
    </row>
    <row r="121" spans="1:6" ht="13.5">
      <c r="A121" s="3117">
        <v>49</v>
      </c>
      <c r="B121" s="3802"/>
      <c r="C121" s="3117" t="s">
        <v>2754</v>
      </c>
      <c r="D121" s="3091" t="s">
        <v>2755</v>
      </c>
      <c r="E121" s="3117">
        <v>0.1</v>
      </c>
      <c r="F121" s="3117">
        <v>15</v>
      </c>
    </row>
    <row r="122" spans="1:6" ht="24">
      <c r="A122" s="3117">
        <v>50</v>
      </c>
      <c r="B122" s="3803" t="s">
        <v>2756</v>
      </c>
      <c r="C122" s="3117" t="s">
        <v>2757</v>
      </c>
      <c r="D122" s="3091" t="s">
        <v>2758</v>
      </c>
      <c r="E122" s="3117">
        <v>0.1</v>
      </c>
      <c r="F122" s="3117">
        <v>15</v>
      </c>
    </row>
    <row r="123" spans="1:6" ht="24">
      <c r="A123" s="3117">
        <v>51</v>
      </c>
      <c r="B123" s="3803"/>
      <c r="C123" s="3117" t="s">
        <v>2759</v>
      </c>
      <c r="D123" s="3091" t="s">
        <v>2760</v>
      </c>
      <c r="E123" s="3117">
        <v>0.1</v>
      </c>
      <c r="F123" s="3117">
        <v>15</v>
      </c>
    </row>
    <row r="124" spans="1:6" ht="24">
      <c r="A124" s="3117">
        <v>52</v>
      </c>
      <c r="B124" s="3803" t="s">
        <v>2761</v>
      </c>
      <c r="C124" s="3117" t="s">
        <v>2762</v>
      </c>
      <c r="D124" s="3091" t="s">
        <v>2763</v>
      </c>
      <c r="E124" s="3117">
        <v>0.1</v>
      </c>
      <c r="F124" s="3117">
        <v>15</v>
      </c>
    </row>
    <row r="125" spans="1:6" ht="24">
      <c r="A125" s="3117">
        <v>53</v>
      </c>
      <c r="B125" s="3803"/>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803" t="s">
        <v>2769</v>
      </c>
      <c r="C127" s="3117" t="s">
        <v>2770</v>
      </c>
      <c r="D127" s="3091" t="s">
        <v>2771</v>
      </c>
      <c r="E127" s="3117">
        <v>0.1</v>
      </c>
      <c r="F127" s="3117">
        <v>15</v>
      </c>
    </row>
    <row r="128" spans="1:6" ht="13.5">
      <c r="A128" s="3117">
        <v>56</v>
      </c>
      <c r="B128" s="3803"/>
      <c r="C128" s="3117" t="s">
        <v>2772</v>
      </c>
      <c r="D128" s="3091" t="s">
        <v>2773</v>
      </c>
      <c r="E128" s="3117">
        <v>0.1</v>
      </c>
      <c r="F128" s="3117">
        <v>15</v>
      </c>
    </row>
    <row r="129" spans="1:6" ht="24">
      <c r="A129" s="3117">
        <v>57</v>
      </c>
      <c r="B129" s="3803"/>
      <c r="C129" s="3117" t="s">
        <v>2774</v>
      </c>
      <c r="D129" s="3091" t="s">
        <v>2775</v>
      </c>
      <c r="E129" s="3117">
        <v>0.1</v>
      </c>
      <c r="F129" s="3117">
        <v>15</v>
      </c>
    </row>
    <row r="130" spans="1:6" ht="24">
      <c r="A130" s="3117">
        <v>58</v>
      </c>
      <c r="B130" s="3803" t="s">
        <v>2776</v>
      </c>
      <c r="C130" s="3117" t="s">
        <v>2777</v>
      </c>
      <c r="D130" s="3091" t="s">
        <v>2778</v>
      </c>
      <c r="E130" s="3117">
        <v>0.1</v>
      </c>
      <c r="F130" s="3117">
        <v>15</v>
      </c>
    </row>
    <row r="131" spans="1:6" ht="13.5">
      <c r="A131" s="3117">
        <v>59</v>
      </c>
      <c r="B131" s="3803"/>
      <c r="C131" s="3117" t="s">
        <v>2779</v>
      </c>
      <c r="D131" s="3091" t="s">
        <v>2780</v>
      </c>
      <c r="E131" s="3117">
        <v>0.1</v>
      </c>
      <c r="F131" s="3117">
        <v>15</v>
      </c>
    </row>
    <row r="132" spans="1:6" ht="13.5">
      <c r="A132" s="3117">
        <v>60</v>
      </c>
      <c r="B132" s="3798" t="s">
        <v>2781</v>
      </c>
      <c r="C132" s="3117" t="s">
        <v>2782</v>
      </c>
      <c r="D132" s="3091" t="s">
        <v>2783</v>
      </c>
      <c r="E132" s="3117">
        <v>0.1</v>
      </c>
      <c r="F132" s="3117">
        <v>15</v>
      </c>
    </row>
    <row r="133" spans="1:6" ht="13.5">
      <c r="A133" s="3117">
        <v>61</v>
      </c>
      <c r="B133" s="3802"/>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803" t="s">
        <v>2789</v>
      </c>
      <c r="C135" s="3117" t="s">
        <v>2790</v>
      </c>
      <c r="D135" s="3091" t="s">
        <v>2791</v>
      </c>
      <c r="E135" s="3117">
        <v>0.1</v>
      </c>
      <c r="F135" s="3117">
        <v>15</v>
      </c>
    </row>
    <row r="136" spans="1:6" ht="13.5">
      <c r="A136" s="3117">
        <v>64</v>
      </c>
      <c r="B136" s="3803"/>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2"/>
      <c r="B4" s="3487" t="s">
        <v>917</v>
      </c>
      <c r="C4" s="3487"/>
      <c r="D4" s="3487"/>
      <c r="E4" s="1492"/>
    </row>
    <row r="5" spans="1:5" ht="16.5" thickTop="1">
      <c r="A5" s="1490"/>
      <c r="B5" s="3485" t="s">
        <v>909</v>
      </c>
      <c r="C5" s="1493" t="s">
        <v>910</v>
      </c>
      <c r="D5" s="849">
        <f ca="1">结果表!H101</f>
        <v>150290</v>
      </c>
      <c r="E5" s="1490"/>
    </row>
    <row r="6" spans="1:5" ht="15.75">
      <c r="A6" s="1490"/>
      <c r="B6" s="3485"/>
      <c r="C6" s="1493" t="s">
        <v>911</v>
      </c>
      <c r="D6" s="849" t="str">
        <f ca="1">NUMBERSTRING(INT(D5*10000),2)&amp;"元整"</f>
        <v>壹拾伍亿零贰佰玖拾万元整</v>
      </c>
      <c r="E6" s="1490"/>
    </row>
    <row r="7" spans="1:5" ht="15.75">
      <c r="A7" s="1490"/>
      <c r="B7" s="3490"/>
      <c r="C7" s="1494" t="s">
        <v>912</v>
      </c>
      <c r="D7" s="850">
        <f ca="1">结果表!H102</f>
        <v>35390</v>
      </c>
      <c r="E7" s="1490"/>
    </row>
    <row r="8" spans="1:5" ht="15.75">
      <c r="A8" s="1490"/>
      <c r="B8" s="3491" t="str">
        <f>结果表!E103</f>
        <v>2.估价师知悉的法定优先受偿款</v>
      </c>
      <c r="C8" s="1495" t="s">
        <v>913</v>
      </c>
      <c r="D8" s="850">
        <f>结果表!H103</f>
        <v>0</v>
      </c>
      <c r="E8" s="1490"/>
    </row>
    <row r="9" spans="1:5" ht="15.75">
      <c r="A9" s="1490"/>
      <c r="B9" s="349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4" t="str">
        <f>结果表!E107</f>
        <v>3.房地产抵押价值</v>
      </c>
      <c r="C13" s="1498" t="s">
        <v>910</v>
      </c>
      <c r="D13" s="852">
        <f ca="1">结果表!H107</f>
        <v>150290</v>
      </c>
      <c r="E13" s="1490"/>
    </row>
    <row r="14" spans="1:5" ht="15.75">
      <c r="A14" s="1490"/>
      <c r="B14" s="3485"/>
      <c r="C14" s="1493" t="s">
        <v>911</v>
      </c>
      <c r="D14" s="849" t="str">
        <f ca="1">NUMBERSTRING(INT(D13*10000),2)&amp;"元整"</f>
        <v>壹拾伍亿零贰佰玖拾万元整</v>
      </c>
      <c r="E14" s="1490"/>
    </row>
    <row r="15" spans="1:5" ht="15">
      <c r="A15" s="1490"/>
      <c r="B15" s="3490"/>
      <c r="C15" s="1494" t="s">
        <v>921</v>
      </c>
      <c r="D15" s="858">
        <f ca="1">结果表!H108</f>
        <v>35390</v>
      </c>
      <c r="E15" s="1490"/>
    </row>
    <row r="16" spans="1:5" ht="15">
      <c r="A16" s="1490"/>
      <c r="B16" s="3491" t="str">
        <f>结果表!E109</f>
        <v>——</v>
      </c>
      <c r="C16" s="1498" t="s">
        <v>922</v>
      </c>
      <c r="D16" s="1499" t="str">
        <f>结果表!H109</f>
        <v>——</v>
      </c>
      <c r="E16" s="1490"/>
    </row>
    <row r="17" spans="1:5" ht="15.75">
      <c r="A17" s="1490"/>
      <c r="B17" s="3492"/>
      <c r="C17" s="1493" t="s">
        <v>923</v>
      </c>
      <c r="D17" s="849" t="e">
        <f>NUMBERSTRING(INT(D16*10000),2)&amp;"元整"</f>
        <v>#VALUE!</v>
      </c>
      <c r="E17" s="1490"/>
    </row>
    <row r="18" spans="1:5" ht="15">
      <c r="A18" s="1490"/>
      <c r="B18" s="3493"/>
      <c r="C18" s="1494" t="s">
        <v>912</v>
      </c>
      <c r="D18" s="858" t="str">
        <f>结果表!H110</f>
        <v>——</v>
      </c>
      <c r="E18" s="1490"/>
    </row>
    <row r="19" spans="1:5" ht="15.75">
      <c r="A19" s="1490"/>
      <c r="B19" s="3484" t="str">
        <f>结果表!E111</f>
        <v>4.抵押净值</v>
      </c>
      <c r="C19" s="1498" t="s">
        <v>910</v>
      </c>
      <c r="D19" s="850">
        <f ca="1">结果表!H111</f>
        <v>150248</v>
      </c>
      <c r="E19" s="1490"/>
    </row>
    <row r="20" spans="1:5" ht="15.75">
      <c r="A20" s="1490"/>
      <c r="B20" s="3485"/>
      <c r="C20" s="1493" t="s">
        <v>923</v>
      </c>
      <c r="D20" s="849" t="str">
        <f ca="1">NUMBERSTRING(INT(D19*10000),2)&amp;"元整"</f>
        <v>壹拾伍亿零贰佰肆拾捌万元整</v>
      </c>
      <c r="E20" s="1490"/>
    </row>
    <row r="21" spans="1:5" ht="15.75" thickBot="1">
      <c r="A21" s="1490"/>
      <c r="B21" s="3486"/>
      <c r="C21" s="1500" t="s">
        <v>921</v>
      </c>
      <c r="D21" s="859">
        <f ca="1">结果表!H112</f>
        <v>35380</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2798</v>
      </c>
      <c r="B1" s="3126"/>
      <c r="C1" s="3126"/>
      <c r="D1" s="3126"/>
      <c r="E1" s="3126"/>
      <c r="F1" s="3126"/>
      <c r="G1" s="3126"/>
      <c r="H1" s="3126"/>
      <c r="I1" s="3126"/>
      <c r="J1" s="3126"/>
      <c r="K1" s="3126"/>
      <c r="L1" s="3126"/>
      <c r="M1" s="3126"/>
      <c r="N1" s="748"/>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49">
        <f>SUMPRODUCT((A95:A184=ROUNDDOWN(基准地价修正!G3,1))*(B94:M94=基准地价修正!G2)*(B95:M184))</f>
        <v>1.0177</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49">
        <f>SUMPRODUCT((A371:A460=ROUNDDOWN(基准地价修正!G3,1))*(B370:M370=基准地价修正!G2)*(B371:M460))</f>
        <v>0.96389999999999998</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62975</v>
      </c>
      <c r="C2" s="2" t="s">
        <v>106</v>
      </c>
      <c r="D2" s="198"/>
      <c r="E2" s="198"/>
      <c r="F2" s="198"/>
      <c r="G2" s="198"/>
    </row>
    <row r="3" spans="1:7" s="199" customFormat="1" ht="18" customHeight="1" thickBot="1">
      <c r="A3" s="202" t="s">
        <v>58</v>
      </c>
      <c r="B3" s="203">
        <f ca="1">ROUND(B2*10000/'数据-汇总表'!E3,0)</f>
        <v>14829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849</v>
      </c>
      <c r="D10" s="844">
        <f>'数据-汇总表'!E6</f>
        <v>42466.65</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849</v>
      </c>
      <c r="D19" s="848">
        <f>'数据-汇总表'!E3</f>
        <v>42466.65</v>
      </c>
      <c r="E19" s="210">
        <f>'数据-取费表'!B31</f>
        <v>200</v>
      </c>
      <c r="F19" s="230"/>
      <c r="G19" s="1" t="s">
        <v>436</v>
      </c>
    </row>
    <row r="20" spans="1:7" s="213" customFormat="1" ht="13.5" customHeight="1">
      <c r="A20" s="776" t="s">
        <v>419</v>
      </c>
      <c r="B20" s="209" t="s">
        <v>77</v>
      </c>
      <c r="C20" s="231">
        <f>ROUND((C5+C19)*F20,0)</f>
        <v>536</v>
      </c>
      <c r="D20" s="231"/>
      <c r="E20" s="231"/>
      <c r="F20" s="232">
        <f>'数据-取费表'!B37</f>
        <v>2.5000000000000001E-2</v>
      </c>
      <c r="G20" s="1066" t="s">
        <v>430</v>
      </c>
    </row>
    <row r="21" spans="1:7" s="213" customFormat="1" ht="13.5" customHeight="1">
      <c r="A21" s="776" t="s">
        <v>421</v>
      </c>
      <c r="B21" s="209" t="s">
        <v>78</v>
      </c>
      <c r="C21" s="234">
        <f>F21</f>
        <v>2.5000000000000001E-2</v>
      </c>
      <c r="D21" s="235" t="s">
        <v>99</v>
      </c>
      <c r="E21" s="231"/>
      <c r="F21" s="232">
        <f>'数据-取费表'!B38</f>
        <v>2.5000000000000001E-2</v>
      </c>
      <c r="G21" s="233" t="s">
        <v>79</v>
      </c>
    </row>
    <row r="22" spans="1:7" s="213" customFormat="1" ht="13.5" customHeight="1">
      <c r="A22" s="776" t="s">
        <v>341</v>
      </c>
      <c r="B22" s="209" t="s">
        <v>80</v>
      </c>
      <c r="C22" s="1103">
        <f ca="1">ROUND(SUM(C23:C25),0)</f>
        <v>2083</v>
      </c>
      <c r="D22" s="234">
        <f ca="1">C26</f>
        <v>1.1999999999999999E-3</v>
      </c>
      <c r="E22" s="235" t="s">
        <v>99</v>
      </c>
      <c r="F22" s="236">
        <f ca="1">'数据-取费表'!B40</f>
        <v>3.1E-2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1977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81</v>
      </c>
      <c r="D24" s="237"/>
      <c r="E24" s="237"/>
      <c r="F24" s="238"/>
      <c r="G24" s="239" t="s">
        <v>82</v>
      </c>
    </row>
    <row r="25" spans="1:7" s="213" customFormat="1" ht="24">
      <c r="A25" s="779" t="s">
        <v>348</v>
      </c>
      <c r="B25" s="214" t="s">
        <v>420</v>
      </c>
      <c r="C25" s="1104">
        <f ca="1">ROUND(IF('数据-取费表'!B22&lt;=1,C20*F22*'数据-取费表'!B23/2,C20*(POWER((1+F22),'数据-取费表'!B23/2)-1)),0)</f>
        <v>25</v>
      </c>
      <c r="D25" s="237"/>
      <c r="E25" s="240"/>
      <c r="F25" s="238"/>
      <c r="G25" s="241" t="s">
        <v>83</v>
      </c>
    </row>
    <row r="26" spans="1:7" s="213" customFormat="1">
      <c r="A26" s="779" t="s">
        <v>350</v>
      </c>
      <c r="B26" s="214" t="s">
        <v>422</v>
      </c>
      <c r="C26" s="237">
        <f ca="1">ROUND(IF('数据-取费表'!B22&lt;=1,F21*F22*'数据-取费表'!B23/2,F21*(POWER((1+F22),'数据-取费表'!B23/2)-1)),4)</f>
        <v>1.1999999999999999E-3</v>
      </c>
      <c r="D26" s="237"/>
      <c r="E26" s="240"/>
      <c r="F26" s="238"/>
      <c r="G26" s="242"/>
    </row>
    <row r="27" spans="1:7" s="213" customFormat="1" ht="24.75">
      <c r="A27" s="776" t="s">
        <v>342</v>
      </c>
      <c r="B27" s="243" t="s">
        <v>85</v>
      </c>
      <c r="C27" s="244">
        <f>C28</f>
        <v>3519</v>
      </c>
      <c r="D27" s="234">
        <f>C29</f>
        <v>4.0000000000000001E-3</v>
      </c>
      <c r="E27" s="235" t="s">
        <v>99</v>
      </c>
      <c r="F27" s="245">
        <f>'数据-取费表'!Q16</f>
        <v>0.16</v>
      </c>
      <c r="G27" s="246" t="s">
        <v>431</v>
      </c>
    </row>
    <row r="28" spans="1:7" s="213" customFormat="1" ht="13.5" customHeight="1">
      <c r="A28" s="779" t="s">
        <v>349</v>
      </c>
      <c r="B28" s="247" t="s">
        <v>424</v>
      </c>
      <c r="C28" s="248">
        <f>ROUND((C5+C19+C20)*F27*'数据-取费表'!B21/'数据-取费表'!B20,0)</f>
        <v>3519</v>
      </c>
      <c r="D28" s="234"/>
      <c r="E28" s="235"/>
      <c r="F28" s="245"/>
      <c r="G28" s="246"/>
    </row>
    <row r="29" spans="1:7" s="213" customFormat="1" ht="13.5" customHeight="1">
      <c r="A29" s="779" t="s">
        <v>347</v>
      </c>
      <c r="B29" s="247" t="s">
        <v>425</v>
      </c>
      <c r="C29" s="237">
        <f>ROUND(C21*F27*'数据-取费表'!B21/'数据-取费表'!B20,4)</f>
        <v>4.0000000000000001E-3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30112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27985</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25480</v>
      </c>
      <c r="D34" s="216"/>
      <c r="E34" s="219"/>
      <c r="F34" s="256">
        <f>IF('数据-取费表'!B24=0,1,'数据-取费表'!N16)</f>
        <v>1</v>
      </c>
      <c r="G34" s="218" t="s">
        <v>89</v>
      </c>
    </row>
    <row r="35" spans="1:7" ht="13.5" customHeight="1">
      <c r="A35" s="779" t="s">
        <v>351</v>
      </c>
      <c r="B35" s="214" t="s">
        <v>33</v>
      </c>
      <c r="C35" s="219">
        <f>ROUND(C34*F35,0)</f>
        <v>1274</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849</v>
      </c>
      <c r="D37" s="216">
        <f>'数据-汇总表'!E3</f>
        <v>42466.65</v>
      </c>
      <c r="E37" s="248">
        <f>'数据-取费表'!B35</f>
        <v>200</v>
      </c>
      <c r="F37" s="258"/>
      <c r="G37" s="260" t="s">
        <v>92</v>
      </c>
    </row>
    <row r="38" spans="1:7" ht="13.5" customHeight="1">
      <c r="A38" s="779" t="s">
        <v>354</v>
      </c>
      <c r="B38" s="214" t="s">
        <v>36</v>
      </c>
      <c r="C38" s="219">
        <f>ROUND(C34*F38,0)</f>
        <v>382</v>
      </c>
      <c r="D38" s="219"/>
      <c r="E38" s="219"/>
      <c r="F38" s="258">
        <f>'数据-取费表'!B36</f>
        <v>1.4999999999999999E-2</v>
      </c>
      <c r="G38" s="218" t="s">
        <v>90</v>
      </c>
    </row>
    <row r="39" spans="1:7" s="213" customFormat="1" ht="13.5" customHeight="1">
      <c r="A39" s="776" t="s">
        <v>338</v>
      </c>
      <c r="B39" s="209" t="s">
        <v>77</v>
      </c>
      <c r="C39" s="231">
        <f>ROUND(C33*F20,0)</f>
        <v>700</v>
      </c>
      <c r="D39" s="231"/>
      <c r="E39" s="231"/>
      <c r="F39" s="232"/>
      <c r="G39" s="1066" t="s">
        <v>433</v>
      </c>
    </row>
    <row r="40" spans="1:7" s="213" customFormat="1" ht="13.5" customHeight="1">
      <c r="A40" s="776" t="s">
        <v>339</v>
      </c>
      <c r="B40" s="209" t="s">
        <v>78</v>
      </c>
      <c r="C40" s="261">
        <f>F21</f>
        <v>2.5000000000000001E-2</v>
      </c>
      <c r="D40" s="235" t="s">
        <v>102</v>
      </c>
      <c r="E40" s="231"/>
      <c r="F40" s="232"/>
      <c r="G40" s="233" t="s">
        <v>93</v>
      </c>
    </row>
    <row r="41" spans="1:7" s="213" customFormat="1" ht="13.5" customHeight="1">
      <c r="A41" s="776" t="s">
        <v>340</v>
      </c>
      <c r="B41" s="209" t="s">
        <v>80</v>
      </c>
      <c r="C41" s="231">
        <f ca="1">ROUND(SUM(C42:C43),0)</f>
        <v>1344</v>
      </c>
      <c r="D41" s="234">
        <f ca="1">C44</f>
        <v>1.1999999999999999E-3</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1311</v>
      </c>
      <c r="D42" s="237"/>
      <c r="E42" s="237"/>
      <c r="F42" s="238"/>
      <c r="G42" s="3668" t="s">
        <v>94</v>
      </c>
    </row>
    <row r="43" spans="1:7" ht="13.5" customHeight="1">
      <c r="A43" s="779" t="s">
        <v>347</v>
      </c>
      <c r="B43" s="214" t="s">
        <v>426</v>
      </c>
      <c r="C43" s="237">
        <f ca="1">ROUND(IF('数据-取费表'!B22&lt;=1,C39*F22*'数据-取费表'!B21/2,C39*(POWER((1+F22),'数据-取费表'!B21/2)-1)),0)</f>
        <v>33</v>
      </c>
      <c r="D43" s="237"/>
      <c r="E43" s="237"/>
      <c r="F43" s="238"/>
      <c r="G43" s="3669"/>
    </row>
    <row r="44" spans="1:7" ht="13.5" customHeight="1">
      <c r="A44" s="779" t="s">
        <v>348</v>
      </c>
      <c r="B44" s="214" t="s">
        <v>428</v>
      </c>
      <c r="C44" s="237">
        <f ca="1">ROUND(IF('数据-取费表'!B22&lt;=1,C40*F22*'数据-取费表'!B21/2,C40*(POWER((1+F22),'数据-取费表'!B21/2)-1)),4)</f>
        <v>1.1999999999999999E-3</v>
      </c>
      <c r="D44" s="237"/>
      <c r="E44" s="237"/>
      <c r="F44" s="238"/>
      <c r="G44" s="3670"/>
    </row>
    <row r="45" spans="1:7" s="213" customFormat="1" ht="13.5" customHeight="1">
      <c r="A45" s="776" t="s">
        <v>341</v>
      </c>
      <c r="B45" s="243" t="s">
        <v>85</v>
      </c>
      <c r="C45" s="244">
        <f>C46</f>
        <v>4590</v>
      </c>
      <c r="D45" s="234">
        <f>C47</f>
        <v>4.0000000000000001E-3</v>
      </c>
      <c r="E45" s="235" t="s">
        <v>102</v>
      </c>
      <c r="F45" s="245"/>
      <c r="G45" s="246" t="s">
        <v>434</v>
      </c>
    </row>
    <row r="46" spans="1:7" s="213" customFormat="1" ht="13.5" customHeight="1">
      <c r="A46" s="779" t="s">
        <v>349</v>
      </c>
      <c r="B46" s="247" t="s">
        <v>427</v>
      </c>
      <c r="C46" s="248">
        <f>ROUND((C33+C39)*F27,0)</f>
        <v>4590</v>
      </c>
      <c r="D46" s="262"/>
      <c r="E46" s="235"/>
      <c r="F46" s="245"/>
      <c r="G46" s="246"/>
    </row>
    <row r="47" spans="1:7" s="213" customFormat="1" ht="13.5" customHeight="1">
      <c r="A47" s="779" t="s">
        <v>347</v>
      </c>
      <c r="B47" s="247" t="s">
        <v>429</v>
      </c>
      <c r="C47" s="237">
        <f>ROUND(C40*F27,4)</f>
        <v>4.0000000000000001E-3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37774</v>
      </c>
      <c r="D49" s="231"/>
      <c r="E49" s="231"/>
      <c r="F49" s="263"/>
      <c r="G49" s="233" t="s">
        <v>435</v>
      </c>
    </row>
    <row r="50" spans="1:7" s="257" customFormat="1" ht="24">
      <c r="A50" s="776" t="s">
        <v>344</v>
      </c>
      <c r="B50" s="209" t="s">
        <v>97</v>
      </c>
      <c r="C50" s="231"/>
      <c r="D50" s="231"/>
      <c r="E50" s="231"/>
      <c r="F50" s="263">
        <f>IF('数据-取费表'!B24=0,'数据-取费表'!N16,1)</f>
        <v>0.87</v>
      </c>
      <c r="G50" s="246" t="s">
        <v>98</v>
      </c>
    </row>
    <row r="51" spans="1:7" ht="16.5" customHeight="1">
      <c r="A51" s="776" t="s">
        <v>345</v>
      </c>
      <c r="B51" s="209" t="s">
        <v>105</v>
      </c>
      <c r="C51" s="231">
        <f ca="1">ROUND(C49*F50,0)</f>
        <v>32863</v>
      </c>
      <c r="D51" s="231"/>
      <c r="E51" s="231"/>
      <c r="F51" s="263"/>
      <c r="G51" s="233" t="s">
        <v>37</v>
      </c>
    </row>
    <row r="52" spans="1:7" s="207" customFormat="1" ht="16.5" thickBot="1">
      <c r="A52" s="264" t="s">
        <v>38</v>
      </c>
      <c r="B52" s="265"/>
      <c r="C52" s="266">
        <f ca="1">C31+C51</f>
        <v>62975</v>
      </c>
      <c r="D52" s="265"/>
      <c r="E52" s="265"/>
      <c r="F52" s="265"/>
      <c r="G52" s="267"/>
    </row>
    <row r="55" spans="1:7" ht="15">
      <c r="B55" s="269" t="s">
        <v>39</v>
      </c>
      <c r="C55" s="270"/>
    </row>
    <row r="56" spans="1:7">
      <c r="B56" s="272" t="s">
        <v>40</v>
      </c>
      <c r="C56" s="273">
        <f ca="1">ROUND(C51/C52,3)</f>
        <v>0.52200000000000002</v>
      </c>
    </row>
    <row r="57" spans="1:7">
      <c r="B57" s="272" t="s">
        <v>41</v>
      </c>
      <c r="C57" s="274">
        <f ca="1">1-C56</f>
        <v>0.47799999999999998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4" t="s">
        <v>3181</v>
      </c>
      <c r="B1" s="3804"/>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5" t="s">
        <v>3232</v>
      </c>
      <c r="B1" s="3805"/>
      <c r="C1" s="3805"/>
      <c r="D1" s="3805"/>
      <c r="E1" s="3805"/>
      <c r="F1" s="3806"/>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45754</v>
      </c>
      <c r="B1" s="3209" t="s">
        <v>3378</v>
      </c>
      <c r="C1" s="3210"/>
      <c r="D1" s="3210"/>
      <c r="E1" s="3210"/>
      <c r="F1" s="3210"/>
      <c r="G1" s="3210"/>
      <c r="H1" s="3210"/>
      <c r="I1" s="3210"/>
      <c r="J1" s="3164"/>
      <c r="K1" s="3210" t="s">
        <v>454</v>
      </c>
      <c r="L1" s="3210"/>
      <c r="M1" s="3210"/>
      <c r="N1" s="3210"/>
      <c r="O1" s="3210"/>
      <c r="P1" s="3210"/>
      <c r="Q1" s="3164"/>
      <c r="R1" s="3807" t="s">
        <v>456</v>
      </c>
      <c r="S1" s="3808"/>
      <c r="T1" s="3808"/>
      <c r="U1" s="3808"/>
      <c r="V1" s="3808"/>
      <c r="W1" s="3808"/>
      <c r="X1" s="3164"/>
      <c r="Y1" s="3807" t="s">
        <v>457</v>
      </c>
      <c r="Z1" s="3808"/>
      <c r="AA1" s="3808"/>
      <c r="AB1" s="3808"/>
      <c r="AC1" s="3808"/>
      <c r="AD1" s="3808"/>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07" t="s">
        <v>2827</v>
      </c>
      <c r="S29" s="3808"/>
      <c r="T29" s="3808"/>
      <c r="U29" s="3808"/>
      <c r="V29" s="3808"/>
      <c r="W29" s="3808"/>
      <c r="X29" s="3164"/>
      <c r="Y29" s="3807" t="s">
        <v>2828</v>
      </c>
      <c r="Z29" s="3808"/>
      <c r="AA29" s="3808"/>
      <c r="AB29" s="3808"/>
      <c r="AC29" s="3808"/>
      <c r="AD29" s="3808"/>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2" t="s">
        <v>2839</v>
      </c>
      <c r="B1" s="3822"/>
      <c r="C1" s="3822"/>
      <c r="D1" s="3822"/>
      <c r="E1" s="3822"/>
      <c r="F1" s="3822"/>
      <c r="G1" s="3823"/>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0"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1"/>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45754</v>
      </c>
      <c r="D1" s="1301" t="s">
        <v>603</v>
      </c>
      <c r="E1" s="1296">
        <f>'数据-取费表'!B22</f>
        <v>3</v>
      </c>
      <c r="F1" s="1301" t="s">
        <v>604</v>
      </c>
      <c r="G1" s="1297">
        <f ca="1">INDIRECT("d"&amp;$K$1)/100</f>
        <v>3.1E-2</v>
      </c>
      <c r="H1" s="1301" t="s">
        <v>634</v>
      </c>
      <c r="I1" s="1297">
        <f ca="1">F4/100</f>
        <v>1.4999999999999999E-2</v>
      </c>
      <c r="J1" s="1302">
        <f>IF(C1&gt;C13,0,MATCH(C1,C$13:C$114,-1))+IF(SUMIF(C13:C114,C1,D13:D114)=0,13,12)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44" sqref="H44"/>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6"/>
      <c r="B3" s="3496"/>
      <c r="C3" s="3496"/>
      <c r="D3" s="853" t="s">
        <v>925</v>
      </c>
      <c r="E3" s="853" t="s">
        <v>931</v>
      </c>
      <c r="F3" s="853" t="s">
        <v>925</v>
      </c>
      <c r="G3" s="853" t="s">
        <v>926</v>
      </c>
      <c r="H3" s="853" t="s">
        <v>925</v>
      </c>
      <c r="I3" s="853" t="s">
        <v>926</v>
      </c>
    </row>
    <row r="4" spans="1:9" ht="15">
      <c r="A4" s="1504" t="str">
        <f>项目基本情况!S2</f>
        <v>北京市房地产</v>
      </c>
      <c r="B4" s="853">
        <f>项目基本情况!C17</f>
        <v>42466.65</v>
      </c>
      <c r="C4" s="853">
        <f>项目基本情况!C18</f>
        <v>6799.81</v>
      </c>
      <c r="D4" s="853">
        <f ca="1">结果表!D118</f>
        <v>99492</v>
      </c>
      <c r="E4" s="853">
        <f ca="1">结果表!E118</f>
        <v>23428</v>
      </c>
      <c r="F4" s="853">
        <f ca="1">结果表!F118</f>
        <v>50798</v>
      </c>
      <c r="G4" s="853">
        <f ca="1">结果表!G118</f>
        <v>11962</v>
      </c>
      <c r="H4" s="853">
        <f ca="1">结果表!H118</f>
        <v>150290</v>
      </c>
      <c r="I4" s="853">
        <f ca="1">结果表!I118</f>
        <v>35390</v>
      </c>
    </row>
    <row r="5" spans="1:9" ht="30" customHeight="1">
      <c r="A5" s="3496" t="s">
        <v>927</v>
      </c>
      <c r="B5" s="3496"/>
      <c r="C5" s="3496"/>
      <c r="D5" s="3496" t="str">
        <f ca="1">结果表!D119</f>
        <v>玖亿玖仟肆佰玖拾贰万元整</v>
      </c>
      <c r="E5" s="3496"/>
      <c r="F5" s="3496" t="str">
        <f ca="1">结果表!F119</f>
        <v>伍亿零柒佰玖拾捌万元整</v>
      </c>
      <c r="G5" s="3496"/>
      <c r="H5" s="3496" t="str">
        <f ca="1">结果表!H119</f>
        <v>壹拾伍亿零贰佰玖拾万元整</v>
      </c>
      <c r="I5" s="3496"/>
    </row>
    <row r="6" spans="1:9" ht="15.75">
      <c r="A6" s="3497" t="str">
        <f>结果表!A120</f>
        <v>估价师知悉的法定优先受偿款</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75">
      <c r="A8" s="3497" t="str">
        <f>结果表!A122</f>
        <v>房地产抵押价值</v>
      </c>
      <c r="B8" s="3497"/>
      <c r="C8" s="3497"/>
      <c r="D8" s="3497">
        <f ca="1">结果表!D122</f>
        <v>150290</v>
      </c>
      <c r="E8" s="3497"/>
      <c r="F8" s="3497"/>
      <c r="G8" s="3497"/>
      <c r="H8" s="3497"/>
      <c r="I8" s="3497"/>
    </row>
    <row r="9" spans="1:9" ht="15">
      <c r="A9" s="3496" t="s">
        <v>927</v>
      </c>
      <c r="B9" s="3496"/>
      <c r="C9" s="3496"/>
      <c r="D9" s="3496" t="str">
        <f ca="1">结果表!D123</f>
        <v>壹拾伍亿零贰佰玖拾万元整</v>
      </c>
      <c r="E9" s="3496"/>
      <c r="F9" s="3496"/>
      <c r="G9" s="3496"/>
      <c r="H9" s="3496"/>
      <c r="I9" s="3496"/>
    </row>
    <row r="10" spans="1:9" ht="15.75">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75">
      <c r="A12" s="3497" t="str">
        <f>结果表!A126</f>
        <v>抵押净值</v>
      </c>
      <c r="B12" s="3497"/>
      <c r="C12" s="3497"/>
      <c r="D12" s="3497">
        <f ca="1">结果表!D126</f>
        <v>150248</v>
      </c>
      <c r="E12" s="3497"/>
      <c r="F12" s="3497"/>
      <c r="G12" s="3497"/>
      <c r="H12" s="3497"/>
      <c r="I12" s="3497"/>
    </row>
    <row r="13" spans="1:9" ht="15.75" thickBot="1">
      <c r="A13" s="3501" t="s">
        <v>927</v>
      </c>
      <c r="B13" s="3501"/>
      <c r="C13" s="3501"/>
      <c r="D13" s="3501" t="str">
        <f ca="1">结果表!D127</f>
        <v>壹拾伍亿零贰佰肆拾捌万元整</v>
      </c>
      <c r="E13" s="3501"/>
      <c r="F13" s="3501"/>
      <c r="G13" s="3501"/>
      <c r="H13" s="3501"/>
      <c r="I13" s="3501"/>
    </row>
    <row r="14" spans="1:9" ht="15" thickTop="1">
      <c r="A14" s="3502" t="s">
        <v>932</v>
      </c>
      <c r="B14" s="3502"/>
      <c r="C14" s="3502"/>
      <c r="D14" s="3502"/>
      <c r="E14" s="3502"/>
      <c r="F14" s="3502"/>
      <c r="G14" s="3502"/>
      <c r="H14" s="3502"/>
      <c r="I14" s="350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3" t="s">
        <v>949</v>
      </c>
      <c r="B1" s="3503"/>
      <c r="C1" s="3503"/>
      <c r="D1" s="3503"/>
    </row>
    <row r="2" spans="1:4" ht="18">
      <c r="A2" s="3504" t="s">
        <v>933</v>
      </c>
      <c r="B2" s="3504"/>
      <c r="C2" s="3504"/>
      <c r="D2" s="350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4" t="s">
        <v>939</v>
      </c>
      <c r="B6" s="3504"/>
      <c r="C6" s="3504"/>
      <c r="D6" s="350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5" t="s">
        <v>942</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6" t="str">
        <f>IF(项目基本情况!B8="抵押","4.本次评估估价师所知悉的法定优先受偿款情况说明如下：","——")</f>
        <v>4.本次评估估价师所知悉的法定优先受偿款情况说明如下：</v>
      </c>
      <c r="B14" s="3507"/>
      <c r="C14" s="3507"/>
      <c r="D14" s="3507"/>
    </row>
    <row r="15" spans="1:4" ht="42" customHeight="1">
      <c r="A15" s="35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故，本次评估不存在估价师知悉的法定优先受偿款</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7" t="s">
        <v>956</v>
      </c>
      <c r="B15" s="3512" t="s">
        <v>109</v>
      </c>
      <c r="C15" s="3513"/>
    </row>
    <row r="16" spans="1:7" ht="13.5">
      <c r="A16" s="3518"/>
      <c r="B16" s="3512" t="s">
        <v>42</v>
      </c>
      <c r="C16" s="3513"/>
    </row>
    <row r="17" spans="1:3" ht="13.5">
      <c r="A17" s="3518"/>
      <c r="B17" s="3515" t="s">
        <v>957</v>
      </c>
      <c r="C17" s="1531" t="s">
        <v>956</v>
      </c>
    </row>
    <row r="18" spans="1:3" ht="13.5">
      <c r="A18" s="3518"/>
      <c r="B18" s="3515"/>
      <c r="C18" s="1531" t="s">
        <v>958</v>
      </c>
    </row>
    <row r="19" spans="1:3" ht="13.5">
      <c r="A19" s="3518"/>
      <c r="B19" s="3515"/>
      <c r="C19" s="1531" t="s">
        <v>959</v>
      </c>
    </row>
    <row r="20" spans="1:3" ht="13.5">
      <c r="A20" s="3519"/>
      <c r="B20" s="3514" t="s">
        <v>960</v>
      </c>
      <c r="C20" s="3513"/>
    </row>
    <row r="21" spans="1:3" ht="13.5">
      <c r="A21" s="1532" t="s">
        <v>961</v>
      </c>
      <c r="B21" s="1533"/>
      <c r="C21" s="1534"/>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1" t="s">
        <v>967</v>
      </c>
    </row>
    <row r="26" spans="1:3" ht="13.5">
      <c r="A26" s="3516"/>
      <c r="B26" s="3515"/>
      <c r="C26" s="1531" t="s">
        <v>968</v>
      </c>
    </row>
    <row r="27" spans="1:3" ht="13.5">
      <c r="A27" s="3516"/>
      <c r="B27" s="3515"/>
      <c r="C27" s="1531" t="s">
        <v>969</v>
      </c>
    </row>
    <row r="28" spans="1:3" ht="13.5">
      <c r="A28" s="3516"/>
      <c r="B28" s="3515"/>
      <c r="C28" s="1531" t="s">
        <v>970</v>
      </c>
    </row>
    <row r="29" spans="1:3" ht="13.5">
      <c r="A29" s="3516"/>
      <c r="B29" s="3515"/>
      <c r="C29" s="1531" t="s">
        <v>971</v>
      </c>
    </row>
    <row r="30" spans="1:3" ht="13.5">
      <c r="A30" s="3516"/>
      <c r="B30" s="3515"/>
      <c r="C30" s="1531" t="s">
        <v>972</v>
      </c>
    </row>
    <row r="31" spans="1:3" ht="13.5">
      <c r="A31" s="3516"/>
      <c r="B31" s="3515"/>
      <c r="C31" s="1531" t="s">
        <v>973</v>
      </c>
    </row>
    <row r="32" spans="1:3" ht="13.5">
      <c r="A32" s="3516"/>
      <c r="B32" s="3515"/>
      <c r="C32" s="1531" t="s">
        <v>974</v>
      </c>
    </row>
    <row r="33" spans="1:3" ht="13.5">
      <c r="A33" s="3516"/>
      <c r="B33" s="351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45755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2"/>
      <c r="E18" s="3522" t="s">
        <v>2162</v>
      </c>
      <c r="F18" s="3521"/>
      <c r="G18" s="352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2025-04-08T02:42:29Z</dcterms:modified>
</cp:coreProperties>
</file>