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84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8" i="9" l="1"/>
  <c r="I47" i="70"/>
  <c r="F42" i="21" l="1"/>
  <c r="AA42" i="21"/>
  <c r="D69" i="21"/>
  <c r="E69" i="21"/>
  <c r="F69" i="21"/>
  <c r="F11" i="21"/>
  <c r="AA11" i="21"/>
  <c r="R48" i="21"/>
  <c r="D123" i="21"/>
  <c r="E123" i="21"/>
  <c r="F123" i="21"/>
  <c r="H42" i="21"/>
  <c r="AB42" i="21"/>
  <c r="H11" i="21"/>
  <c r="AB11" i="21"/>
  <c r="T48" i="21"/>
  <c r="J42" i="21"/>
  <c r="AC42" i="21"/>
  <c r="J11" i="21"/>
  <c r="AC11" i="21"/>
  <c r="V48" i="21"/>
  <c r="R49" i="21"/>
  <c r="C49" i="21"/>
  <c r="B3" i="21"/>
  <c r="B2" i="21"/>
  <c r="C10" i="12"/>
  <c r="D123" i="33"/>
  <c r="E123" i="33"/>
  <c r="F123" i="33"/>
  <c r="F42" i="33"/>
  <c r="AA42" i="33"/>
  <c r="R48" i="33"/>
  <c r="H42" i="33"/>
  <c r="AB42" i="33"/>
  <c r="T48" i="33"/>
  <c r="J42" i="33"/>
  <c r="AC42" i="33"/>
  <c r="V48" i="33"/>
  <c r="R49" i="33"/>
  <c r="C49" i="33"/>
  <c r="B3" i="33"/>
  <c r="B2" i="33"/>
  <c r="D10" i="12"/>
  <c r="D123" i="70"/>
  <c r="E123" i="70"/>
  <c r="F123" i="70"/>
  <c r="F42" i="70"/>
  <c r="AA42" i="70"/>
  <c r="D69" i="70"/>
  <c r="E69" i="70"/>
  <c r="F69" i="70"/>
  <c r="F11" i="70"/>
  <c r="AA11" i="70"/>
  <c r="H42" i="70"/>
  <c r="AB42" i="70"/>
  <c r="G69" i="70"/>
  <c r="H69" i="70"/>
  <c r="H11" i="70"/>
  <c r="AB11" i="70"/>
  <c r="J42" i="70"/>
  <c r="AC42" i="70"/>
  <c r="J11" i="70"/>
  <c r="AC11" i="70"/>
  <c r="C13" i="12"/>
  <c r="C14" i="12" s="1"/>
  <c r="C15" i="12"/>
  <c r="D16" i="12"/>
  <c r="C16" i="12"/>
  <c r="C17" i="12"/>
  <c r="D19" i="12"/>
  <c r="C19" i="12" s="1"/>
  <c r="D21" i="12"/>
  <c r="C21" i="12" s="1"/>
  <c r="D22" i="12"/>
  <c r="C22" i="12" s="1"/>
  <c r="F33" i="12"/>
  <c r="C34" i="12" s="1"/>
  <c r="D33" i="12" s="1"/>
  <c r="E47" i="70"/>
  <c r="G47" i="70"/>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P23" i="46"/>
  <c r="B73" i="39"/>
  <c r="F9" i="39"/>
  <c r="AA9" i="39"/>
  <c r="F10" i="39"/>
  <c r="AA10" i="39"/>
  <c r="F11" i="39"/>
  <c r="AA11" i="39" s="1"/>
  <c r="D83" i="39"/>
  <c r="E83" i="39" s="1"/>
  <c r="I13" i="3"/>
  <c r="F19" i="6"/>
  <c r="O13" i="3"/>
  <c r="K13" i="3"/>
  <c r="F20"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AH13"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D126" i="39"/>
  <c r="E126" i="39"/>
  <c r="F126" i="39"/>
  <c r="F43" i="39"/>
  <c r="AA43" i="39"/>
  <c r="F44" i="39"/>
  <c r="AA44" i="39"/>
  <c r="B129" i="39"/>
  <c r="F45" i="39"/>
  <c r="AA45" i="39"/>
  <c r="B131" i="39"/>
  <c r="F46" i="39"/>
  <c r="AA46" i="39"/>
  <c r="B133" i="39"/>
  <c r="F47" i="39"/>
  <c r="AA47" i="39"/>
  <c r="A6" i="1"/>
  <c r="A7" i="1"/>
  <c r="A8" i="1"/>
  <c r="G1" i="15"/>
  <c r="K8" i="1"/>
  <c r="C1" i="65"/>
  <c r="N1" i="65"/>
  <c r="B43" i="1"/>
  <c r="B41" i="1"/>
  <c r="F32" i="15"/>
  <c r="F33" i="15"/>
  <c r="BA5" i="3"/>
  <c r="E27" i="6"/>
  <c r="K21" i="6"/>
  <c r="L21" i="6"/>
  <c r="M21" i="6"/>
  <c r="I21" i="6"/>
  <c r="H21" i="6"/>
  <c r="R21" i="6"/>
  <c r="R8" i="1"/>
  <c r="B52" i="1"/>
  <c r="F34" i="15"/>
  <c r="M8" i="1"/>
  <c r="T4" i="1"/>
  <c r="K14" i="1"/>
  <c r="M14" i="1"/>
  <c r="S8" i="1"/>
  <c r="K19" i="6"/>
  <c r="S6" i="1"/>
  <c r="K20" i="6"/>
  <c r="S7" i="1"/>
  <c r="A9" i="1"/>
  <c r="K22" i="6"/>
  <c r="S9" i="1"/>
  <c r="A10" i="1"/>
  <c r="S10" i="1"/>
  <c r="A11" i="1"/>
  <c r="S11" i="1"/>
  <c r="A12" i="1"/>
  <c r="S12" i="1"/>
  <c r="A13" i="1"/>
  <c r="S13" i="1"/>
  <c r="S16" i="1"/>
  <c r="T8" i="1"/>
  <c r="F15" i="15"/>
  <c r="F17" i="15"/>
  <c r="F18" i="15"/>
  <c r="F20" i="15"/>
  <c r="H1" i="65"/>
  <c r="B22" i="1"/>
  <c r="C2" i="65"/>
  <c r="I1" i="65"/>
  <c r="F23" i="15"/>
  <c r="F21" i="15"/>
  <c r="F28" i="15"/>
  <c r="C42" i="1"/>
  <c r="C28" i="15"/>
  <c r="G19" i="4"/>
  <c r="F8" i="1"/>
  <c r="M47" i="15"/>
  <c r="J50" i="15"/>
  <c r="J51" i="15"/>
  <c r="L46" i="15"/>
  <c r="R47" i="70"/>
  <c r="R48" i="70" s="1"/>
  <c r="C7" i="70"/>
  <c r="C58" i="70"/>
  <c r="D58" i="70"/>
  <c r="E58" i="70"/>
  <c r="F58" i="70"/>
  <c r="G58" i="70"/>
  <c r="H58" i="70"/>
  <c r="I58" i="70"/>
  <c r="J58" i="70"/>
  <c r="K58" i="70"/>
  <c r="L58" i="70"/>
  <c r="M58" i="70"/>
  <c r="N58" i="70"/>
  <c r="O58" i="70"/>
  <c r="F7" i="70"/>
  <c r="AA7" i="70"/>
  <c r="F8" i="70"/>
  <c r="AA8" i="70"/>
  <c r="C63" i="70"/>
  <c r="F9" i="70"/>
  <c r="AA9" i="70"/>
  <c r="D66" i="70"/>
  <c r="E66" i="70"/>
  <c r="F66" i="70"/>
  <c r="F10" i="70"/>
  <c r="AA10" i="70"/>
  <c r="C11" i="70"/>
  <c r="B70" i="70"/>
  <c r="F12" i="70"/>
  <c r="AA12" i="70"/>
  <c r="B72" i="70"/>
  <c r="F13" i="70"/>
  <c r="AA13" i="70"/>
  <c r="B74" i="70"/>
  <c r="F14" i="70"/>
  <c r="AA14" i="70"/>
  <c r="D77" i="70"/>
  <c r="F15" i="70"/>
  <c r="AA15" i="70"/>
  <c r="D79" i="70"/>
  <c r="F17" i="70"/>
  <c r="AA17" i="70"/>
  <c r="D81" i="70"/>
  <c r="F19" i="70"/>
  <c r="AA19" i="70"/>
  <c r="D83" i="70"/>
  <c r="F21" i="70"/>
  <c r="AA21" i="70"/>
  <c r="D85" i="70"/>
  <c r="F23" i="70"/>
  <c r="AA23" i="70"/>
  <c r="F25" i="70"/>
  <c r="AA25" i="70"/>
  <c r="F26" i="70"/>
  <c r="AA26" i="70"/>
  <c r="B90" i="70"/>
  <c r="F27" i="70"/>
  <c r="AA27" i="70"/>
  <c r="B92" i="70"/>
  <c r="F28" i="70"/>
  <c r="AA28" i="70"/>
  <c r="B94" i="70"/>
  <c r="F29" i="70"/>
  <c r="AA29" i="70"/>
  <c r="B96" i="70"/>
  <c r="F30" i="70"/>
  <c r="AA30" i="70"/>
  <c r="B98" i="70"/>
  <c r="F31" i="70"/>
  <c r="AA31" i="70"/>
  <c r="F32" i="70"/>
  <c r="AA32" i="70"/>
  <c r="E30" i="6"/>
  <c r="E31" i="6"/>
  <c r="C33" i="70"/>
  <c r="F33" i="70"/>
  <c r="AA33" i="70"/>
  <c r="F34" i="70"/>
  <c r="AA34" i="70"/>
  <c r="F35" i="70"/>
  <c r="AA35" i="70"/>
  <c r="F36" i="70"/>
  <c r="AA36" i="70"/>
  <c r="D113" i="70"/>
  <c r="E113" i="70"/>
  <c r="F113" i="70"/>
  <c r="G113" i="70"/>
  <c r="F37" i="70"/>
  <c r="AA37" i="70"/>
  <c r="F38" i="70"/>
  <c r="AA38" i="70"/>
  <c r="F39" i="70"/>
  <c r="AA39" i="70"/>
  <c r="F40" i="70"/>
  <c r="AA40" i="70"/>
  <c r="F41" i="70"/>
  <c r="AA41" i="70"/>
  <c r="D125" i="70"/>
  <c r="F43" i="70"/>
  <c r="AA43" i="70"/>
  <c r="B126" i="70"/>
  <c r="F44" i="70"/>
  <c r="AA44" i="70"/>
  <c r="B128" i="70"/>
  <c r="F45" i="70"/>
  <c r="AA45" i="70"/>
  <c r="B130" i="70"/>
  <c r="F46" i="70"/>
  <c r="AA46" i="70"/>
  <c r="T47" i="70"/>
  <c r="T48" i="70" s="1"/>
  <c r="G48" i="70" s="1"/>
  <c r="H7" i="70"/>
  <c r="AB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3" i="70"/>
  <c r="AB43" i="70"/>
  <c r="H44" i="70"/>
  <c r="AB44" i="70"/>
  <c r="H45" i="70"/>
  <c r="AB45" i="70"/>
  <c r="H46" i="70"/>
  <c r="AB46" i="70"/>
  <c r="V47" i="70"/>
  <c r="V48" i="70" s="1"/>
  <c r="I48" i="70" s="1"/>
  <c r="J7" i="70"/>
  <c r="AC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3" i="70"/>
  <c r="AC43" i="70"/>
  <c r="J44" i="70"/>
  <c r="AC44" i="70"/>
  <c r="J45" i="70"/>
  <c r="AC45" i="70"/>
  <c r="J46" i="70"/>
  <c r="AC46" i="70"/>
  <c r="D3" i="70"/>
  <c r="R47" i="21"/>
  <c r="C7" i="21"/>
  <c r="C58" i="21"/>
  <c r="D58" i="21"/>
  <c r="E58" i="21"/>
  <c r="F58" i="21"/>
  <c r="G58" i="21"/>
  <c r="H58" i="21"/>
  <c r="I58" i="21"/>
  <c r="J58" i="21"/>
  <c r="K58" i="21"/>
  <c r="L58" i="21"/>
  <c r="M58" i="21"/>
  <c r="N58" i="21"/>
  <c r="O58" i="21"/>
  <c r="F7" i="21"/>
  <c r="AA7" i="21"/>
  <c r="F8" i="21"/>
  <c r="AA8" i="21"/>
  <c r="C63" i="21"/>
  <c r="F9" i="21"/>
  <c r="AA9" i="21"/>
  <c r="D66" i="21"/>
  <c r="F10" i="21"/>
  <c r="AA10" i="21"/>
  <c r="C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5" i="33"/>
  <c r="F43" i="33"/>
  <c r="AA43" i="33"/>
  <c r="B126" i="33"/>
  <c r="F44" i="33"/>
  <c r="AA44" i="33"/>
  <c r="B128" i="33"/>
  <c r="F45" i="33"/>
  <c r="AA45" i="33"/>
  <c r="B130" i="33"/>
  <c r="F46" i="33"/>
  <c r="AA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3" i="33"/>
  <c r="AB43" i="33"/>
  <c r="H44" i="33"/>
  <c r="AB44" i="33"/>
  <c r="H45" i="33"/>
  <c r="AB45" i="33"/>
  <c r="H46" i="33"/>
  <c r="AB4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3" i="33"/>
  <c r="AC43" i="33"/>
  <c r="J44" i="33"/>
  <c r="AC44" i="33"/>
  <c r="J45" i="33"/>
  <c r="AC45" i="33"/>
  <c r="J46" i="33"/>
  <c r="AC46" i="33"/>
  <c r="D3" i="33"/>
  <c r="K7" i="1"/>
  <c r="M7" i="1"/>
  <c r="O7" i="1"/>
  <c r="P7" i="1"/>
  <c r="K6" i="1"/>
  <c r="M6" i="1"/>
  <c r="O6" i="1"/>
  <c r="P6"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4" i="12"/>
  <c r="B24" i="1"/>
  <c r="F29" i="12"/>
  <c r="Q16" i="1"/>
  <c r="F25" i="12"/>
  <c r="C25" i="12"/>
  <c r="T9" i="1"/>
  <c r="G1" i="71"/>
  <c r="F15" i="71"/>
  <c r="F17" i="71"/>
  <c r="F18" i="71"/>
  <c r="F20" i="71"/>
  <c r="F23" i="71"/>
  <c r="F21" i="71"/>
  <c r="F28" i="71"/>
  <c r="C28" i="71"/>
  <c r="F32" i="71"/>
  <c r="F33" i="71"/>
  <c r="L22" i="6"/>
  <c r="M22" i="6"/>
  <c r="I22" i="6"/>
  <c r="H22" i="6"/>
  <c r="R22" i="6"/>
  <c r="R9" i="1"/>
  <c r="F34" i="71"/>
  <c r="M47" i="71"/>
  <c r="E19" i="4"/>
  <c r="F19" i="4"/>
  <c r="F9" i="1"/>
  <c r="J50" i="71"/>
  <c r="J51" i="71"/>
  <c r="D9" i="1"/>
  <c r="K59" i="71"/>
  <c r="P75" i="71"/>
  <c r="Q73" i="71"/>
  <c r="F59" i="71"/>
  <c r="D60" i="71"/>
  <c r="F60" i="71"/>
  <c r="F61" i="71"/>
  <c r="P62" i="71"/>
  <c r="Q60" i="71"/>
  <c r="Q59" i="71"/>
  <c r="F58" i="71"/>
  <c r="Q52" i="71"/>
  <c r="L46" i="71"/>
  <c r="F31" i="71"/>
  <c r="AG9" i="1"/>
  <c r="M18" i="71"/>
  <c r="M20" i="71"/>
  <c r="D24" i="71"/>
  <c r="D23" i="71"/>
  <c r="D22" i="71"/>
  <c r="M19" i="71"/>
  <c r="M17" i="71"/>
  <c r="J140" i="70"/>
  <c r="C145" i="70"/>
  <c r="K139" i="70"/>
  <c r="K145" i="70"/>
  <c r="K144" i="70"/>
  <c r="K143" i="70"/>
  <c r="J142" i="70"/>
  <c r="K141" i="70"/>
  <c r="E125" i="70"/>
  <c r="F125" i="70"/>
  <c r="G125"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E85" i="70"/>
  <c r="F85" i="70"/>
  <c r="G85" i="70"/>
  <c r="E83" i="70"/>
  <c r="F83" i="70"/>
  <c r="G83" i="70"/>
  <c r="E81" i="70"/>
  <c r="F81" i="70"/>
  <c r="G81" i="70"/>
  <c r="E79" i="70"/>
  <c r="F79" i="70"/>
  <c r="G79" i="70"/>
  <c r="E77" i="70"/>
  <c r="F77" i="70"/>
  <c r="G77" i="70"/>
  <c r="I69" i="70"/>
  <c r="J69" i="70"/>
  <c r="K69" i="70"/>
  <c r="L69" i="70"/>
  <c r="M69" i="70"/>
  <c r="M67" i="70"/>
  <c r="L67" i="70"/>
  <c r="K67" i="70"/>
  <c r="J67" i="70"/>
  <c r="I67" i="70"/>
  <c r="H67" i="70"/>
  <c r="G67" i="70"/>
  <c r="F67" i="70"/>
  <c r="E67" i="70"/>
  <c r="D67" i="70"/>
  <c r="C67" i="70"/>
  <c r="G66" i="70"/>
  <c r="H66" i="70"/>
  <c r="I66" i="70"/>
  <c r="I54" i="70"/>
  <c r="J54" i="70" s="1"/>
  <c r="G54" i="70"/>
  <c r="H54" i="70" s="1"/>
  <c r="E54" i="70"/>
  <c r="F54" i="70" s="1"/>
  <c r="P49" i="70"/>
  <c r="P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8" i="12"/>
  <c r="I40" i="39"/>
  <c r="G40" i="39"/>
  <c r="I9" i="39"/>
  <c r="G9" i="39"/>
  <c r="I7" i="39"/>
  <c r="G7" i="39"/>
  <c r="E7" i="39"/>
  <c r="Q5" i="59"/>
  <c r="P5" i="59"/>
  <c r="O5" i="59"/>
  <c r="N5" i="59"/>
  <c r="Q6" i="59"/>
  <c r="Q7" i="59"/>
  <c r="P6" i="59"/>
  <c r="P7" i="59"/>
  <c r="O6" i="59"/>
  <c r="O7" i="59"/>
  <c r="N6" i="59"/>
  <c r="N7" i="59"/>
  <c r="Q8" i="59"/>
  <c r="P8" i="59"/>
  <c r="O8" i="59"/>
  <c r="N8" i="59"/>
  <c r="M19" i="46"/>
  <c r="D10"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Q14" i="59"/>
  <c r="Q15" i="59"/>
  <c r="Q16" i="59"/>
  <c r="Q17" i="59"/>
  <c r="AB11" i="59"/>
  <c r="P18" i="59"/>
  <c r="E19" i="59"/>
  <c r="E20" i="59"/>
  <c r="E21" i="59"/>
  <c r="U21" i="59"/>
  <c r="O18" i="59"/>
  <c r="C19" i="59"/>
  <c r="N18" i="59"/>
  <c r="B19" i="59"/>
  <c r="B20" i="59"/>
  <c r="B21" i="59"/>
  <c r="S21" i="59"/>
  <c r="D18" i="59"/>
  <c r="AB17" i="59"/>
  <c r="P17" i="59"/>
  <c r="AA17" i="59"/>
  <c r="O17" i="59"/>
  <c r="N17" i="59"/>
  <c r="X17" i="59"/>
  <c r="P16" i="59"/>
  <c r="AA16" i="59"/>
  <c r="O16" i="59"/>
  <c r="N16" i="59"/>
  <c r="X16" i="59"/>
  <c r="P15" i="59"/>
  <c r="P14" i="59"/>
  <c r="AA13" i="59"/>
  <c r="O15" i="59"/>
  <c r="N15" i="59"/>
  <c r="X15" i="59"/>
  <c r="F15" i="59"/>
  <c r="F16" i="59"/>
  <c r="F17" i="59"/>
  <c r="V17"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P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F83" i="21"/>
  <c r="G83" i="21"/>
  <c r="C21" i="21"/>
  <c r="Q27" i="40"/>
  <c r="Z27" i="40"/>
  <c r="D96" i="40"/>
  <c r="E96" i="40"/>
  <c r="F96" i="40"/>
  <c r="F27" i="40"/>
  <c r="AA27" i="40"/>
  <c r="Q31" i="39"/>
  <c r="Z31" i="39"/>
  <c r="E105" i="39"/>
  <c r="F105" i="39"/>
  <c r="G20" i="20"/>
  <c r="B85" i="46"/>
  <c r="C22" i="20"/>
  <c r="B65" i="46"/>
  <c r="S18" i="36"/>
  <c r="S21" i="37"/>
  <c r="C31" i="39"/>
  <c r="E66" i="36"/>
  <c r="H18" i="35"/>
  <c r="J18" i="35"/>
  <c r="H21" i="37"/>
  <c r="J21" i="37"/>
  <c r="E84" i="34"/>
  <c r="F84" i="34"/>
  <c r="G84" i="34"/>
  <c r="J21" i="34"/>
  <c r="H21" i="34"/>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7" i="1"/>
  <c r="G7" i="1"/>
  <c r="B2" i="52"/>
  <c r="B15" i="52" s="1"/>
  <c r="I2" i="46"/>
  <c r="A7" i="46"/>
  <c r="F41" i="4"/>
  <c r="J52" i="40"/>
  <c r="H61" i="49"/>
  <c r="H39" i="46"/>
  <c r="H38" i="46"/>
  <c r="H37" i="46"/>
  <c r="H36" i="46"/>
  <c r="H35" i="46"/>
  <c r="H34" i="46"/>
  <c r="H33" i="46"/>
  <c r="G20" i="46"/>
  <c r="E41" i="46"/>
  <c r="C41" i="46"/>
  <c r="J20" i="46"/>
  <c r="C18" i="46"/>
  <c r="G17" i="46"/>
  <c r="F15" i="46"/>
  <c r="E15" i="46"/>
  <c r="D15" i="46"/>
  <c r="C15" i="46"/>
  <c r="C10" i="46"/>
  <c r="C11" i="46"/>
  <c r="C9" i="46"/>
  <c r="D38" i="4"/>
  <c r="C39" i="4"/>
  <c r="C35" i="4"/>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C25" i="39"/>
  <c r="H10" i="39"/>
  <c r="AB10" i="39"/>
  <c r="H11" i="39"/>
  <c r="AB11" i="39" s="1"/>
  <c r="H36" i="39"/>
  <c r="AB36" i="39"/>
  <c r="H40" i="39"/>
  <c r="AB40" i="39"/>
  <c r="H42" i="39"/>
  <c r="AB42" i="39"/>
  <c r="J10" i="39"/>
  <c r="AC10" i="39"/>
  <c r="J11" i="39"/>
  <c r="AC11" i="39" s="1"/>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D113" i="33"/>
  <c r="H111" i="33"/>
  <c r="I111" i="33"/>
  <c r="J111" i="33"/>
  <c r="K111" i="33"/>
  <c r="L111" i="33"/>
  <c r="M111" i="33"/>
  <c r="S515" i="31"/>
  <c r="S517" i="31"/>
  <c r="S519" i="31"/>
  <c r="S521" i="31"/>
  <c r="S523" i="31"/>
  <c r="S41" i="21"/>
  <c r="U41" i="2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C23" i="33"/>
  <c r="C19" i="33"/>
  <c r="C17" i="33"/>
  <c r="C15" i="33"/>
  <c r="C15" i="21"/>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D87" i="33"/>
  <c r="E87" i="33"/>
  <c r="E85" i="33"/>
  <c r="E81" i="33"/>
  <c r="F81" i="33"/>
  <c r="G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111" i="21"/>
  <c r="E111" i="21"/>
  <c r="F111" i="21"/>
  <c r="C111" i="21"/>
  <c r="E79" i="21"/>
  <c r="F79" i="21"/>
  <c r="G79" i="21"/>
  <c r="E85" i="21"/>
  <c r="F85" i="21"/>
  <c r="G85" i="21"/>
  <c r="E81" i="21"/>
  <c r="F81" i="21"/>
  <c r="G81" i="21"/>
  <c r="E77" i="21"/>
  <c r="F77" i="21"/>
  <c r="G77" i="21"/>
  <c r="U29"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2" i="21"/>
  <c r="S38" i="21"/>
  <c r="S36" i="21"/>
  <c r="W40" i="21"/>
  <c r="U8" i="21"/>
  <c r="W34" i="21"/>
  <c r="W19" i="21"/>
  <c r="U12" i="21"/>
  <c r="W26"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U33" i="33"/>
  <c r="W38" i="33"/>
  <c r="S40" i="33"/>
  <c r="S33" i="33"/>
  <c r="W33" i="33"/>
  <c r="U38" i="33"/>
  <c r="S8" i="21"/>
  <c r="AB27" i="35"/>
  <c r="W10" i="40"/>
  <c r="S11" i="40"/>
  <c r="U11" i="40"/>
  <c r="U36" i="40"/>
  <c r="S36" i="39"/>
  <c r="U36" i="39"/>
  <c r="S42" i="39"/>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S36" i="33"/>
  <c r="S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4" i="34"/>
  <c r="AC44" i="34"/>
  <c r="F44" i="34"/>
  <c r="J10" i="35"/>
  <c r="W10" i="35"/>
  <c r="U14" i="21"/>
  <c r="S30" i="21"/>
  <c r="U44" i="21"/>
  <c r="W46" i="21"/>
  <c r="U26" i="33"/>
  <c r="W28" i="33"/>
  <c r="F33" i="35"/>
  <c r="S33" i="35"/>
  <c r="J33" i="35"/>
  <c r="W33" i="35"/>
  <c r="F30" i="35"/>
  <c r="AA30" i="35"/>
  <c r="E89" i="35"/>
  <c r="F89" i="35"/>
  <c r="G89" i="35"/>
  <c r="H89" i="35"/>
  <c r="I89" i="35"/>
  <c r="J89" i="35"/>
  <c r="K89" i="35"/>
  <c r="L89" i="35"/>
  <c r="M89" i="35"/>
  <c r="H10" i="36"/>
  <c r="AB10" i="36"/>
  <c r="F28" i="36"/>
  <c r="F27" i="36"/>
  <c r="S27" i="36"/>
  <c r="U45" i="21"/>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U14" i="33"/>
  <c r="S30"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W14" i="21"/>
  <c r="S45" i="21"/>
  <c r="U28" i="21"/>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17" i="37"/>
  <c r="U17" i="37"/>
  <c r="F23" i="37"/>
  <c r="S23" i="37"/>
  <c r="F22" i="36"/>
  <c r="S22" i="36"/>
  <c r="H35" i="34"/>
  <c r="U35" i="34"/>
  <c r="F41" i="34"/>
  <c r="S41" i="34"/>
  <c r="H41" i="34"/>
  <c r="U41" i="34"/>
  <c r="J41" i="34"/>
  <c r="W41" i="34"/>
  <c r="F10" i="35"/>
  <c r="F24" i="35"/>
  <c r="AA24" i="35"/>
  <c r="H24" i="35"/>
  <c r="AB24" i="35"/>
  <c r="H23" i="37"/>
  <c r="AB23" i="37"/>
  <c r="J32" i="37"/>
  <c r="AC32" i="37"/>
  <c r="F36" i="37"/>
  <c r="S36" i="37"/>
  <c r="F37" i="37"/>
  <c r="AA37" i="37"/>
  <c r="U23" i="37"/>
  <c r="G123" i="33"/>
  <c r="H123" i="33"/>
  <c r="I123" i="33"/>
  <c r="J123" i="33"/>
  <c r="K123" i="33"/>
  <c r="L123" i="33"/>
  <c r="M123" i="33"/>
  <c r="U42" i="33"/>
  <c r="J23" i="37"/>
  <c r="W23" i="37"/>
  <c r="F17" i="37"/>
  <c r="AC33" i="36"/>
  <c r="AC23" i="37"/>
  <c r="AC8" i="37"/>
  <c r="AC36" i="34"/>
  <c r="S39" i="33"/>
  <c r="H107" i="37"/>
  <c r="I107" i="37"/>
  <c r="J107" i="37"/>
  <c r="K107" i="37"/>
  <c r="L107" i="37"/>
  <c r="M107" i="37"/>
  <c r="S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J57" i="39"/>
  <c r="H13" i="40"/>
  <c r="U13" i="40"/>
  <c r="I4" i="4"/>
  <c r="K143" i="21"/>
  <c r="I59" i="40"/>
  <c r="C59" i="40"/>
  <c r="I60" i="40"/>
  <c r="C60" i="40"/>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H11" i="37"/>
  <c r="AB11" i="37"/>
  <c r="W37" i="37"/>
  <c r="AA36" i="37"/>
  <c r="S42" i="33"/>
  <c r="U32" i="33"/>
  <c r="AB17" i="37"/>
  <c r="AC11" i="36"/>
  <c r="AC10" i="36"/>
  <c r="AB45" i="34"/>
  <c r="AC14" i="37"/>
  <c r="S25" i="35"/>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U32" i="21"/>
  <c r="U26" i="21"/>
  <c r="S17" i="21"/>
  <c r="U37" i="21"/>
  <c r="S40" i="21"/>
  <c r="S8" i="33"/>
  <c r="H66" i="33"/>
  <c r="W1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S19" i="39"/>
  <c r="H19" i="39"/>
  <c r="U19" i="39"/>
  <c r="J19" i="39"/>
  <c r="W19" i="39"/>
  <c r="H43" i="39"/>
  <c r="U43" i="39"/>
  <c r="J43" i="39"/>
  <c r="AC43" i="39"/>
  <c r="F99" i="37"/>
  <c r="U25" i="35"/>
  <c r="S45" i="34"/>
  <c r="U31" i="34"/>
  <c r="W40" i="37"/>
  <c r="S28" i="33"/>
  <c r="S14" i="21"/>
  <c r="AB29" i="35"/>
  <c r="U29" i="35"/>
  <c r="W19" i="33"/>
  <c r="U43" i="34"/>
  <c r="AB43" i="34"/>
  <c r="AC34" i="37"/>
  <c r="AA35" i="37"/>
  <c r="AB10" i="35"/>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S21" i="39"/>
  <c r="H21" i="39"/>
  <c r="AB21" i="39"/>
  <c r="J21" i="39"/>
  <c r="W21" i="39"/>
  <c r="S33" i="39"/>
  <c r="H33" i="39"/>
  <c r="U33" i="39"/>
  <c r="J33" i="39"/>
  <c r="AC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J34" i="39"/>
  <c r="AC34" i="39"/>
  <c r="S39" i="39"/>
  <c r="H39" i="39"/>
  <c r="AB39" i="39"/>
  <c r="J39" i="39"/>
  <c r="J29" i="35"/>
  <c r="AC29" i="35"/>
  <c r="F29" i="35"/>
  <c r="S29" i="35"/>
  <c r="W30" i="36"/>
  <c r="AC30" i="36"/>
  <c r="H37" i="39"/>
  <c r="U37" i="39"/>
  <c r="J37" i="39"/>
  <c r="W37" i="39"/>
  <c r="F36" i="44"/>
  <c r="H38" i="34"/>
  <c r="U38" i="34"/>
  <c r="H30" i="40"/>
  <c r="AB30" i="40"/>
  <c r="G100" i="40"/>
  <c r="H100" i="40"/>
  <c r="I100" i="40"/>
  <c r="J100" i="40"/>
  <c r="K100" i="40"/>
  <c r="L100" i="40"/>
  <c r="M100" i="40"/>
  <c r="J30" i="40"/>
  <c r="AC30" i="40"/>
  <c r="F38" i="40"/>
  <c r="AA38" i="40"/>
  <c r="AA36" i="34"/>
  <c r="W12" i="21"/>
  <c r="U8" i="33"/>
  <c r="E106" i="33"/>
  <c r="F106" i="33"/>
  <c r="G106" i="33"/>
  <c r="H106" i="33"/>
  <c r="I106" i="33"/>
  <c r="J106" i="33"/>
  <c r="K106" i="33"/>
  <c r="L106" i="33"/>
  <c r="M106" i="33"/>
  <c r="U34" i="33"/>
  <c r="S34" i="33"/>
  <c r="E12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H14" i="39"/>
  <c r="AB14" i="39"/>
  <c r="J14" i="39"/>
  <c r="AC14" i="39"/>
  <c r="H16" i="39"/>
  <c r="U16" i="39"/>
  <c r="J16" i="39"/>
  <c r="AC16" i="39"/>
  <c r="E97" i="39"/>
  <c r="H27" i="39"/>
  <c r="AB27" i="39"/>
  <c r="J27" i="39"/>
  <c r="AC27" i="39"/>
  <c r="F15" i="40"/>
  <c r="AA15" i="40"/>
  <c r="J15" i="40"/>
  <c r="AC15" i="40"/>
  <c r="H15" i="40"/>
  <c r="AB15"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J42" i="40"/>
  <c r="AC42" i="40"/>
  <c r="J40" i="40"/>
  <c r="AC40" i="40"/>
  <c r="J34" i="40"/>
  <c r="AC34" i="40"/>
  <c r="H16" i="40"/>
  <c r="AB16" i="40"/>
  <c r="H14" i="40"/>
  <c r="U14" i="40"/>
  <c r="F32" i="40"/>
  <c r="AA32" i="40"/>
  <c r="M1" i="46"/>
  <c r="M6" i="46"/>
  <c r="M10" i="46"/>
  <c r="N2" i="46"/>
  <c r="N5" i="46"/>
  <c r="F58" i="46"/>
  <c r="H58" i="46"/>
  <c r="F47" i="46"/>
  <c r="H49" i="46"/>
  <c r="N7" i="46"/>
  <c r="M7" i="46"/>
  <c r="M11" i="46"/>
  <c r="N3" i="46"/>
  <c r="N6" i="46"/>
  <c r="N10" i="46"/>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U15" i="33"/>
  <c r="U16" i="40"/>
  <c r="AC16" i="40"/>
  <c r="H25" i="40"/>
  <c r="AB25" i="40"/>
  <c r="W15" i="39"/>
  <c r="J37" i="34"/>
  <c r="AC37" i="34"/>
  <c r="W36" i="33"/>
  <c r="AB23" i="40"/>
  <c r="H23" i="39"/>
  <c r="AB23" i="39"/>
  <c r="J23" i="39"/>
  <c r="AC23" i="39"/>
  <c r="F97" i="39"/>
  <c r="G97" i="39"/>
  <c r="AA15" i="34"/>
  <c r="U30" i="40"/>
  <c r="AC39" i="39"/>
  <c r="W39" i="39"/>
  <c r="AB46"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W35" i="33"/>
  <c r="U11" i="33"/>
  <c r="U10" i="33"/>
  <c r="I66" i="33"/>
  <c r="U11" i="37"/>
  <c r="J11" i="34"/>
  <c r="W11" i="34"/>
  <c r="S17" i="34"/>
  <c r="F25" i="40"/>
  <c r="AA25" i="40"/>
  <c r="W11" i="33"/>
  <c r="H33" i="37"/>
  <c r="AB33" i="37"/>
  <c r="W15" i="34"/>
  <c r="U20" i="35"/>
  <c r="AB20" i="35"/>
  <c r="W23" i="40"/>
  <c r="D73" i="9"/>
  <c r="N73" i="9"/>
  <c r="AP11" i="1"/>
  <c r="B11" i="1"/>
  <c r="E11" i="1"/>
  <c r="B9" i="1"/>
  <c r="E9" i="1"/>
  <c r="B7" i="1"/>
  <c r="E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U36" i="33"/>
  <c r="W31" i="33"/>
  <c r="U46" i="33"/>
  <c r="W39" i="33"/>
  <c r="U35" i="33"/>
  <c r="W26" i="33"/>
  <c r="W25" i="33"/>
  <c r="F87" i="33"/>
  <c r="G87" i="33"/>
  <c r="H87" i="33"/>
  <c r="I87" i="33"/>
  <c r="J87" i="33"/>
  <c r="K87" i="33"/>
  <c r="L87" i="33"/>
  <c r="M87" i="33"/>
  <c r="S25" i="33"/>
  <c r="F85" i="33"/>
  <c r="G85" i="33"/>
  <c r="U19" i="33"/>
  <c r="F79" i="33"/>
  <c r="G79" i="33"/>
  <c r="W17" i="33"/>
  <c r="S10" i="33"/>
  <c r="S14" i="33"/>
  <c r="W10" i="33"/>
  <c r="W21" i="33"/>
  <c r="W14" i="33"/>
  <c r="U21" i="33"/>
  <c r="S21" i="33"/>
  <c r="S44" i="21"/>
  <c r="W39" i="21"/>
  <c r="W43" i="21"/>
  <c r="W28" i="21"/>
  <c r="S15" i="21"/>
  <c r="W21" i="21"/>
  <c r="W44" i="21"/>
  <c r="U21"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M18" i="15"/>
  <c r="A18" i="64"/>
  <c r="B74" i="63"/>
  <c r="C53" i="10"/>
  <c r="A25" i="64"/>
  <c r="A18" i="51"/>
  <c r="B14" i="63"/>
  <c r="F3" i="35"/>
  <c r="K1" i="43"/>
  <c r="K1" i="12"/>
  <c r="G1" i="44"/>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O19" i="46"/>
  <c r="H73" i="46"/>
  <c r="H74" i="46"/>
  <c r="H86" i="46"/>
  <c r="H82" i="46"/>
  <c r="H63" i="46"/>
  <c r="H64" i="46"/>
  <c r="H10" i="48"/>
  <c r="H87" i="46"/>
  <c r="H85" i="46"/>
  <c r="H83" i="46"/>
  <c r="R11" i="1"/>
  <c r="R13" i="1"/>
  <c r="B6" i="1"/>
  <c r="E6" i="1"/>
  <c r="B10" i="1"/>
  <c r="E10" i="1"/>
  <c r="B8" i="1"/>
  <c r="E8" i="1"/>
  <c r="B12" i="1"/>
  <c r="E12" i="1"/>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S43" i="33"/>
  <c r="S26" i="33"/>
  <c r="S15" i="33"/>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U23" i="33"/>
  <c r="W23" i="33"/>
  <c r="S23"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4" i="4"/>
  <c r="B21" i="55"/>
  <c r="B72" i="63"/>
  <c r="C4" i="4"/>
  <c r="B20" i="55"/>
  <c r="G66" i="36"/>
  <c r="J18" i="36"/>
  <c r="W18" i="36"/>
  <c r="AE7" i="1"/>
  <c r="AE6" i="1"/>
  <c r="AC18" i="36"/>
  <c r="AG6" i="1"/>
  <c r="L20" i="6"/>
  <c r="B70" i="63"/>
  <c r="M20" i="6"/>
  <c r="I20" i="6"/>
  <c r="H20" i="6"/>
  <c r="R20" i="6"/>
  <c r="C45" i="9"/>
  <c r="H14" i="66"/>
  <c r="B7" i="66"/>
  <c r="K31" i="9"/>
  <c r="K32" i="9"/>
  <c r="N76" i="9"/>
  <c r="C46" i="9"/>
  <c r="K33" i="9"/>
  <c r="O41" i="9"/>
  <c r="K34" i="9"/>
  <c r="I14" i="66"/>
  <c r="B8" i="66"/>
  <c r="R8" i="54"/>
  <c r="B54" i="63"/>
  <c r="U43" i="21"/>
  <c r="S39" i="21"/>
  <c r="U39" i="21"/>
  <c r="S35" i="21"/>
  <c r="S34" i="21"/>
  <c r="U42" i="21"/>
  <c r="E67" i="40"/>
  <c r="F65" i="40"/>
  <c r="AA29" i="40"/>
  <c r="S29" i="40"/>
  <c r="W27" i="21"/>
  <c r="S27" i="33"/>
  <c r="U34" i="40"/>
  <c r="AB34" i="40"/>
  <c r="AC32" i="40"/>
  <c r="W32" i="40"/>
  <c r="S16" i="39"/>
  <c r="AA10" i="35"/>
  <c r="S10" i="35"/>
  <c r="U31" i="33"/>
  <c r="W29" i="33"/>
  <c r="U31" i="21"/>
  <c r="E66" i="21"/>
  <c r="F66" i="21"/>
  <c r="G66" i="21"/>
  <c r="H66" i="21"/>
  <c r="I66" i="21"/>
  <c r="U10" i="21"/>
  <c r="B70" i="46"/>
  <c r="C23" i="39"/>
  <c r="AB22" i="36"/>
  <c r="U22" i="36"/>
  <c r="J23" i="36"/>
  <c r="H23" i="36"/>
  <c r="U10" i="37"/>
  <c r="AB10" i="37"/>
  <c r="AA42" i="34"/>
  <c r="S42" i="34"/>
  <c r="A9" i="51"/>
  <c r="B9" i="63"/>
  <c r="S19" i="40"/>
  <c r="AB19" i="37"/>
  <c r="AC14" i="36"/>
  <c r="B59" i="46"/>
  <c r="C19" i="39"/>
  <c r="W16" i="39"/>
  <c r="AC37" i="39"/>
  <c r="W37" i="40"/>
  <c r="W25" i="21"/>
  <c r="AB28" i="37"/>
  <c r="H60" i="46"/>
  <c r="H59" i="46"/>
  <c r="S13" i="21"/>
  <c r="W11" i="35"/>
  <c r="H65" i="46"/>
  <c r="H62" i="46"/>
  <c r="E69" i="46"/>
  <c r="B67" i="46"/>
  <c r="C7" i="46"/>
  <c r="C16" i="46"/>
  <c r="C5" i="46"/>
  <c r="AC38" i="39"/>
  <c r="J29" i="40"/>
  <c r="S38" i="40"/>
  <c r="S15" i="40"/>
  <c r="U33" i="40"/>
  <c r="W13" i="21"/>
  <c r="W15" i="21"/>
  <c r="W23" i="21"/>
  <c r="W43" i="33"/>
  <c r="S35" i="33"/>
  <c r="S9" i="34"/>
  <c r="AC35" i="34"/>
  <c r="S37" i="37"/>
  <c r="W32" i="37"/>
  <c r="AA31" i="37"/>
  <c r="S23" i="35"/>
  <c r="U25" i="36"/>
  <c r="AC16" i="35"/>
  <c r="S27" i="34"/>
  <c r="AA27" i="34"/>
  <c r="W33" i="39"/>
  <c r="AB42" i="40"/>
  <c r="F34" i="44"/>
  <c r="F66" i="9"/>
  <c r="P72" i="9"/>
  <c r="F72" i="9"/>
  <c r="F59" i="15"/>
  <c r="D86" i="9"/>
  <c r="F31" i="43"/>
  <c r="AC35" i="40"/>
  <c r="W35" i="40"/>
  <c r="U32" i="40"/>
  <c r="AB32" i="40"/>
  <c r="AC41" i="40"/>
  <c r="W41" i="40"/>
  <c r="AB29" i="37"/>
  <c r="S11" i="33"/>
  <c r="AA23" i="37"/>
  <c r="U44" i="33"/>
  <c r="U37" i="37"/>
  <c r="AB37" i="37"/>
  <c r="AA29" i="37"/>
  <c r="S29" i="37"/>
  <c r="S28" i="36"/>
  <c r="AA28" i="36"/>
  <c r="S44" i="34"/>
  <c r="AA44" i="34"/>
  <c r="U34" i="37"/>
  <c r="W34" i="36"/>
  <c r="AC34" i="36"/>
  <c r="S31" i="35"/>
  <c r="AB34" i="34"/>
  <c r="U34" i="34"/>
  <c r="H9" i="34"/>
  <c r="J9" i="34"/>
  <c r="S31" i="33"/>
  <c r="H36" i="35"/>
  <c r="J36" i="35"/>
  <c r="F36" i="35"/>
  <c r="AA27" i="35"/>
  <c r="S27" i="35"/>
  <c r="U8" i="36"/>
  <c r="AB8" i="36"/>
  <c r="H27" i="37"/>
  <c r="F27" i="37"/>
  <c r="J27" i="37"/>
  <c r="H38" i="37"/>
  <c r="F38" i="37"/>
  <c r="J38" i="37"/>
  <c r="E91" i="39"/>
  <c r="F91" i="39"/>
  <c r="G91" i="39"/>
  <c r="J17" i="39"/>
  <c r="K15" i="1"/>
  <c r="AC17" i="34"/>
  <c r="W17" i="34"/>
  <c r="AC20" i="35"/>
  <c r="W20" i="35"/>
  <c r="S37" i="39"/>
  <c r="AB34" i="39"/>
  <c r="U34" i="39"/>
  <c r="U33" i="36"/>
  <c r="AB33" i="36"/>
  <c r="S14" i="35"/>
  <c r="AA14" i="35"/>
  <c r="AB27" i="34"/>
  <c r="U27" i="34"/>
  <c r="AB32" i="37"/>
  <c r="U32" i="37"/>
  <c r="S32" i="33"/>
  <c r="AA17" i="37"/>
  <c r="S17" i="37"/>
  <c r="U43" i="33"/>
  <c r="W25" i="36"/>
  <c r="AC25" i="36"/>
  <c r="S12" i="21"/>
  <c r="B73" i="46"/>
  <c r="C29" i="39"/>
  <c r="U8" i="34"/>
  <c r="AB8" i="34"/>
  <c r="W30" i="37"/>
  <c r="AC30" i="37"/>
  <c r="S34" i="37"/>
  <c r="AA34" i="37"/>
  <c r="AC31" i="35"/>
  <c r="W31" i="35"/>
  <c r="S40" i="39"/>
  <c r="E9" i="12"/>
  <c r="E32" i="6"/>
  <c r="L19" i="6"/>
  <c r="C9" i="12"/>
  <c r="AB31" i="37"/>
  <c r="U31" i="37"/>
  <c r="S46" i="33"/>
  <c r="U30" i="21"/>
  <c r="W28" i="34"/>
  <c r="AC28" i="34"/>
  <c r="U36" i="21"/>
  <c r="F28" i="34"/>
  <c r="H28" i="34"/>
  <c r="AC23" i="35"/>
  <c r="W23" i="35"/>
  <c r="H12" i="35"/>
  <c r="F12" i="35"/>
  <c r="J35" i="35"/>
  <c r="AC35" i="35"/>
  <c r="H35" i="35"/>
  <c r="H13" i="36"/>
  <c r="J13" i="36"/>
  <c r="F13" i="36"/>
  <c r="AB30" i="37"/>
  <c r="U30" i="37"/>
  <c r="J9" i="37"/>
  <c r="H9" i="37"/>
  <c r="F9" i="37"/>
  <c r="J12" i="37"/>
  <c r="H12" i="37"/>
  <c r="F12" i="37"/>
  <c r="J39" i="37"/>
  <c r="F39" i="37"/>
  <c r="S39" i="37"/>
  <c r="H39" i="37"/>
  <c r="S37" i="33"/>
  <c r="AA36" i="40"/>
  <c r="S36" i="40"/>
  <c r="AA10" i="40"/>
  <c r="S10" i="40"/>
  <c r="N12" i="46"/>
  <c r="H12" i="48"/>
  <c r="K141" i="21"/>
  <c r="K144" i="21"/>
  <c r="I4" i="6"/>
  <c r="G3" i="46"/>
  <c r="C92" i="9"/>
  <c r="C18" i="9"/>
  <c r="K145" i="21"/>
  <c r="A11" i="55"/>
  <c r="B62" i="6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K100" i="46"/>
  <c r="I10" i="57"/>
  <c r="Y6" i="59"/>
  <c r="Z6" i="59"/>
  <c r="W7" i="21"/>
  <c r="C30" i="44"/>
  <c r="S43" i="39"/>
  <c r="W43" i="39"/>
  <c r="U15" i="21"/>
  <c r="L27" i="6"/>
  <c r="E12" i="6"/>
  <c r="E64" i="39"/>
  <c r="C15" i="43"/>
  <c r="E58" i="39"/>
  <c r="W42" i="21"/>
  <c r="U38" i="21"/>
  <c r="U35" i="21"/>
  <c r="W32" i="21"/>
  <c r="U23" i="21"/>
  <c r="S23" i="21"/>
  <c r="S21" i="21"/>
  <c r="U19" i="21"/>
  <c r="S19" i="21"/>
  <c r="W17" i="21"/>
  <c r="W9" i="21"/>
  <c r="E13" i="6"/>
  <c r="E65" i="39"/>
  <c r="E14" i="6"/>
  <c r="E66" i="39"/>
  <c r="E11" i="6"/>
  <c r="E10" i="6"/>
  <c r="W31" i="39"/>
  <c r="S29" i="39"/>
  <c r="W29" i="39"/>
  <c r="S27" i="39"/>
  <c r="U27" i="39"/>
  <c r="W27" i="39"/>
  <c r="S25" i="39"/>
  <c r="AB25" i="39"/>
  <c r="W25" i="39"/>
  <c r="E14" i="52"/>
  <c r="W23" i="39"/>
  <c r="U23" i="39"/>
  <c r="S23" i="39"/>
  <c r="U21" i="39"/>
  <c r="AC19" i="39"/>
  <c r="AB17" i="39"/>
  <c r="L16" i="4"/>
  <c r="D23" i="15"/>
  <c r="G6" i="1"/>
  <c r="N16" i="4"/>
  <c r="AP16" i="1"/>
  <c r="F22" i="11"/>
  <c r="O40" i="9"/>
  <c r="R7" i="54"/>
  <c r="B52" i="63"/>
  <c r="N4" i="63"/>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H9" i="39"/>
  <c r="AB9" i="39"/>
  <c r="J9" i="39"/>
  <c r="AC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D5" i="46"/>
  <c r="J7" i="37"/>
  <c r="F7" i="35"/>
  <c r="F7" i="34"/>
  <c r="A25" i="51"/>
  <c r="B18" i="63"/>
  <c r="H72" i="46"/>
  <c r="H16" i="1"/>
  <c r="AA20" i="36"/>
  <c r="S14" i="36"/>
  <c r="U33" i="37"/>
  <c r="H69" i="46"/>
  <c r="H77" i="46"/>
  <c r="H76" i="46"/>
  <c r="H55" i="46"/>
  <c r="H54" i="46"/>
  <c r="H52" i="46"/>
  <c r="U41" i="39"/>
  <c r="AB15" i="39"/>
  <c r="AB45" i="39"/>
  <c r="S42" i="21"/>
  <c r="U25" i="33"/>
  <c r="AC11" i="34"/>
  <c r="U35" i="37"/>
  <c r="AA20" i="35"/>
  <c r="S33" i="36"/>
  <c r="U27" i="36"/>
  <c r="AA26" i="36"/>
  <c r="AC13" i="40"/>
  <c r="U40" i="21"/>
  <c r="AB44" i="39"/>
  <c r="AB29" i="39"/>
  <c r="W29" i="35"/>
  <c r="S41" i="40"/>
  <c r="U47" i="39"/>
  <c r="W34" i="40"/>
  <c r="U17" i="21"/>
  <c r="AA11" i="34"/>
  <c r="AA29" i="35"/>
  <c r="AB16" i="39"/>
  <c r="U41" i="40"/>
  <c r="S47" i="39"/>
  <c r="W40" i="40"/>
  <c r="H47" i="46"/>
  <c r="S9" i="21"/>
  <c r="W9" i="33"/>
  <c r="AC23" i="36"/>
  <c r="W23" i="36"/>
  <c r="AC41" i="34"/>
  <c r="W31" i="34"/>
  <c r="W46" i="33"/>
  <c r="W35" i="35"/>
  <c r="H25" i="37"/>
  <c r="J25" i="37"/>
  <c r="F25" i="37"/>
  <c r="AA39" i="37"/>
  <c r="W8" i="21"/>
  <c r="J12" i="35"/>
  <c r="J34" i="35"/>
  <c r="H34" i="35"/>
  <c r="F34" i="35"/>
  <c r="H12" i="36"/>
  <c r="F23" i="36"/>
  <c r="A30" i="64"/>
  <c r="A30" i="51"/>
  <c r="B22" i="63"/>
  <c r="C29" i="59"/>
  <c r="D28" i="59"/>
  <c r="V9" i="59"/>
  <c r="F8" i="59"/>
  <c r="F7" i="59"/>
  <c r="F6" i="59"/>
  <c r="F5" i="59"/>
  <c r="I21" i="57"/>
  <c r="D1" i="57"/>
  <c r="E10"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6" i="52"/>
  <c r="B7" i="52"/>
  <c r="P21" i="46"/>
  <c r="P22" i="46"/>
  <c r="P25" i="46"/>
  <c r="P24" i="46"/>
  <c r="B68" i="40"/>
  <c r="B22" i="52"/>
  <c r="B11" i="52"/>
  <c r="E9" i="52"/>
  <c r="E11" i="52"/>
  <c r="E13" i="52"/>
  <c r="E8" i="52"/>
  <c r="B5" i="52"/>
  <c r="B16" i="52"/>
  <c r="B13" i="52"/>
  <c r="E21" i="52"/>
  <c r="F31" i="15"/>
  <c r="F33" i="44"/>
  <c r="M19" i="44"/>
  <c r="D20" i="59"/>
  <c r="C21" i="59"/>
  <c r="D18" i="9"/>
  <c r="M44" i="9"/>
  <c r="M43" i="9"/>
  <c r="AA12" i="37"/>
  <c r="S12" i="37"/>
  <c r="AC12" i="37"/>
  <c r="W12" i="37"/>
  <c r="U9" i="37"/>
  <c r="AB9" i="37"/>
  <c r="S13" i="36"/>
  <c r="AA13" i="36"/>
  <c r="AB13" i="36"/>
  <c r="U13" i="36"/>
  <c r="AB12" i="35"/>
  <c r="U12" i="35"/>
  <c r="U45" i="33"/>
  <c r="S28" i="34"/>
  <c r="AA28" i="34"/>
  <c r="W27" i="33"/>
  <c r="S27" i="21"/>
  <c r="S17" i="39"/>
  <c r="AC38" i="37"/>
  <c r="W38" i="37"/>
  <c r="AB38" i="37"/>
  <c r="U38" i="37"/>
  <c r="AA27" i="37"/>
  <c r="S27" i="37"/>
  <c r="S36" i="35"/>
  <c r="AA36" i="35"/>
  <c r="U36" i="35"/>
  <c r="AB36" i="35"/>
  <c r="W44" i="33"/>
  <c r="U29" i="33"/>
  <c r="W13" i="33"/>
  <c r="AC9" i="34"/>
  <c r="W9" i="34"/>
  <c r="U13" i="21"/>
  <c r="W45" i="21"/>
  <c r="AC29" i="40"/>
  <c r="W29" i="40"/>
  <c r="W10" i="21"/>
  <c r="W31" i="21"/>
  <c r="G65" i="40"/>
  <c r="F67" i="40"/>
  <c r="K17" i="4"/>
  <c r="A22" i="51"/>
  <c r="B16" i="63"/>
  <c r="D72" i="59"/>
  <c r="C71" i="59"/>
  <c r="D71" i="59"/>
  <c r="AB39" i="37"/>
  <c r="U39" i="37"/>
  <c r="AC39" i="37"/>
  <c r="W39" i="37"/>
  <c r="U12" i="37"/>
  <c r="AB12" i="37"/>
  <c r="AA9" i="37"/>
  <c r="S9" i="37"/>
  <c r="AC9" i="37"/>
  <c r="W9" i="37"/>
  <c r="AC13" i="36"/>
  <c r="W13" i="36"/>
  <c r="U35" i="35"/>
  <c r="AB35" i="35"/>
  <c r="AA12" i="35"/>
  <c r="S12" i="35"/>
  <c r="W45" i="33"/>
  <c r="AB28" i="34"/>
  <c r="U28" i="34"/>
  <c r="U18" i="1"/>
  <c r="U19" i="1"/>
  <c r="U27" i="33"/>
  <c r="U27" i="21"/>
  <c r="W17" i="39"/>
  <c r="AC17" i="39"/>
  <c r="S38" i="37"/>
  <c r="AA38" i="37"/>
  <c r="W27" i="37"/>
  <c r="AC27" i="37"/>
  <c r="U27" i="37"/>
  <c r="AB27" i="37"/>
  <c r="AC36" i="35"/>
  <c r="W36" i="35"/>
  <c r="S44" i="33"/>
  <c r="S29" i="33"/>
  <c r="U13" i="33"/>
  <c r="S13" i="33"/>
  <c r="AB9" i="34"/>
  <c r="U9" i="34"/>
  <c r="S29" i="21"/>
  <c r="E15" i="6"/>
  <c r="AB23" i="36"/>
  <c r="U23" i="36"/>
  <c r="S10" i="21"/>
  <c r="S31" i="21"/>
  <c r="S7" i="21"/>
  <c r="F7" i="37"/>
  <c r="C27" i="43"/>
  <c r="C31" i="43"/>
  <c r="E59" i="40"/>
  <c r="E60" i="40"/>
  <c r="D22" i="46"/>
  <c r="E53" i="40"/>
  <c r="F24" i="43"/>
  <c r="C26" i="43" s="1"/>
  <c r="D24" i="43" s="1"/>
  <c r="F18" i="11"/>
  <c r="C18" i="11"/>
  <c r="E61" i="40"/>
  <c r="E16" i="6"/>
  <c r="E58" i="40"/>
  <c r="E63" i="39"/>
  <c r="W9" i="39"/>
  <c r="U9" i="39"/>
  <c r="G48" i="33"/>
  <c r="U7" i="33"/>
  <c r="H7" i="36"/>
  <c r="H7" i="34"/>
  <c r="S7" i="33"/>
  <c r="V13" i="59"/>
  <c r="F12" i="59"/>
  <c r="F11" i="59"/>
  <c r="O51" i="59"/>
  <c r="O50" i="59"/>
  <c r="D51" i="59"/>
  <c r="T41" i="59"/>
  <c r="D41" i="59"/>
  <c r="AA23" i="36"/>
  <c r="S23" i="36"/>
  <c r="AA34" i="35"/>
  <c r="S34" i="35"/>
  <c r="AC34" i="35"/>
  <c r="W34" i="35"/>
  <c r="U9" i="33"/>
  <c r="U9" i="21"/>
  <c r="W25" i="37"/>
  <c r="AC25" i="37"/>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AC7" i="34"/>
  <c r="V49" i="34"/>
  <c r="I49" i="34"/>
  <c r="W7" i="34"/>
  <c r="AB7" i="35"/>
  <c r="T38" i="35"/>
  <c r="G38" i="35"/>
  <c r="U7" i="35"/>
  <c r="U7" i="37"/>
  <c r="AB7" i="37"/>
  <c r="T42" i="37"/>
  <c r="G42" i="37"/>
  <c r="M17" i="15"/>
  <c r="F58" i="15"/>
  <c r="E62" i="40"/>
  <c r="E67" i="39"/>
  <c r="M16" i="1"/>
  <c r="K16" i="1"/>
  <c r="D12" i="11"/>
  <c r="C12" i="11"/>
  <c r="H65" i="40"/>
  <c r="G67" i="40"/>
  <c r="D21" i="59"/>
  <c r="T21" i="59"/>
  <c r="U7" i="21"/>
  <c r="K24" i="6"/>
  <c r="M24" i="6"/>
  <c r="I24" i="6"/>
  <c r="S24" i="6"/>
  <c r="K23" i="6"/>
  <c r="M23" i="6"/>
  <c r="I23" i="6"/>
  <c r="S23" i="6"/>
  <c r="K26" i="6"/>
  <c r="M26" i="6"/>
  <c r="I26" i="6"/>
  <c r="S26" i="6"/>
  <c r="S22" i="6"/>
  <c r="K25" i="6"/>
  <c r="M25" i="6"/>
  <c r="I25" i="6"/>
  <c r="S25" i="6"/>
  <c r="S6" i="46"/>
  <c r="S2" i="46"/>
  <c r="S7" i="46"/>
  <c r="S5" i="46"/>
  <c r="S3" i="46"/>
  <c r="S4" i="46"/>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E489" i="3"/>
  <c r="I65" i="40"/>
  <c r="H67" i="40"/>
  <c r="O16" i="1"/>
  <c r="C13" i="43"/>
  <c r="C14" i="43" s="1"/>
  <c r="L16" i="1"/>
  <c r="N16" i="1"/>
  <c r="C29" i="43"/>
  <c r="S21" i="6"/>
  <c r="S20" i="6"/>
  <c r="H6" i="3"/>
  <c r="AC6" i="3"/>
  <c r="K27" i="6"/>
  <c r="M19" i="6"/>
  <c r="I52" i="33"/>
  <c r="J52" i="33"/>
  <c r="I53" i="33"/>
  <c r="J53" i="33"/>
  <c r="C48" i="33"/>
  <c r="E52" i="33"/>
  <c r="F52" i="33"/>
  <c r="E53" i="33"/>
  <c r="F53" i="33"/>
  <c r="L38" i="9"/>
  <c r="B14" i="66"/>
  <c r="B1" i="66"/>
  <c r="D45" i="9"/>
  <c r="D16" i="43"/>
  <c r="C16" i="43" s="1"/>
  <c r="D46" i="9"/>
  <c r="C21" i="4"/>
  <c r="O5" i="54"/>
  <c r="B45" i="63"/>
  <c r="D10" i="11"/>
  <c r="C37" i="36"/>
  <c r="B3" i="36"/>
  <c r="B2" i="36"/>
  <c r="C36" i="36"/>
  <c r="C38" i="35"/>
  <c r="C39" i="35"/>
  <c r="B3" i="35"/>
  <c r="B2" i="35"/>
  <c r="E54" i="34"/>
  <c r="F54" i="34"/>
  <c r="E53" i="34"/>
  <c r="F53" i="34"/>
  <c r="C43" i="37"/>
  <c r="B3" i="37"/>
  <c r="B2" i="37"/>
  <c r="C42" i="37"/>
  <c r="D7" i="59"/>
  <c r="C6" i="5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W33" i="21"/>
  <c r="U33" i="21"/>
  <c r="S33" i="21"/>
  <c r="I67" i="40"/>
  <c r="J65" i="40"/>
  <c r="T7" i="1"/>
  <c r="E6" i="3"/>
  <c r="I19" i="6"/>
  <c r="H19" i="6"/>
  <c r="M27" i="6"/>
  <c r="E68" i="39"/>
  <c r="K38" i="9"/>
  <c r="C14" i="66"/>
  <c r="B2" i="66"/>
  <c r="D11" i="6"/>
  <c r="D12" i="6"/>
  <c r="H25" i="6"/>
  <c r="D9" i="6"/>
  <c r="D5" i="6"/>
  <c r="D15" i="6"/>
  <c r="H26" i="6"/>
  <c r="F46" i="9"/>
  <c r="E46" i="9"/>
  <c r="E63" i="40"/>
  <c r="D13" i="6"/>
  <c r="H24" i="6"/>
  <c r="D8" i="6"/>
  <c r="E45" i="9"/>
  <c r="F45" i="9"/>
  <c r="C22" i="4"/>
  <c r="D10" i="6"/>
  <c r="D6" i="6"/>
  <c r="D14" i="6"/>
  <c r="R7" i="1"/>
  <c r="H23" i="6"/>
  <c r="C5" i="59"/>
  <c r="D6" i="59"/>
  <c r="C8" i="66"/>
  <c r="C7" i="66"/>
  <c r="D13" i="11"/>
  <c r="C13" i="11"/>
  <c r="J67" i="40"/>
  <c r="K65" i="40"/>
  <c r="T12" i="1"/>
  <c r="T10" i="1"/>
  <c r="T13" i="1"/>
  <c r="T11" i="1"/>
  <c r="T6" i="1"/>
  <c r="H27" i="6"/>
  <c r="D16" i="6"/>
  <c r="S19" i="6"/>
  <c r="S27" i="6"/>
  <c r="I27" i="6"/>
  <c r="R25" i="6"/>
  <c r="R23" i="6"/>
  <c r="R19" i="6"/>
  <c r="R24" i="6"/>
  <c r="D5" i="59"/>
  <c r="M20" i="46"/>
  <c r="C19" i="46"/>
  <c r="A6" i="64"/>
  <c r="A20" i="64"/>
  <c r="N5" i="54"/>
  <c r="B43" i="63"/>
  <c r="A6" i="51"/>
  <c r="B7" i="63"/>
  <c r="A20" i="51"/>
  <c r="B15" i="63"/>
  <c r="R26" i="6"/>
  <c r="D7" i="66"/>
  <c r="D8" i="66"/>
  <c r="K67" i="40"/>
  <c r="L65" i="40"/>
  <c r="T16" i="1"/>
  <c r="R27" i="6"/>
  <c r="R6" i="1"/>
  <c r="R16" i="1"/>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M65" i="40"/>
  <c r="L67" i="40"/>
  <c r="E36" i="46"/>
  <c r="G36" i="46"/>
  <c r="I36" i="46"/>
  <c r="G33" i="46"/>
  <c r="I33" i="46"/>
  <c r="E33" i="46"/>
  <c r="E38" i="46"/>
  <c r="G38" i="46"/>
  <c r="I38" i="46"/>
  <c r="G37" i="46"/>
  <c r="I37" i="46"/>
  <c r="E37" i="46"/>
  <c r="C30" i="46"/>
  <c r="E30" i="46"/>
  <c r="E29" i="46"/>
  <c r="G35" i="46"/>
  <c r="I35" i="46"/>
  <c r="E35" i="46"/>
  <c r="E34" i="46"/>
  <c r="G34" i="46"/>
  <c r="I34" i="46"/>
  <c r="G39" i="46"/>
  <c r="I39" i="46"/>
  <c r="E39" i="46"/>
  <c r="M67" i="40"/>
  <c r="N65" i="40"/>
  <c r="N67" i="40"/>
  <c r="F9" i="40"/>
  <c r="H9" i="40"/>
  <c r="J9" i="40"/>
  <c r="C27" i="46"/>
  <c r="C26" i="46"/>
  <c r="AC9" i="40"/>
  <c r="V44" i="40"/>
  <c r="I44" i="40"/>
  <c r="W9" i="40"/>
  <c r="W11" i="21"/>
  <c r="I48" i="21"/>
  <c r="I52" i="21"/>
  <c r="J52" i="21"/>
  <c r="S11" i="21"/>
  <c r="U9" i="40"/>
  <c r="AB9" i="40"/>
  <c r="T44" i="40"/>
  <c r="G44" i="40"/>
  <c r="U11" i="21"/>
  <c r="G48" i="21"/>
  <c r="AA9" i="40"/>
  <c r="R44" i="40"/>
  <c r="S9" i="40"/>
  <c r="B2" i="46"/>
  <c r="G52" i="21"/>
  <c r="H52" i="21"/>
  <c r="G53" i="21"/>
  <c r="H53" i="21"/>
  <c r="G49" i="40"/>
  <c r="H49" i="40"/>
  <c r="G48" i="40"/>
  <c r="H48" i="40"/>
  <c r="E48" i="21"/>
  <c r="E44" i="40"/>
  <c r="R45" i="40"/>
  <c r="I48" i="40"/>
  <c r="J48" i="40"/>
  <c r="B4" i="46"/>
  <c r="D4" i="46"/>
  <c r="B3" i="46"/>
  <c r="E49" i="40"/>
  <c r="F49" i="40"/>
  <c r="E48" i="40"/>
  <c r="F48" i="40"/>
  <c r="I53" i="21"/>
  <c r="J53" i="21"/>
  <c r="E52" i="21"/>
  <c r="F52" i="21"/>
  <c r="E53" i="21"/>
  <c r="F53" i="21"/>
  <c r="I49" i="40"/>
  <c r="J49" i="40"/>
  <c r="C45" i="40"/>
  <c r="C44" i="40"/>
  <c r="C48" i="21"/>
  <c r="C8" i="12"/>
  <c r="B53" i="40"/>
  <c r="F53" i="40"/>
  <c r="B62" i="40"/>
  <c r="F62" i="40"/>
  <c r="B58" i="40"/>
  <c r="F58" i="40"/>
  <c r="B54" i="40"/>
  <c r="F54" i="40"/>
  <c r="B56" i="40"/>
  <c r="F56" i="40"/>
  <c r="B57" i="40"/>
  <c r="F57" i="40"/>
  <c r="B55" i="40"/>
  <c r="F55" i="40"/>
  <c r="B61" i="40"/>
  <c r="F61" i="40"/>
  <c r="B59" i="40"/>
  <c r="F59" i="40"/>
  <c r="B60" i="40"/>
  <c r="F60" i="40"/>
  <c r="F63" i="40"/>
  <c r="B2" i="40"/>
  <c r="B4" i="40"/>
  <c r="B5" i="40"/>
  <c r="B3" i="40"/>
  <c r="G16" i="1"/>
  <c r="F12" i="39"/>
  <c r="AA12" i="39"/>
  <c r="H12" i="39"/>
  <c r="AB12" i="39"/>
  <c r="J12" i="39"/>
  <c r="AC12" i="39"/>
  <c r="F12" i="40"/>
  <c r="AA12" i="40"/>
  <c r="H12" i="40"/>
  <c r="U12" i="40"/>
  <c r="J12" i="40"/>
  <c r="W12" i="40"/>
  <c r="W12" i="39"/>
  <c r="U12" i="39"/>
  <c r="AB12" i="40"/>
  <c r="S12" i="40"/>
  <c r="AC12" i="40"/>
  <c r="S12" i="39"/>
  <c r="F8" i="15"/>
  <c r="F9" i="15"/>
  <c r="N4" i="65"/>
  <c r="F35" i="15"/>
  <c r="I5" i="65"/>
  <c r="F36" i="15"/>
  <c r="F13" i="15"/>
  <c r="F37" i="15"/>
  <c r="F38" i="15"/>
  <c r="F42" i="15"/>
  <c r="L48" i="15"/>
  <c r="M6" i="15"/>
  <c r="F16" i="71"/>
  <c r="F43" i="71"/>
  <c r="F8" i="71"/>
  <c r="F9" i="71"/>
  <c r="F40" i="71"/>
  <c r="M8" i="71"/>
  <c r="M9" i="71"/>
  <c r="L47" i="71"/>
  <c r="J36" i="71"/>
  <c r="F6" i="15"/>
  <c r="F7" i="15"/>
  <c r="C14" i="15"/>
  <c r="F16" i="15"/>
  <c r="F43" i="15"/>
  <c r="E2" i="65"/>
  <c r="F26" i="15"/>
  <c r="F40" i="15"/>
  <c r="M8" i="15"/>
  <c r="M9" i="15"/>
  <c r="C14" i="71"/>
  <c r="F26" i="71"/>
  <c r="F13" i="71"/>
  <c r="F37" i="71"/>
  <c r="F6" i="71"/>
  <c r="F7" i="71"/>
  <c r="F35" i="71"/>
  <c r="F36" i="71"/>
  <c r="F38" i="71"/>
  <c r="F42" i="71"/>
  <c r="L48" i="71"/>
  <c r="M6" i="71"/>
  <c r="M29" i="71"/>
  <c r="M26" i="71"/>
  <c r="E10" i="67"/>
  <c r="B11" i="67"/>
  <c r="E12" i="67"/>
  <c r="M29" i="44"/>
  <c r="F38" i="44"/>
  <c r="F9" i="44"/>
  <c r="M31" i="44"/>
  <c r="M11" i="44"/>
  <c r="M26" i="15"/>
  <c r="B13" i="67"/>
  <c r="B14" i="67"/>
  <c r="F12" i="67"/>
  <c r="J36" i="15"/>
  <c r="B8" i="67"/>
  <c r="F11" i="67"/>
  <c r="M8" i="44"/>
  <c r="E11" i="67"/>
  <c r="N7" i="65"/>
  <c r="F43" i="44"/>
  <c r="M24" i="44"/>
  <c r="F37" i="44"/>
  <c r="C19" i="44"/>
  <c r="F13" i="67"/>
  <c r="M22" i="15"/>
  <c r="B9" i="67"/>
  <c r="J7" i="65"/>
  <c r="F40" i="44"/>
  <c r="J15" i="15"/>
  <c r="I6" i="65"/>
  <c r="I3" i="65"/>
  <c r="F18" i="44"/>
  <c r="M28" i="15"/>
  <c r="J4" i="65"/>
  <c r="M29" i="15"/>
  <c r="M28" i="44"/>
  <c r="F28" i="44"/>
  <c r="M28" i="71"/>
  <c r="M27" i="71"/>
  <c r="M21" i="71"/>
  <c r="M22" i="71"/>
  <c r="J15" i="71"/>
  <c r="M23" i="71"/>
  <c r="M24" i="71"/>
  <c r="F46" i="44"/>
  <c r="E9" i="67"/>
  <c r="J17" i="44"/>
  <c r="E8" i="67"/>
  <c r="F15" i="44"/>
  <c r="M30" i="44"/>
  <c r="F39" i="44"/>
  <c r="N3" i="65"/>
  <c r="B12" i="67"/>
  <c r="M27" i="15"/>
  <c r="F10" i="67"/>
  <c r="F14" i="67"/>
  <c r="F11" i="44"/>
  <c r="B10" i="67"/>
  <c r="N6" i="65"/>
  <c r="E14" i="67"/>
  <c r="E13" i="67"/>
  <c r="L47" i="15"/>
  <c r="F8" i="67"/>
  <c r="M26" i="44"/>
  <c r="M23" i="44"/>
  <c r="M23" i="15"/>
  <c r="M24" i="15"/>
  <c r="N5" i="65"/>
  <c r="F9" i="67"/>
  <c r="F45" i="44"/>
  <c r="I7" i="65"/>
  <c r="L48" i="44"/>
  <c r="M25" i="44"/>
  <c r="F10" i="44"/>
  <c r="J5" i="65"/>
  <c r="C16" i="44"/>
  <c r="E7" i="67"/>
  <c r="F8" i="44"/>
  <c r="M10" i="44"/>
  <c r="J3" i="65"/>
  <c r="J6" i="65"/>
  <c r="L49" i="44"/>
  <c r="I4" i="65"/>
  <c r="M21" i="15"/>
  <c r="B7" i="67"/>
  <c r="E10" i="52" l="1"/>
  <c r="B8" i="52"/>
  <c r="B9" i="52"/>
  <c r="E16" i="52"/>
  <c r="B14" i="52"/>
  <c r="E15" i="52"/>
  <c r="E17" i="52"/>
  <c r="B4" i="52"/>
  <c r="B10" i="52"/>
  <c r="E22" i="52"/>
  <c r="E5" i="52"/>
  <c r="E4" i="52"/>
  <c r="E7" i="52"/>
  <c r="C17" i="43"/>
  <c r="G53" i="70"/>
  <c r="H53" i="70" s="1"/>
  <c r="G52" i="70"/>
  <c r="H52" i="70" s="1"/>
  <c r="R49" i="70"/>
  <c r="E48" i="70"/>
  <c r="I52" i="70"/>
  <c r="J52" i="70" s="1"/>
  <c r="F13" i="39"/>
  <c r="F83" i="39"/>
  <c r="G83" i="39" s="1"/>
  <c r="H83" i="39" s="1"/>
  <c r="I83" i="39" s="1"/>
  <c r="J83" i="39" s="1"/>
  <c r="K83" i="39" s="1"/>
  <c r="L83" i="39" s="1"/>
  <c r="M83" i="39" s="1"/>
  <c r="J13" i="39"/>
  <c r="H13" i="39"/>
  <c r="C18" i="12"/>
  <c r="C20" i="12"/>
  <c r="C18" i="43"/>
  <c r="B2" i="67"/>
  <c r="J20" i="15"/>
  <c r="E20" i="46"/>
  <c r="I55" i="44"/>
  <c r="J58" i="44"/>
  <c r="J56" i="44" s="1"/>
  <c r="J59" i="44" s="1"/>
  <c r="Q52" i="44" s="1"/>
  <c r="J61" i="44"/>
  <c r="Q50" i="44" s="1"/>
  <c r="L57" i="44"/>
  <c r="J54" i="44"/>
  <c r="J60" i="44"/>
  <c r="J1" i="65"/>
  <c r="C8" i="44"/>
  <c r="E3" i="67"/>
  <c r="C20" i="44"/>
  <c r="C17" i="44"/>
  <c r="L59" i="44"/>
  <c r="L60" i="44"/>
  <c r="J22" i="44"/>
  <c r="L59" i="15"/>
  <c r="L58" i="15"/>
  <c r="J20" i="71"/>
  <c r="C29" i="44"/>
  <c r="C36" i="44"/>
  <c r="Q73" i="44"/>
  <c r="Q72" i="15"/>
  <c r="M9" i="44"/>
  <c r="J8" i="44" s="1"/>
  <c r="J53" i="71"/>
  <c r="L60" i="71"/>
  <c r="J60" i="71"/>
  <c r="Q49" i="71" s="1"/>
  <c r="J59" i="71"/>
  <c r="L56" i="71"/>
  <c r="I54" i="71"/>
  <c r="J57" i="71"/>
  <c r="J55" i="71" s="1"/>
  <c r="J58" i="71" s="1"/>
  <c r="Q51" i="71" s="1"/>
  <c r="L57" i="71"/>
  <c r="F65" i="71"/>
  <c r="F63" i="71"/>
  <c r="F62" i="71"/>
  <c r="C61" i="71" s="1"/>
  <c r="C34" i="71"/>
  <c r="F49" i="71"/>
  <c r="M7" i="71"/>
  <c r="J6" i="71" s="1"/>
  <c r="C6" i="71"/>
  <c r="F64" i="71"/>
  <c r="C27" i="71"/>
  <c r="C18" i="71"/>
  <c r="C15" i="71"/>
  <c r="F67" i="15"/>
  <c r="C27" i="15"/>
  <c r="B40" i="1"/>
  <c r="F70" i="15"/>
  <c r="C15" i="15"/>
  <c r="C18" i="15"/>
  <c r="M7" i="15"/>
  <c r="J6" i="15" s="1"/>
  <c r="F49" i="15"/>
  <c r="C6" i="15"/>
  <c r="Q72" i="71"/>
  <c r="L59" i="71"/>
  <c r="L58" i="71"/>
  <c r="F67" i="71"/>
  <c r="F50" i="71"/>
  <c r="C48" i="71" s="1"/>
  <c r="F70" i="71"/>
  <c r="J53" i="15"/>
  <c r="I54" i="15"/>
  <c r="J57" i="15"/>
  <c r="J55" i="15" s="1"/>
  <c r="J58" i="15" s="1"/>
  <c r="Q51" i="15" s="1"/>
  <c r="L56" i="15"/>
  <c r="J59" i="15"/>
  <c r="L57" i="15"/>
  <c r="J60" i="15"/>
  <c r="Q49" i="15" s="1"/>
  <c r="L60" i="15"/>
  <c r="F65" i="15"/>
  <c r="F64" i="15"/>
  <c r="F63" i="15"/>
  <c r="C34" i="15"/>
  <c r="F62" i="15"/>
  <c r="C61" i="15" s="1"/>
  <c r="C4" i="65"/>
  <c r="B39" i="1" s="1"/>
  <c r="F50" i="15"/>
  <c r="C48" i="15" s="1"/>
  <c r="C19" i="43"/>
  <c r="C25" i="43" s="1"/>
  <c r="C24" i="43" s="1"/>
  <c r="C23" i="12"/>
  <c r="E3" i="65"/>
  <c r="C17" i="15"/>
  <c r="F7" i="67"/>
  <c r="C18" i="44"/>
  <c r="C16" i="15"/>
  <c r="C17" i="71"/>
  <c r="C16" i="71"/>
  <c r="E53" i="70" l="1"/>
  <c r="F53" i="70" s="1"/>
  <c r="E52" i="70"/>
  <c r="F52" i="70" s="1"/>
  <c r="I53" i="70"/>
  <c r="J53" i="70" s="1"/>
  <c r="C49" i="70"/>
  <c r="B3" i="70" s="1"/>
  <c r="C48" i="70"/>
  <c r="AB13" i="39"/>
  <c r="T49" i="39" s="1"/>
  <c r="G49" i="39" s="1"/>
  <c r="U13" i="39"/>
  <c r="AC13" i="39"/>
  <c r="V49" i="39" s="1"/>
  <c r="I49" i="39" s="1"/>
  <c r="I53" i="39" s="1"/>
  <c r="J53" i="39" s="1"/>
  <c r="W13" i="39"/>
  <c r="S13" i="39"/>
  <c r="AA13" i="39"/>
  <c r="R49" i="39" s="1"/>
  <c r="C19" i="71"/>
  <c r="C19" i="15"/>
  <c r="E4" i="67"/>
  <c r="F17" i="11"/>
  <c r="C17" i="11" s="1"/>
  <c r="C19" i="11" s="1"/>
  <c r="C21" i="44"/>
  <c r="F11" i="71"/>
  <c r="C52" i="71" s="1"/>
  <c r="C47" i="71" s="1"/>
  <c r="M11" i="71"/>
  <c r="J10" i="71" s="1"/>
  <c r="J5" i="71" s="1"/>
  <c r="F11" i="15"/>
  <c r="M11" i="15"/>
  <c r="J10" i="15" s="1"/>
  <c r="J5" i="15" s="1"/>
  <c r="F13" i="44"/>
  <c r="C12" i="44" s="1"/>
  <c r="C7" i="44" s="1"/>
  <c r="M13" i="44"/>
  <c r="J12" i="44" s="1"/>
  <c r="J7" i="44" s="1"/>
  <c r="Q67" i="15"/>
  <c r="Q58" i="15"/>
  <c r="F1" i="15"/>
  <c r="Q53" i="15"/>
  <c r="Q74" i="71"/>
  <c r="Q61" i="71"/>
  <c r="F26" i="12"/>
  <c r="C27" i="12" s="1"/>
  <c r="D26" i="12" s="1"/>
  <c r="C32" i="12" s="1"/>
  <c r="D30" i="12" s="1"/>
  <c r="F24" i="71"/>
  <c r="C24" i="71" s="1"/>
  <c r="F24" i="15"/>
  <c r="C24" i="15" s="1"/>
  <c r="F21" i="43"/>
  <c r="C23" i="43" s="1"/>
  <c r="D21" i="43" s="1"/>
  <c r="F26" i="44"/>
  <c r="C26" i="44" s="1"/>
  <c r="Q67" i="71"/>
  <c r="Q58" i="71"/>
  <c r="Q62" i="15"/>
  <c r="Q75" i="15"/>
  <c r="Q75" i="44"/>
  <c r="Q62" i="44"/>
  <c r="L47" i="44"/>
  <c r="P17" i="46"/>
  <c r="M17" i="46"/>
  <c r="O17" i="46"/>
  <c r="N17" i="46"/>
  <c r="B3" i="67"/>
  <c r="B4" i="67"/>
  <c r="Q75" i="71"/>
  <c r="Q62" i="71"/>
  <c r="F1" i="71"/>
  <c r="Q53" i="71"/>
  <c r="Q61" i="15"/>
  <c r="Q74" i="15"/>
  <c r="Q63" i="44"/>
  <c r="Q76" i="44"/>
  <c r="F1" i="44"/>
  <c r="Q54" i="44"/>
  <c r="AE9" i="1"/>
  <c r="F41" i="71" s="1"/>
  <c r="AE8" i="1"/>
  <c r="F41" i="15" s="1"/>
  <c r="B2" i="70" l="1"/>
  <c r="F10" i="12" s="1"/>
  <c r="F8" i="12"/>
  <c r="R50" i="39"/>
  <c r="E49" i="39"/>
  <c r="G54" i="39"/>
  <c r="H54" i="39" s="1"/>
  <c r="G53" i="39"/>
  <c r="H53" i="39" s="1"/>
  <c r="C10" i="71"/>
  <c r="C5" i="71" s="1"/>
  <c r="C32" i="71" s="1"/>
  <c r="F68" i="15"/>
  <c r="F68" i="71"/>
  <c r="J26" i="15"/>
  <c r="J29" i="15" s="1"/>
  <c r="J18" i="15"/>
  <c r="J24" i="15"/>
  <c r="J26" i="71"/>
  <c r="J29" i="71" s="1"/>
  <c r="J18" i="71"/>
  <c r="J24" i="71"/>
  <c r="C40" i="44"/>
  <c r="C34" i="44"/>
  <c r="C60" i="71"/>
  <c r="C59" i="71"/>
  <c r="C65" i="71"/>
  <c r="C10" i="15"/>
  <c r="C5" i="15" s="1"/>
  <c r="C52" i="15"/>
  <c r="C47" i="15" s="1"/>
  <c r="J28" i="44"/>
  <c r="J31" i="44" s="1"/>
  <c r="J20" i="44"/>
  <c r="J26" i="44"/>
  <c r="C22" i="44"/>
  <c r="C25" i="44" s="1"/>
  <c r="C20" i="11"/>
  <c r="C21" i="11" s="1"/>
  <c r="C22" i="11" s="1"/>
  <c r="C23" i="11" s="1"/>
  <c r="B2" i="11" s="1"/>
  <c r="C20" i="15"/>
  <c r="C23" i="15" s="1"/>
  <c r="C22" i="43"/>
  <c r="C21" i="43" s="1"/>
  <c r="C28" i="43" s="1"/>
  <c r="C30" i="43" s="1"/>
  <c r="C32" i="43" s="1"/>
  <c r="B2" i="43" s="1"/>
  <c r="C20" i="71"/>
  <c r="C23" i="71" s="1"/>
  <c r="L52" i="44"/>
  <c r="E53" i="39" l="1"/>
  <c r="F53" i="39" s="1"/>
  <c r="I54" i="39"/>
  <c r="J54" i="39" s="1"/>
  <c r="E54" i="39"/>
  <c r="F54" i="39" s="1"/>
  <c r="C49" i="39"/>
  <c r="C50" i="39"/>
  <c r="C26" i="15"/>
  <c r="C29" i="15" s="1"/>
  <c r="C33" i="71"/>
  <c r="C31" i="71" s="1"/>
  <c r="C28" i="44"/>
  <c r="C31" i="44" s="1"/>
  <c r="C58" i="71"/>
  <c r="C38" i="71"/>
  <c r="Q69" i="44"/>
  <c r="L58" i="44"/>
  <c r="L61" i="44" s="1"/>
  <c r="B5" i="43"/>
  <c r="B3" i="43"/>
  <c r="B4" i="43"/>
  <c r="Q49" i="44"/>
  <c r="Q55" i="44" s="1"/>
  <c r="Q67" i="44"/>
  <c r="Q58" i="44"/>
  <c r="C32" i="15"/>
  <c r="C33" i="15"/>
  <c r="C38" i="15"/>
  <c r="C26" i="71"/>
  <c r="C29" i="71" s="1"/>
  <c r="B5" i="11"/>
  <c r="B3" i="11"/>
  <c r="B4" i="11"/>
  <c r="C59" i="15"/>
  <c r="C65" i="15"/>
  <c r="C60" i="15"/>
  <c r="B62" i="39" l="1"/>
  <c r="F62" i="39" s="1"/>
  <c r="B59" i="39"/>
  <c r="F59" i="39" s="1"/>
  <c r="B61" i="39"/>
  <c r="F61" i="39" s="1"/>
  <c r="B63" i="39"/>
  <c r="F63" i="39" s="1"/>
  <c r="B65" i="39"/>
  <c r="F65" i="39" s="1"/>
  <c r="B67" i="39"/>
  <c r="F67" i="39" s="1"/>
  <c r="B58" i="39"/>
  <c r="F58" i="39" s="1"/>
  <c r="B60" i="39"/>
  <c r="F60" i="39" s="1"/>
  <c r="B64" i="39"/>
  <c r="F64" i="39" s="1"/>
  <c r="B66" i="39"/>
  <c r="F66" i="39" s="1"/>
  <c r="C13" i="15"/>
  <c r="C37" i="15" s="1"/>
  <c r="Q50" i="15"/>
  <c r="C56" i="15"/>
  <c r="C63" i="15" s="1"/>
  <c r="C36" i="15"/>
  <c r="J19" i="15"/>
  <c r="J17" i="15" s="1"/>
  <c r="J14" i="15"/>
  <c r="J13" i="15" s="1"/>
  <c r="J23" i="15" s="1"/>
  <c r="J16" i="44"/>
  <c r="J24" i="44" s="1"/>
  <c r="Q51" i="44"/>
  <c r="C15" i="44"/>
  <c r="C39" i="44" s="1"/>
  <c r="C38" i="44"/>
  <c r="J21" i="44"/>
  <c r="J19" i="44" s="1"/>
  <c r="C35" i="44"/>
  <c r="C33" i="44" s="1"/>
  <c r="C31" i="15"/>
  <c r="C58" i="15"/>
  <c r="J35" i="15"/>
  <c r="Q68" i="44"/>
  <c r="Q59" i="44"/>
  <c r="Q64" i="44" s="1"/>
  <c r="C13" i="71"/>
  <c r="C36" i="71"/>
  <c r="C56" i="71"/>
  <c r="C63" i="71" s="1"/>
  <c r="Q50" i="71"/>
  <c r="J14" i="71"/>
  <c r="J19" i="71"/>
  <c r="J17" i="71" s="1"/>
  <c r="Q77" i="44"/>
  <c r="Q71" i="15" l="1"/>
  <c r="F68" i="39"/>
  <c r="B2" i="39" s="1"/>
  <c r="C55" i="15"/>
  <c r="C64" i="15" s="1"/>
  <c r="C32" i="44"/>
  <c r="C42" i="44" s="1"/>
  <c r="Q71" i="44" s="1"/>
  <c r="J22" i="15"/>
  <c r="J16" i="15" s="1"/>
  <c r="J25" i="15" s="1"/>
  <c r="B3" i="39"/>
  <c r="J15" i="44"/>
  <c r="J25" i="44" s="1"/>
  <c r="J18" i="44" s="1"/>
  <c r="J27" i="44" s="1"/>
  <c r="Q72" i="44"/>
  <c r="C57" i="15"/>
  <c r="C66" i="15" s="1"/>
  <c r="C67" i="15" s="1"/>
  <c r="C70" i="15" s="1"/>
  <c r="C30" i="15"/>
  <c r="C39" i="15" s="1"/>
  <c r="Q70" i="15" s="1"/>
  <c r="C43" i="44"/>
  <c r="C44" i="44" s="1"/>
  <c r="C45" i="44" s="1"/>
  <c r="B2" i="44" s="1"/>
  <c r="C40" i="15"/>
  <c r="J22" i="71"/>
  <c r="J13" i="71"/>
  <c r="J23" i="71" s="1"/>
  <c r="C37" i="71"/>
  <c r="C30" i="71" s="1"/>
  <c r="C39" i="71" s="1"/>
  <c r="Q71" i="71"/>
  <c r="J35" i="71"/>
  <c r="C55" i="71"/>
  <c r="C64" i="71" s="1"/>
  <c r="C57" i="71" s="1"/>
  <c r="C66" i="71" s="1"/>
  <c r="C67" i="71" s="1"/>
  <c r="J39" i="15"/>
  <c r="J40" i="15" s="1"/>
  <c r="C19" i="9"/>
  <c r="C20" i="9"/>
  <c r="L51" i="15"/>
  <c r="Q69" i="15" l="1"/>
  <c r="Q70" i="44"/>
  <c r="L43" i="9"/>
  <c r="B4" i="39"/>
  <c r="B5" i="39"/>
  <c r="J16" i="71"/>
  <c r="J25" i="71" s="1"/>
  <c r="C46" i="15"/>
  <c r="Q68" i="15"/>
  <c r="C40" i="71"/>
  <c r="C46" i="71" s="1"/>
  <c r="Q70" i="71"/>
  <c r="Q69" i="71" s="1"/>
  <c r="C70" i="71"/>
  <c r="J39" i="71"/>
  <c r="J40" i="71" s="1"/>
  <c r="B4" i="44"/>
  <c r="B5" i="44"/>
  <c r="B3" i="44"/>
  <c r="B2" i="15"/>
  <c r="Q48" i="15"/>
  <c r="Q54" i="15" s="1"/>
  <c r="Q57" i="15"/>
  <c r="Q63" i="15" s="1"/>
  <c r="C43" i="15"/>
  <c r="Q66" i="15"/>
  <c r="Q76" i="15" s="1"/>
  <c r="J42" i="15"/>
  <c r="J43" i="15" s="1"/>
  <c r="C21" i="9"/>
  <c r="L51" i="71"/>
  <c r="Q68" i="71" l="1"/>
  <c r="E10" i="12"/>
  <c r="C6" i="12" s="1"/>
  <c r="B3" i="15"/>
  <c r="E8" i="12" s="1"/>
  <c r="Q66" i="71"/>
  <c r="Q76" i="71" s="1"/>
  <c r="B2" i="71"/>
  <c r="B3" i="71" s="1"/>
  <c r="Q57" i="71"/>
  <c r="Q63" i="71" s="1"/>
  <c r="Q48" i="71"/>
  <c r="Q54" i="71" s="1"/>
  <c r="C43" i="71"/>
  <c r="J42" i="71"/>
  <c r="J43" i="71" s="1"/>
  <c r="C24" i="12" l="1"/>
  <c r="C29" i="12"/>
  <c r="C28" i="12" l="1"/>
  <c r="C26" i="12" s="1"/>
  <c r="C31" i="12" s="1"/>
  <c r="C30" i="12" s="1"/>
  <c r="C35" i="12"/>
  <c r="C33" i="12" s="1"/>
  <c r="C36" i="12" l="1"/>
  <c r="B2" i="12" s="1"/>
  <c r="B3" i="12" s="1"/>
  <c r="D19" i="9"/>
  <c r="D20" i="9"/>
  <c r="B5" i="12" l="1"/>
  <c r="B4" i="12"/>
  <c r="G19" i="9"/>
  <c r="C32" i="9" s="1"/>
  <c r="L44" i="9"/>
  <c r="D22" i="9"/>
  <c r="G20" i="9"/>
  <c r="G22" i="9"/>
  <c r="D21" i="9"/>
  <c r="D27" i="9" l="1"/>
  <c r="G21" i="9"/>
  <c r="N43" i="9"/>
  <c r="C42" i="9"/>
  <c r="O38" i="9"/>
  <c r="C35" i="9"/>
  <c r="F42" i="9" s="1"/>
  <c r="O43" i="9"/>
  <c r="C34" i="9"/>
  <c r="C33" i="9"/>
  <c r="D42" i="9" l="1"/>
  <c r="Q5" i="54" s="1"/>
  <c r="B47" i="63" s="1"/>
  <c r="N38" i="9"/>
  <c r="K28" i="9" s="1"/>
  <c r="K26" i="9"/>
  <c r="K25" i="9"/>
  <c r="M38" i="9"/>
  <c r="K27" i="9" s="1"/>
  <c r="E42" i="9"/>
  <c r="P5" i="54" s="1"/>
  <c r="B46" i="63" s="1"/>
  <c r="D14" i="66"/>
  <c r="C44" i="9"/>
  <c r="D63" i="9"/>
  <c r="R5" i="54"/>
  <c r="B48" i="63" s="1"/>
  <c r="N68" i="9"/>
  <c r="D71" i="9" l="1"/>
  <c r="D66" i="9" s="1"/>
  <c r="N72" i="9" s="1"/>
  <c r="C111" i="9"/>
  <c r="C104" i="9" s="1"/>
  <c r="D77" i="9"/>
  <c r="N75" i="9" s="1"/>
  <c r="C90" i="9"/>
  <c r="C103" i="9"/>
  <c r="C113" i="9" s="1"/>
  <c r="C96" i="9"/>
  <c r="C91" i="9" s="1"/>
  <c r="D70" i="9"/>
  <c r="C82" i="9"/>
  <c r="C81" i="9" s="1"/>
  <c r="C85" i="9" s="1"/>
  <c r="C86" i="9" s="1"/>
  <c r="D72" i="9" s="1"/>
  <c r="B5" i="66"/>
  <c r="F14" i="66"/>
  <c r="E14" i="66"/>
  <c r="N69" i="9"/>
  <c r="G14" i="66"/>
  <c r="B6" i="66" s="1"/>
  <c r="O39" i="9"/>
  <c r="D44" i="9"/>
  <c r="F44" i="9"/>
  <c r="E44" i="9"/>
  <c r="R6" i="54" l="1"/>
  <c r="B50" i="63" s="1"/>
  <c r="K29" i="9"/>
  <c r="K30" i="9" s="1"/>
  <c r="M83" i="9"/>
  <c r="N83" i="9" s="1"/>
  <c r="M84" i="9"/>
  <c r="N84" i="9" s="1"/>
  <c r="M85" i="9"/>
  <c r="N85" i="9" s="1"/>
  <c r="M86" i="9"/>
  <c r="N86" i="9" s="1"/>
  <c r="M87" i="9"/>
  <c r="N87" i="9" s="1"/>
  <c r="M88" i="9"/>
  <c r="N88" i="9" s="1"/>
  <c r="C97" i="9"/>
  <c r="C6" i="66"/>
  <c r="D6" i="66"/>
  <c r="C5" i="66"/>
  <c r="D5" i="66"/>
  <c r="C114" i="9"/>
  <c r="E114" i="9" s="1"/>
  <c r="E115" i="9" s="1"/>
  <c r="C98" i="9" l="1"/>
  <c r="E98" i="9" s="1"/>
  <c r="E99"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<sst xmlns="http://schemas.openxmlformats.org/spreadsheetml/2006/main" count="8175" uniqueCount="3292">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</sst>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8"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80"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80"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80"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80" fontId="247" fillId="19" borderId="159" xfId="16" applyNumberFormat="1" applyFont="1" applyFill="1" applyBorder="1" applyAlignment="1">
      <alignment horizontal="center" vertical="center" wrapText="1"/>
    </xf>
    <xf numFmtId="180"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80" fontId="247" fillId="19" borderId="176" xfId="16" applyNumberFormat="1" applyFont="1" applyFill="1" applyBorder="1" applyAlignment="1">
      <alignment horizontal="center" vertical="center" wrapText="1"/>
    </xf>
    <xf numFmtId="180"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4" fillId="0" borderId="167"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5" fontId="247" fillId="18" borderId="2" xfId="16" quotePrefix="1" applyNumberFormat="1" applyFont="1" applyFill="1" applyBorder="1" applyAlignment="1">
      <alignment horizontal="center" vertical="center" wrapText="1"/>
    </xf>
    <xf numFmtId="195" fontId="247" fillId="18" borderId="2" xfId="16"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247" fillId="8" borderId="158" xfId="16" applyFont="1" applyFill="1" applyBorder="1" applyAlignment="1">
      <alignment horizontal="center" vertical="center" wrapText="1"/>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0" fontId="32" fillId="15" borderId="158" xfId="2" applyFont="1" applyFill="1" applyBorder="1" applyAlignment="1">
      <alignment horizontal="center" vertical="center"/>
    </xf>
    <xf numFmtId="0" fontId="144" fillId="0" borderId="161"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178"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2" fontId="247" fillId="15" borderId="158" xfId="11" applyNumberFormat="1"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7"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18"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2" fontId="247" fillId="15" borderId="158" xfId="16" applyNumberFormat="1" applyFont="1" applyFill="1" applyBorder="1" applyAlignment="1">
      <alignment horizontal="center" vertical="center" wrapText="1"/>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2019年5月7日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估价期日：2019年5月7日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19976</v>
      </c>
    </row>
    <row r="47" spans="1:2">
      <c r="A47" s="2851" t="s">
        <v>2724</v>
      </c>
      <c r="B47" s="2852">
        <f ca="1">'预评函-2'!Q5</f>
        <v>4400</v>
      </c>
    </row>
    <row r="48" spans="1:2">
      <c r="A48" s="2851" t="s">
        <v>2725</v>
      </c>
      <c r="B48" s="2852">
        <f ca="1">'预评函-2'!R5</f>
        <v>22311</v>
      </c>
    </row>
    <row r="49" spans="1:2">
      <c r="A49" s="2851" t="s">
        <v>2741</v>
      </c>
      <c r="B49" s="2852" t="str">
        <f>'预评函-2'!A6</f>
        <v>抵押价格</v>
      </c>
    </row>
    <row r="50" spans="1:2">
      <c r="A50" s="2851" t="s">
        <v>2726</v>
      </c>
      <c r="B50" s="2852">
        <f ca="1">'预评函-2'!R6</f>
        <v>22311</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295" t="str">
        <f>IF(B10="北京市","北京市",C10)&amp;F10&amp;B16&amp;"国有建设用地使用权"&amp;B9&amp;"预评估"</f>
        <v>出让国有建设用地使用权抵押价格预评估</v>
      </c>
      <c r="C1" s="3296"/>
      <c r="D1" s="3296"/>
      <c r="E1" s="3296"/>
      <c r="F1" s="3296"/>
      <c r="G1" s="3296"/>
      <c r="H1" s="3296"/>
      <c r="I1" s="3297"/>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43592</v>
      </c>
      <c r="E3" s="1688"/>
      <c r="F3" s="1688"/>
      <c r="G3" s="1688"/>
      <c r="H3" s="1654"/>
      <c r="I3" s="1689"/>
      <c r="J3" s="1688"/>
      <c r="K3" s="1768"/>
      <c r="L3" s="1717"/>
      <c r="M3" s="1717"/>
      <c r="N3" s="1688"/>
      <c r="O3" s="1689"/>
      <c r="P3" s="1688"/>
      <c r="Q3" s="1688"/>
      <c r="R3" s="1688"/>
      <c r="S3" s="1688"/>
      <c r="T3" s="1688"/>
      <c r="U3" s="1688"/>
    </row>
    <row r="4" spans="1:21" ht="29.25" thickBot="1">
      <c r="A4" s="1658" t="s">
        <v>1941</v>
      </c>
      <c r="B4" s="1837" t="s">
        <v>2889</v>
      </c>
      <c r="C4" s="1840">
        <f>SUMIF(土地估价师,B4,估价师及机构信息!E3:E24)</f>
        <v>0</v>
      </c>
      <c r="D4" s="1837" t="s">
        <v>2889</v>
      </c>
      <c r="E4" s="1840">
        <f>SUMIF(土地估价师,D4,估价师及机构信息!E3:E24)</f>
        <v>0</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土地估价师、土地估价师</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2995</v>
      </c>
      <c r="C8" s="1665"/>
      <c r="D8" s="3301" t="s">
        <v>1945</v>
      </c>
      <c r="E8" s="1838" t="s">
        <v>2996</v>
      </c>
      <c r="F8" s="1666"/>
      <c r="G8" s="1654"/>
      <c r="H8" s="1654"/>
      <c r="I8" s="1701"/>
      <c r="J8" s="1688"/>
      <c r="K8" s="1768"/>
      <c r="L8" s="1717"/>
      <c r="M8" s="1717"/>
      <c r="N8" s="1688"/>
      <c r="O8" s="1689"/>
      <c r="P8" s="1688"/>
      <c r="Q8" s="1688"/>
      <c r="R8" s="1688"/>
      <c r="S8" s="1688"/>
      <c r="T8" s="1688"/>
      <c r="U8" s="1688"/>
    </row>
    <row r="9" spans="1:21" ht="15" thickBot="1">
      <c r="A9" s="1667" t="s">
        <v>1944</v>
      </c>
      <c r="B9" s="1668" t="s">
        <v>2996</v>
      </c>
      <c r="C9" s="1669"/>
      <c r="D9" s="3302"/>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2997</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2998</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298"/>
      <c r="C12" s="3299"/>
      <c r="D12" s="3300"/>
      <c r="E12" s="1693" t="s">
        <v>2062</v>
      </c>
      <c r="F12" s="3316" t="s">
        <v>2890</v>
      </c>
      <c r="G12" s="3317"/>
      <c r="H12" s="3317"/>
      <c r="I12" s="3318"/>
      <c r="J12" s="1688"/>
      <c r="K12" s="1768"/>
      <c r="L12" s="1717"/>
      <c r="M12" s="1717"/>
      <c r="N12" s="1688"/>
      <c r="O12" s="1689"/>
      <c r="P12" s="1688"/>
      <c r="Q12" s="1688"/>
      <c r="R12" s="1688"/>
      <c r="S12" s="1688"/>
      <c r="T12" s="1688"/>
      <c r="U12" s="1688"/>
    </row>
    <row r="13" spans="1:21">
      <c r="A13" s="1681" t="s">
        <v>2060</v>
      </c>
      <c r="B13" s="3298"/>
      <c r="C13" s="3299"/>
      <c r="D13" s="3300"/>
      <c r="E13" s="1693" t="s">
        <v>2062</v>
      </c>
      <c r="F13" s="3316" t="s">
        <v>2891</v>
      </c>
      <c r="G13" s="3317"/>
      <c r="H13" s="3317"/>
      <c r="I13" s="3318"/>
      <c r="J13" s="1688"/>
      <c r="K13" s="1768"/>
      <c r="L13" s="1717"/>
      <c r="M13" s="1717"/>
      <c r="N13" s="1688"/>
      <c r="O13" s="1689"/>
      <c r="P13" s="1688"/>
      <c r="Q13" s="1688"/>
      <c r="R13" s="1688"/>
      <c r="S13" s="1688"/>
      <c r="T13" s="1688"/>
      <c r="U13" s="1688"/>
    </row>
    <row r="14" spans="1:21">
      <c r="A14" s="1655" t="s">
        <v>2063</v>
      </c>
      <c r="B14" s="1693"/>
      <c r="C14" s="1839" t="s">
        <v>3000</v>
      </c>
      <c r="D14" s="1727" t="str">
        <f>IF(C14="不一致","是否符合证载地类范围","")</f>
        <v/>
      </c>
      <c r="E14" s="1693"/>
      <c r="F14" s="1784" t="s">
        <v>3001</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2999</v>
      </c>
      <c r="C16" s="1693" t="s">
        <v>1949</v>
      </c>
      <c r="D16" s="2620" t="s">
        <v>1950</v>
      </c>
      <c r="E16" s="1716" t="s">
        <v>3002</v>
      </c>
      <c r="F16" s="1716" t="s">
        <v>1678</v>
      </c>
      <c r="G16" s="1716" t="s">
        <v>3225</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57.07</v>
      </c>
      <c r="E19" s="1679">
        <f>IF(B16="出让",IF(E17="","",ROUNDDOWN(MIN((E17-$D$3)/365,E18),2)),E18)</f>
        <v>27.05</v>
      </c>
      <c r="F19" s="1679">
        <f>IF(B16="出让",IF(F17="","",ROUNDDOWN(MIN((F17-$D$3)/365,F18),2)),F18)</f>
        <v>37.06</v>
      </c>
      <c r="G19" s="1679">
        <f>IF(B16="出让",IF(G17="","",ROUNDDOWN(MIN((G17-$D$3)/365,G18),2)),G18)</f>
        <v>37.06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13"/>
      <c r="E20" s="3314"/>
      <c r="F20" s="3314"/>
      <c r="G20" s="3314"/>
      <c r="H20" s="3314"/>
      <c r="I20" s="3315"/>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03" t="s">
        <v>1999</v>
      </c>
      <c r="F21" s="3304"/>
      <c r="G21" s="3304"/>
      <c r="H21" s="3304"/>
      <c r="I21" s="3305"/>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03" t="s">
        <v>2892</v>
      </c>
      <c r="F22" s="3304"/>
      <c r="G22" s="3304"/>
      <c r="H22" s="3304"/>
      <c r="I22" s="3305"/>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06" t="s">
        <v>1967</v>
      </c>
      <c r="C24" s="3307"/>
      <c r="D24" s="3308" t="s">
        <v>1968</v>
      </c>
      <c r="E24" s="3309"/>
      <c r="F24" s="1702" t="s">
        <v>1969</v>
      </c>
      <c r="G24" s="1688"/>
      <c r="H24" s="1688"/>
      <c r="I24" s="1701"/>
      <c r="J24" s="1688"/>
      <c r="K24" s="3294"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294"/>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294"/>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321" t="s">
        <v>2002</v>
      </c>
      <c r="B31" s="1758" t="s">
        <v>2003</v>
      </c>
      <c r="C31" s="3319"/>
      <c r="D31" s="3320"/>
      <c r="E31" s="1688"/>
      <c r="F31" s="1688"/>
      <c r="G31" s="1688"/>
      <c r="H31" s="1688"/>
      <c r="I31" s="1701"/>
      <c r="J31" s="1688"/>
      <c r="K31" s="2432"/>
      <c r="L31" s="1688"/>
      <c r="M31" s="1688"/>
      <c r="N31" s="1688"/>
      <c r="O31" s="1688"/>
      <c r="P31" s="1688"/>
      <c r="Q31" s="1688"/>
      <c r="R31" s="1688"/>
      <c r="S31" s="1688"/>
      <c r="T31" s="1688"/>
      <c r="U31" s="1688"/>
    </row>
    <row r="32" spans="1:21">
      <c r="A32" s="3321"/>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321"/>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322"/>
      <c r="B34" s="1655" t="s">
        <v>2006</v>
      </c>
      <c r="C34" s="3323"/>
      <c r="D34" s="3324"/>
      <c r="E34" s="1688"/>
      <c r="F34" s="1688"/>
      <c r="G34" s="1688"/>
      <c r="H34" s="1688"/>
      <c r="I34" s="1701"/>
      <c r="J34" s="1688"/>
      <c r="K34" s="2432"/>
      <c r="L34" s="1688"/>
      <c r="M34" s="1688"/>
      <c r="N34" s="1688"/>
      <c r="O34" s="1688"/>
      <c r="P34" s="1688"/>
      <c r="Q34" s="1688"/>
      <c r="R34" s="1688"/>
      <c r="S34" s="1688"/>
      <c r="T34" s="1688"/>
      <c r="U34" s="1688"/>
    </row>
    <row r="35" spans="1:21">
      <c r="A35" s="3325" t="s">
        <v>847</v>
      </c>
      <c r="B35" s="1716"/>
      <c r="C35" s="1770" t="str">
        <f>IF(B35="场地平整","——","具体情况：")</f>
        <v>具体情况：</v>
      </c>
      <c r="D35" s="3327"/>
      <c r="E35" s="3328"/>
      <c r="F35" s="3328"/>
      <c r="G35" s="3328"/>
      <c r="H35" s="3328"/>
      <c r="I35" s="3329"/>
      <c r="J35" s="1688"/>
      <c r="K35" s="1769"/>
      <c r="L35" s="1717"/>
      <c r="M35" s="1717"/>
      <c r="N35" s="1688"/>
      <c r="O35" s="1689"/>
      <c r="P35" s="1688"/>
      <c r="Q35" s="1688"/>
      <c r="R35" s="1688"/>
      <c r="S35" s="1688"/>
      <c r="T35" s="1688"/>
      <c r="U35" s="1688"/>
    </row>
    <row r="36" spans="1:21">
      <c r="A36" s="3321"/>
      <c r="B36" s="3330" t="s">
        <v>2055</v>
      </c>
      <c r="C36" s="3331"/>
      <c r="D36" s="1786"/>
      <c r="E36" s="3332"/>
      <c r="F36" s="3332"/>
      <c r="G36" s="1681" t="str">
        <f>IF(B35="场地未平整","估价结果处理","")</f>
        <v/>
      </c>
      <c r="H36" s="3333"/>
      <c r="I36" s="3333"/>
      <c r="J36" s="1688"/>
      <c r="K36" s="1769"/>
      <c r="L36" s="1717"/>
      <c r="M36" s="1717"/>
      <c r="N36" s="1688"/>
      <c r="O36" s="1689"/>
      <c r="P36" s="1688"/>
      <c r="Q36" s="1688"/>
      <c r="R36" s="1688"/>
      <c r="S36" s="1688"/>
      <c r="T36" s="1688"/>
      <c r="U36" s="1688"/>
    </row>
    <row r="37" spans="1:21" ht="28.5">
      <c r="A37" s="3321"/>
      <c r="B37" s="3310"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321"/>
      <c r="B38" s="3311"/>
      <c r="C38" s="1663" t="s">
        <v>850</v>
      </c>
      <c r="D38" s="1785">
        <f>ROUNDDOWN(MIN(('数据-取费表'!$B$2-D37)/365,D34),1)</f>
        <v>119.4</v>
      </c>
      <c r="E38" s="1721" t="s">
        <v>851</v>
      </c>
      <c r="F38" s="1688"/>
      <c r="G38" s="1688"/>
      <c r="H38" s="1688"/>
      <c r="I38" s="1701"/>
      <c r="J38" s="1688"/>
      <c r="K38" s="1769"/>
      <c r="L38" s="1688"/>
      <c r="M38" s="1688"/>
      <c r="N38" s="1688"/>
      <c r="O38" s="1688"/>
      <c r="P38" s="1688"/>
      <c r="Q38" s="1688"/>
      <c r="R38" s="1688"/>
      <c r="S38" s="1688"/>
      <c r="T38" s="1688"/>
      <c r="U38" s="1688"/>
    </row>
    <row r="39" spans="1:21">
      <c r="A39" s="3322"/>
      <c r="B39" s="3312"/>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293" t="s">
        <v>1986</v>
      </c>
      <c r="T40" s="1725" t="str">
        <f>NUMBERSTRING(7-K40,1)&amp;"通"</f>
        <v>七通</v>
      </c>
      <c r="U40" s="1688"/>
    </row>
    <row r="41" spans="1:21">
      <c r="A41" s="1657"/>
      <c r="B41" s="3326" t="s">
        <v>1722</v>
      </c>
      <c r="C41" s="3326"/>
      <c r="D41" s="3326"/>
      <c r="E41" s="3326"/>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93"/>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3113</v>
      </c>
      <c r="J9" s="51"/>
      <c r="K9" s="2988" t="s">
        <v>3113</v>
      </c>
      <c r="L9" s="51"/>
      <c r="M9" s="2988" t="s">
        <v>3211</v>
      </c>
      <c r="N9" s="51"/>
      <c r="O9" s="59" t="s">
        <v>3113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3002</v>
      </c>
      <c r="L10" s="51"/>
      <c r="M10" s="2990" t="s">
        <v>3225</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3249</v>
      </c>
      <c r="J11" s="71"/>
      <c r="K11" s="2989" t="s">
        <v>3250</v>
      </c>
      <c r="L11" s="71"/>
      <c r="M11" s="70" t="s">
        <v>3225</v>
      </c>
      <c r="N11" s="71"/>
      <c r="O11" s="70" t="s">
        <v>3215</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456" t="s">
        <v>3131</v>
      </c>
      <c r="B1" s="3457"/>
      <c r="C1" s="3457"/>
      <c r="D1" s="3457"/>
      <c r="E1" s="3457"/>
      <c r="F1" s="3457"/>
      <c r="G1" s="3457"/>
      <c r="H1" s="3457"/>
      <c r="I1" s="3457"/>
      <c r="J1" s="3457"/>
      <c r="K1" s="3457"/>
    </row>
    <row r="2" spans="1:11" ht="15" thickTop="1">
      <c r="A2" s="3458" t="s">
        <v>3132</v>
      </c>
      <c r="B2" s="3459"/>
      <c r="C2" s="3459"/>
      <c r="D2" s="3459"/>
      <c r="E2" s="3459"/>
      <c r="F2" s="3459"/>
      <c r="G2" s="3460"/>
      <c r="H2" s="3460"/>
      <c r="I2" s="3460"/>
      <c r="J2" s="3460"/>
      <c r="K2" s="3461"/>
    </row>
    <row r="3" spans="1:11" ht="14.25">
      <c r="A3" s="3462" t="s">
        <v>3133</v>
      </c>
      <c r="B3" s="3420"/>
      <c r="C3" s="3420"/>
      <c r="D3" s="3420"/>
      <c r="E3" s="3420"/>
      <c r="F3" s="3420"/>
      <c r="G3" s="3450">
        <v>15513.57</v>
      </c>
      <c r="H3" s="3450"/>
      <c r="I3" s="3450"/>
      <c r="J3" s="3450"/>
      <c r="K3" s="3451"/>
    </row>
    <row r="4" spans="1:11" ht="14.25">
      <c r="A4" s="3462" t="s">
        <v>3134</v>
      </c>
      <c r="B4" s="3420"/>
      <c r="C4" s="3420"/>
      <c r="D4" s="3420"/>
      <c r="E4" s="3420"/>
      <c r="F4" s="3420"/>
      <c r="G4" s="3450">
        <v>15513.57</v>
      </c>
      <c r="H4" s="3450"/>
      <c r="I4" s="3450"/>
      <c r="J4" s="3450"/>
      <c r="K4" s="3451"/>
    </row>
    <row r="5" spans="1:11" ht="14.25">
      <c r="A5" s="3193" t="s">
        <v>3135</v>
      </c>
      <c r="B5" s="3441" t="s">
        <v>3136</v>
      </c>
      <c r="C5" s="3442"/>
      <c r="D5" s="3442"/>
      <c r="E5" s="3442"/>
      <c r="F5" s="3443"/>
      <c r="G5" s="3444">
        <v>15513.57</v>
      </c>
      <c r="H5" s="3445"/>
      <c r="I5" s="3445"/>
      <c r="J5" s="3445"/>
      <c r="K5" s="3446"/>
    </row>
    <row r="6" spans="1:11" ht="14.25">
      <c r="A6" s="3447" t="s">
        <v>3137</v>
      </c>
      <c r="B6" s="3448"/>
      <c r="C6" s="3448"/>
      <c r="D6" s="3448"/>
      <c r="E6" s="3448"/>
      <c r="F6" s="3449"/>
      <c r="G6" s="3450">
        <v>15513.57</v>
      </c>
      <c r="H6" s="3450"/>
      <c r="I6" s="3450"/>
      <c r="J6" s="3450"/>
      <c r="K6" s="3451"/>
    </row>
    <row r="7" spans="1:11" ht="14.25">
      <c r="A7" s="3452" t="s">
        <v>3138</v>
      </c>
      <c r="B7" s="3442"/>
      <c r="C7" s="3443"/>
      <c r="D7" s="3433">
        <v>3.33</v>
      </c>
      <c r="E7" s="3433"/>
      <c r="F7" s="3433"/>
      <c r="G7" s="3453" t="s">
        <v>3139</v>
      </c>
      <c r="H7" s="3453"/>
      <c r="I7" s="3454">
        <v>0.26</v>
      </c>
      <c r="J7" s="3454"/>
      <c r="K7" s="3455"/>
    </row>
    <row r="8" spans="1:11" ht="14.25">
      <c r="A8" s="3430" t="s">
        <v>3140</v>
      </c>
      <c r="B8" s="3431"/>
      <c r="C8" s="3432"/>
      <c r="D8" s="3433">
        <v>30</v>
      </c>
      <c r="E8" s="3433"/>
      <c r="F8" s="3433"/>
      <c r="G8" s="3434" t="s">
        <v>3141</v>
      </c>
      <c r="H8" s="3434"/>
      <c r="I8" s="3434">
        <v>100</v>
      </c>
      <c r="J8" s="3434"/>
      <c r="K8" s="3426"/>
    </row>
    <row r="9" spans="1:11" ht="14.25">
      <c r="A9" s="3430" t="s">
        <v>3005</v>
      </c>
      <c r="B9" s="3431"/>
      <c r="C9" s="3432"/>
      <c r="D9" s="3420" t="s">
        <v>3142</v>
      </c>
      <c r="E9" s="3420"/>
      <c r="F9" s="3420"/>
      <c r="G9" s="3420"/>
      <c r="H9" s="3420"/>
      <c r="I9" s="3420"/>
      <c r="J9" s="3434" t="s">
        <v>3143</v>
      </c>
      <c r="K9" s="3426"/>
    </row>
    <row r="10" spans="1:11" ht="14.25">
      <c r="A10" s="3435"/>
      <c r="B10" s="3436"/>
      <c r="C10" s="3437"/>
      <c r="D10" s="3420" t="s">
        <v>3144</v>
      </c>
      <c r="E10" s="3420"/>
      <c r="F10" s="3420"/>
      <c r="G10" s="3423" t="s">
        <v>3145</v>
      </c>
      <c r="H10" s="3423"/>
      <c r="I10" s="3423"/>
      <c r="J10" s="3424"/>
      <c r="K10" s="3425"/>
    </row>
    <row r="11" spans="1:11" ht="14.25">
      <c r="A11" s="3435"/>
      <c r="B11" s="3436"/>
      <c r="C11" s="3437"/>
      <c r="D11" s="3420" t="s">
        <v>3146</v>
      </c>
      <c r="E11" s="3420"/>
      <c r="F11" s="3420"/>
      <c r="G11" s="3422" t="s">
        <v>3147</v>
      </c>
      <c r="H11" s="3423"/>
      <c r="I11" s="3423"/>
      <c r="J11" s="3424"/>
      <c r="K11" s="3425"/>
    </row>
    <row r="12" spans="1:11" ht="14.25">
      <c r="A12" s="3435"/>
      <c r="B12" s="3436"/>
      <c r="C12" s="3437"/>
      <c r="D12" s="3420"/>
      <c r="E12" s="3420"/>
      <c r="F12" s="3420"/>
      <c r="G12" s="3422" t="s">
        <v>3147</v>
      </c>
      <c r="H12" s="3423"/>
      <c r="I12" s="3423"/>
      <c r="J12" s="3424"/>
      <c r="K12" s="3426"/>
    </row>
    <row r="13" spans="1:11" ht="15" thickBot="1">
      <c r="A13" s="3438"/>
      <c r="B13" s="3439"/>
      <c r="C13" s="3440"/>
      <c r="D13" s="3421"/>
      <c r="E13" s="3421"/>
      <c r="F13" s="3421"/>
      <c r="G13" s="3427"/>
      <c r="H13" s="3427"/>
      <c r="I13" s="3427"/>
      <c r="J13" s="3428"/>
      <c r="K13" s="3429"/>
    </row>
    <row r="14" spans="1:11" ht="15.75" thickTop="1" thickBot="1">
      <c r="A14" s="3413" t="s">
        <v>3148</v>
      </c>
      <c r="B14" s="3414"/>
      <c r="C14" s="3414"/>
      <c r="D14" s="3414"/>
      <c r="E14" s="3414"/>
      <c r="F14" s="3414"/>
      <c r="G14" s="3414"/>
      <c r="H14" s="3414"/>
      <c r="I14" s="3414"/>
      <c r="J14" s="3414"/>
      <c r="K14" s="3415"/>
    </row>
    <row r="15" spans="1:11" ht="14.25" thickTop="1">
      <c r="A15" s="3416" t="s">
        <v>3149</v>
      </c>
      <c r="B15" s="3417"/>
      <c r="C15" s="3417"/>
      <c r="D15" s="3417"/>
      <c r="E15" s="3417"/>
      <c r="F15" s="3417"/>
      <c r="G15" s="3417"/>
      <c r="H15" s="3417"/>
      <c r="I15" s="3417"/>
      <c r="J15" s="3417"/>
      <c r="K15" s="3418"/>
    </row>
    <row r="16" spans="1:11">
      <c r="A16" s="3371" t="s">
        <v>3150</v>
      </c>
      <c r="B16" s="3372"/>
      <c r="C16" s="3373"/>
      <c r="D16" s="3419">
        <v>15513.57</v>
      </c>
      <c r="E16" s="3419"/>
      <c r="F16" s="3419"/>
      <c r="G16" s="3357" t="s">
        <v>3151</v>
      </c>
      <c r="H16" s="3357"/>
      <c r="I16" s="3382">
        <v>15513.57</v>
      </c>
      <c r="J16" s="3382"/>
      <c r="K16" s="3383"/>
    </row>
    <row r="17" spans="1:11">
      <c r="A17" s="3391"/>
      <c r="B17" s="3392"/>
      <c r="C17" s="3393"/>
      <c r="D17" s="3419"/>
      <c r="E17" s="3419"/>
      <c r="F17" s="3419"/>
      <c r="G17" s="3357" t="s">
        <v>3152</v>
      </c>
      <c r="H17" s="3357"/>
      <c r="I17" s="3382">
        <v>0</v>
      </c>
      <c r="J17" s="3382"/>
      <c r="K17" s="3383"/>
    </row>
    <row r="18" spans="1:11">
      <c r="A18" s="3336" t="s">
        <v>3153</v>
      </c>
      <c r="B18" s="3385"/>
      <c r="C18" s="3337"/>
      <c r="D18" s="3409" t="s">
        <v>3154</v>
      </c>
      <c r="E18" s="3409"/>
      <c r="F18" s="3409"/>
      <c r="G18" s="3357" t="s">
        <v>3155</v>
      </c>
      <c r="H18" s="3357"/>
      <c r="I18" s="3410">
        <v>0.99436008693531397</v>
      </c>
      <c r="J18" s="3410"/>
      <c r="K18" s="3411"/>
    </row>
    <row r="19" spans="1:11">
      <c r="A19" s="3336" t="s">
        <v>3156</v>
      </c>
      <c r="B19" s="3385"/>
      <c r="C19" s="3337"/>
      <c r="D19" s="3412" t="s">
        <v>3147</v>
      </c>
      <c r="E19" s="3409"/>
      <c r="F19" s="3409"/>
      <c r="G19" s="3357" t="s">
        <v>3155</v>
      </c>
      <c r="H19" s="3357"/>
      <c r="I19" s="3410">
        <v>5.6399130646859197E-3</v>
      </c>
      <c r="J19" s="3410"/>
      <c r="K19" s="3411"/>
    </row>
    <row r="20" spans="1:11">
      <c r="A20" s="3336" t="s">
        <v>3157</v>
      </c>
      <c r="B20" s="3385"/>
      <c r="C20" s="3337"/>
      <c r="D20" s="3382">
        <v>5246.95</v>
      </c>
      <c r="E20" s="3382"/>
      <c r="F20" s="3382"/>
      <c r="G20" s="3357" t="s">
        <v>3158</v>
      </c>
      <c r="H20" s="3357"/>
      <c r="I20" s="3386">
        <v>0</v>
      </c>
      <c r="J20" s="3386"/>
      <c r="K20" s="3387"/>
    </row>
    <row r="21" spans="1:11">
      <c r="A21" s="3401" t="s">
        <v>3159</v>
      </c>
      <c r="B21" s="3402"/>
      <c r="C21" s="3402"/>
      <c r="D21" s="3402"/>
      <c r="E21" s="3402"/>
      <c r="F21" s="3402"/>
      <c r="G21" s="3402"/>
      <c r="H21" s="3402"/>
      <c r="I21" s="3402"/>
      <c r="J21" s="3402"/>
      <c r="K21" s="3403"/>
    </row>
    <row r="22" spans="1:11" ht="14.25">
      <c r="A22" s="3371" t="s">
        <v>3160</v>
      </c>
      <c r="B22" s="3372"/>
      <c r="C22" s="3373"/>
      <c r="D22" s="3404">
        <v>50705.94</v>
      </c>
      <c r="E22" s="3404"/>
      <c r="F22" s="3404"/>
      <c r="G22" s="3357" t="s">
        <v>3161</v>
      </c>
      <c r="H22" s="3357"/>
      <c r="I22" s="3405">
        <v>36767.94</v>
      </c>
      <c r="J22" s="3405"/>
      <c r="K22" s="3406"/>
    </row>
    <row r="23" spans="1:11">
      <c r="A23" s="3391"/>
      <c r="B23" s="3392"/>
      <c r="C23" s="3393"/>
      <c r="D23" s="3404"/>
      <c r="E23" s="3404"/>
      <c r="F23" s="3404"/>
      <c r="G23" s="3357" t="s">
        <v>3162</v>
      </c>
      <c r="H23" s="3357"/>
      <c r="I23" s="3407">
        <v>13938</v>
      </c>
      <c r="J23" s="3407"/>
      <c r="K23" s="3408"/>
    </row>
    <row r="24" spans="1:11">
      <c r="A24" s="3336" t="s">
        <v>3163</v>
      </c>
      <c r="B24" s="3385"/>
      <c r="C24" s="3337"/>
      <c r="D24" s="3396">
        <v>3325.84</v>
      </c>
      <c r="E24" s="3396"/>
      <c r="F24" s="3357" t="s">
        <v>3164</v>
      </c>
      <c r="G24" s="3357"/>
      <c r="H24" s="3194">
        <v>0</v>
      </c>
      <c r="I24" s="3397" t="s">
        <v>2033</v>
      </c>
      <c r="J24" s="3397"/>
      <c r="K24" s="3195">
        <v>3.34075522268569</v>
      </c>
    </row>
    <row r="25" spans="1:11">
      <c r="A25" s="3336" t="s">
        <v>3165</v>
      </c>
      <c r="B25" s="3385"/>
      <c r="C25" s="3337"/>
      <c r="D25" s="3382">
        <v>11186.22</v>
      </c>
      <c r="E25" s="3382"/>
      <c r="F25" s="3382"/>
      <c r="G25" s="3357" t="s">
        <v>3155</v>
      </c>
      <c r="H25" s="3357"/>
      <c r="I25" s="3398">
        <v>0.99436008693531397</v>
      </c>
      <c r="J25" s="3398"/>
      <c r="K25" s="3399"/>
    </row>
    <row r="26" spans="1:11">
      <c r="A26" s="3336" t="s">
        <v>3166</v>
      </c>
      <c r="B26" s="3385"/>
      <c r="C26" s="3337"/>
      <c r="D26" s="3382">
        <v>25581.72</v>
      </c>
      <c r="E26" s="3382"/>
      <c r="F26" s="3382"/>
      <c r="G26" s="3357" t="s">
        <v>3155</v>
      </c>
      <c r="H26" s="3357"/>
      <c r="I26" s="3386">
        <v>5.6399130646859197E-3</v>
      </c>
      <c r="J26" s="3386"/>
      <c r="K26" s="3387"/>
    </row>
    <row r="27" spans="1:11">
      <c r="A27" s="3371" t="s">
        <v>3167</v>
      </c>
      <c r="B27" s="3372"/>
      <c r="C27" s="3373"/>
      <c r="D27" s="3394">
        <v>299</v>
      </c>
      <c r="E27" s="3394"/>
      <c r="F27" s="3382" t="s">
        <v>3135</v>
      </c>
      <c r="G27" s="3357" t="s">
        <v>3168</v>
      </c>
      <c r="H27" s="3357"/>
      <c r="I27" s="3395" t="s">
        <v>3169</v>
      </c>
      <c r="J27" s="3395"/>
      <c r="K27" s="3196" t="s">
        <v>3143</v>
      </c>
    </row>
    <row r="28" spans="1:11">
      <c r="A28" s="3388"/>
      <c r="B28" s="3389"/>
      <c r="C28" s="3390"/>
      <c r="D28" s="3394"/>
      <c r="E28" s="3394"/>
      <c r="F28" s="3382"/>
      <c r="G28" s="3357" t="s">
        <v>3170</v>
      </c>
      <c r="H28" s="3357"/>
      <c r="I28" s="3400">
        <v>0</v>
      </c>
      <c r="J28" s="3400"/>
      <c r="K28" s="3197">
        <v>0</v>
      </c>
    </row>
    <row r="29" spans="1:11">
      <c r="A29" s="3388"/>
      <c r="B29" s="3389"/>
      <c r="C29" s="3390"/>
      <c r="D29" s="3394"/>
      <c r="E29" s="3394"/>
      <c r="F29" s="3382"/>
      <c r="G29" s="3357" t="s">
        <v>3171</v>
      </c>
      <c r="H29" s="3384">
        <v>299</v>
      </c>
      <c r="I29" s="3198" t="s">
        <v>3172</v>
      </c>
      <c r="J29" s="3199">
        <v>299</v>
      </c>
      <c r="K29" s="3197">
        <v>1</v>
      </c>
    </row>
    <row r="30" spans="1:11">
      <c r="A30" s="3391"/>
      <c r="B30" s="3392"/>
      <c r="C30" s="3393"/>
      <c r="D30" s="3394"/>
      <c r="E30" s="3394"/>
      <c r="F30" s="3382"/>
      <c r="G30" s="3357"/>
      <c r="H30" s="3384"/>
      <c r="I30" s="3200" t="s">
        <v>3173</v>
      </c>
      <c r="J30" s="3201">
        <v>0</v>
      </c>
      <c r="K30" s="3197">
        <v>0</v>
      </c>
    </row>
    <row r="31" spans="1:11">
      <c r="A31" s="3336" t="s">
        <v>3174</v>
      </c>
      <c r="B31" s="3385"/>
      <c r="C31" s="3337"/>
      <c r="D31" s="3374">
        <v>99.1</v>
      </c>
      <c r="E31" s="3374"/>
      <c r="F31" s="3374"/>
      <c r="G31" s="3357" t="s">
        <v>3175</v>
      </c>
      <c r="H31" s="3357"/>
      <c r="I31" s="3357">
        <v>31</v>
      </c>
      <c r="J31" s="3357"/>
      <c r="K31" s="3358"/>
    </row>
    <row r="32" spans="1:11">
      <c r="A32" s="3371" t="s">
        <v>3176</v>
      </c>
      <c r="B32" s="3372"/>
      <c r="C32" s="3373"/>
      <c r="D32" s="3374">
        <v>2</v>
      </c>
      <c r="E32" s="3374"/>
      <c r="F32" s="3374"/>
      <c r="G32" s="3357" t="s">
        <v>3177</v>
      </c>
      <c r="H32" s="3357"/>
      <c r="I32" s="3357">
        <v>87</v>
      </c>
      <c r="J32" s="3357"/>
      <c r="K32" s="3358"/>
    </row>
    <row r="33" spans="1:11">
      <c r="A33" s="3375" t="s">
        <v>3178</v>
      </c>
      <c r="B33" s="3376"/>
      <c r="C33" s="3377"/>
      <c r="D33" s="3355" t="s">
        <v>3179</v>
      </c>
      <c r="E33" s="3381"/>
      <c r="F33" s="3382" t="s">
        <v>3180</v>
      </c>
      <c r="G33" s="3382"/>
      <c r="H33" s="3382"/>
      <c r="I33" s="3382"/>
      <c r="J33" s="3382"/>
      <c r="K33" s="3383"/>
    </row>
    <row r="34" spans="1:11">
      <c r="A34" s="3378"/>
      <c r="B34" s="3379"/>
      <c r="C34" s="3380"/>
      <c r="D34" s="3355" t="s">
        <v>3181</v>
      </c>
      <c r="E34" s="3381"/>
      <c r="F34" s="3382" t="s">
        <v>3182</v>
      </c>
      <c r="G34" s="3382"/>
      <c r="H34" s="3382"/>
      <c r="I34" s="3382"/>
      <c r="J34" s="3382"/>
      <c r="K34" s="3383"/>
    </row>
    <row r="35" spans="1:11">
      <c r="A35" s="3365" t="s">
        <v>3183</v>
      </c>
      <c r="B35" s="3366"/>
      <c r="C35" s="3366"/>
      <c r="D35" s="3366"/>
      <c r="E35" s="3366"/>
      <c r="F35" s="3366"/>
      <c r="G35" s="3366"/>
      <c r="H35" s="3366"/>
      <c r="I35" s="3366"/>
      <c r="J35" s="3366"/>
      <c r="K35" s="3367"/>
    </row>
    <row r="36" spans="1:11">
      <c r="A36" s="3336" t="s">
        <v>3184</v>
      </c>
      <c r="B36" s="3337"/>
      <c r="C36" s="3202" t="s">
        <v>3185</v>
      </c>
      <c r="D36" s="3202" t="s">
        <v>3186</v>
      </c>
      <c r="E36" s="3203" t="s">
        <v>3187</v>
      </c>
      <c r="F36" s="3203" t="s">
        <v>3147</v>
      </c>
      <c r="G36" s="3202"/>
      <c r="H36" s="3202"/>
      <c r="I36" s="3204" t="s">
        <v>3147</v>
      </c>
      <c r="J36" s="3204" t="s">
        <v>3147</v>
      </c>
      <c r="K36" s="3205"/>
    </row>
    <row r="37" spans="1:11">
      <c r="A37" s="3336" t="s">
        <v>3188</v>
      </c>
      <c r="B37" s="3337"/>
      <c r="C37" s="3201">
        <v>10883.92</v>
      </c>
      <c r="D37" s="3201">
        <v>302.3</v>
      </c>
      <c r="E37" s="3206">
        <v>25581.72</v>
      </c>
      <c r="F37" s="3201"/>
      <c r="G37" s="3201"/>
      <c r="H37" s="3207"/>
      <c r="I37" s="3207"/>
      <c r="J37" s="3207"/>
      <c r="K37" s="3208"/>
    </row>
    <row r="38" spans="1:11">
      <c r="A38" s="3368" t="s">
        <v>3189</v>
      </c>
      <c r="B38" s="3369"/>
      <c r="C38" s="3369"/>
      <c r="D38" s="3369"/>
      <c r="E38" s="3369"/>
      <c r="F38" s="3369"/>
      <c r="G38" s="3369"/>
      <c r="H38" s="3369"/>
      <c r="I38" s="3369"/>
      <c r="J38" s="3369"/>
      <c r="K38" s="3370"/>
    </row>
    <row r="39" spans="1:11">
      <c r="A39" s="3336" t="s">
        <v>3184</v>
      </c>
      <c r="B39" s="3337"/>
      <c r="C39" s="3203" t="s">
        <v>3190</v>
      </c>
      <c r="D39" s="3203" t="s">
        <v>3191</v>
      </c>
      <c r="E39" s="3209" t="s">
        <v>3192</v>
      </c>
      <c r="F39" s="3204" t="s">
        <v>3147</v>
      </c>
      <c r="G39" s="3204" t="s">
        <v>3147</v>
      </c>
      <c r="H39" s="3203" t="s">
        <v>3147</v>
      </c>
      <c r="I39" s="3202"/>
      <c r="J39" s="3204" t="s">
        <v>3147</v>
      </c>
      <c r="K39" s="3210" t="s">
        <v>3147</v>
      </c>
    </row>
    <row r="40" spans="1:11">
      <c r="A40" s="3336" t="s">
        <v>3188</v>
      </c>
      <c r="B40" s="3337"/>
      <c r="C40" s="3201">
        <v>13938</v>
      </c>
      <c r="D40" s="3201"/>
      <c r="E40" s="3211">
        <v>2500</v>
      </c>
      <c r="F40" s="3212"/>
      <c r="G40" s="3211"/>
      <c r="H40" s="3201"/>
      <c r="I40" s="3201"/>
      <c r="J40" s="3211"/>
      <c r="K40" s="3213"/>
    </row>
    <row r="41" spans="1:11">
      <c r="A41" s="3359" t="s">
        <v>3193</v>
      </c>
      <c r="B41" s="3214" t="s">
        <v>2376</v>
      </c>
      <c r="C41" s="3360" t="s">
        <v>3194</v>
      </c>
      <c r="D41" s="3360"/>
      <c r="E41" s="3361" t="s">
        <v>3195</v>
      </c>
      <c r="F41" s="3361"/>
      <c r="G41" s="3214" t="s">
        <v>3196</v>
      </c>
      <c r="H41" s="3214" t="s">
        <v>3197</v>
      </c>
      <c r="I41" s="3214" t="s">
        <v>3198</v>
      </c>
      <c r="J41" s="3361" t="s">
        <v>3199</v>
      </c>
      <c r="K41" s="3362"/>
    </row>
    <row r="42" spans="1:11">
      <c r="A42" s="3359"/>
      <c r="B42" s="3215">
        <v>2</v>
      </c>
      <c r="C42" s="3347" t="s">
        <v>3200</v>
      </c>
      <c r="D42" s="3348"/>
      <c r="E42" s="3345" t="s">
        <v>3201</v>
      </c>
      <c r="F42" s="3346"/>
      <c r="G42" s="3216">
        <v>1</v>
      </c>
      <c r="H42" s="3216"/>
      <c r="I42" s="3216">
        <v>197.3</v>
      </c>
      <c r="J42" s="3363">
        <v>302.3</v>
      </c>
      <c r="K42" s="3364"/>
    </row>
    <row r="43" spans="1:11">
      <c r="A43" s="3359"/>
      <c r="B43" s="3215">
        <v>3</v>
      </c>
      <c r="C43" s="3347" t="s">
        <v>3202</v>
      </c>
      <c r="D43" s="3348"/>
      <c r="E43" s="3345" t="s">
        <v>3201</v>
      </c>
      <c r="F43" s="3346"/>
      <c r="G43" s="3217">
        <v>1</v>
      </c>
      <c r="H43" s="3217"/>
      <c r="I43" s="3217">
        <v>40</v>
      </c>
      <c r="J43" s="3363"/>
      <c r="K43" s="3364"/>
    </row>
    <row r="44" spans="1:11">
      <c r="A44" s="3359"/>
      <c r="B44" s="3215"/>
      <c r="C44" s="3348" t="s">
        <v>3203</v>
      </c>
      <c r="D44" s="3348"/>
      <c r="E44" s="3345" t="s">
        <v>3201</v>
      </c>
      <c r="F44" s="3346"/>
      <c r="G44" s="3217">
        <v>1</v>
      </c>
      <c r="H44" s="3217"/>
      <c r="I44" s="3217">
        <v>20</v>
      </c>
      <c r="J44" s="3363"/>
      <c r="K44" s="3364"/>
    </row>
    <row r="45" spans="1:11">
      <c r="A45" s="3359"/>
      <c r="B45" s="3215">
        <v>4</v>
      </c>
      <c r="C45" s="3347" t="s">
        <v>3204</v>
      </c>
      <c r="D45" s="3348"/>
      <c r="E45" s="3345" t="s">
        <v>3201</v>
      </c>
      <c r="F45" s="3346"/>
      <c r="G45" s="3217">
        <v>1</v>
      </c>
      <c r="H45" s="3217"/>
      <c r="I45" s="3217">
        <v>45</v>
      </c>
      <c r="J45" s="3363"/>
      <c r="K45" s="3364"/>
    </row>
    <row r="46" spans="1:11">
      <c r="A46" s="3349" t="s">
        <v>3205</v>
      </c>
      <c r="B46" s="3350"/>
      <c r="C46" s="3351"/>
      <c r="D46" s="3351"/>
      <c r="E46" s="3350"/>
      <c r="F46" s="3350"/>
      <c r="G46" s="3350"/>
      <c r="H46" s="3350"/>
      <c r="I46" s="3350"/>
      <c r="J46" s="3350"/>
      <c r="K46" s="3352"/>
    </row>
    <row r="47" spans="1:11">
      <c r="A47" s="3353" t="s">
        <v>3178</v>
      </c>
      <c r="B47" s="3354"/>
      <c r="C47" s="3355"/>
      <c r="D47" s="3356" t="s">
        <v>3206</v>
      </c>
      <c r="E47" s="3356"/>
      <c r="F47" s="3356" t="s">
        <v>3207</v>
      </c>
      <c r="G47" s="3357" t="s">
        <v>2952</v>
      </c>
      <c r="H47" s="3357"/>
      <c r="I47" s="3357"/>
      <c r="J47" s="3357" t="s">
        <v>3208</v>
      </c>
      <c r="K47" s="3358" t="s">
        <v>3209</v>
      </c>
    </row>
    <row r="48" spans="1:11">
      <c r="A48" s="3336" t="s">
        <v>3210</v>
      </c>
      <c r="B48" s="3337"/>
      <c r="C48" s="3200" t="s">
        <v>3181</v>
      </c>
      <c r="D48" s="3200" t="s">
        <v>3113</v>
      </c>
      <c r="E48" s="3200" t="s">
        <v>3211</v>
      </c>
      <c r="F48" s="3356"/>
      <c r="G48" s="3218" t="s">
        <v>3212</v>
      </c>
      <c r="H48" s="3218" t="s">
        <v>3213</v>
      </c>
      <c r="I48" s="3200" t="s">
        <v>3214</v>
      </c>
      <c r="J48" s="3357"/>
      <c r="K48" s="3358"/>
    </row>
    <row r="49" spans="1:11">
      <c r="A49" s="3338" t="s">
        <v>3215</v>
      </c>
      <c r="B49" s="3339"/>
      <c r="C49" s="3219" t="s">
        <v>3201</v>
      </c>
      <c r="D49" s="3219">
        <v>19</v>
      </c>
      <c r="E49" s="3219">
        <v>2</v>
      </c>
      <c r="F49" s="3220">
        <v>96.6</v>
      </c>
      <c r="G49" s="3221">
        <v>24442.12</v>
      </c>
      <c r="H49" s="3221">
        <v>24442.12</v>
      </c>
      <c r="I49" s="3222">
        <v>0</v>
      </c>
      <c r="J49" s="3223">
        <v>2429.38</v>
      </c>
      <c r="K49" s="3224">
        <v>1297.7</v>
      </c>
    </row>
    <row r="50" spans="1:11">
      <c r="A50" s="3338" t="s">
        <v>923</v>
      </c>
      <c r="B50" s="3339"/>
      <c r="C50" s="3219" t="s">
        <v>3216</v>
      </c>
      <c r="D50" s="3219">
        <v>31</v>
      </c>
      <c r="E50" s="3219">
        <v>2</v>
      </c>
      <c r="F50" s="3220">
        <v>10.5</v>
      </c>
      <c r="G50" s="3221">
        <v>12325.82</v>
      </c>
      <c r="H50" s="3221">
        <v>12325.82</v>
      </c>
      <c r="I50" s="3222">
        <v>0</v>
      </c>
      <c r="J50" s="3223">
        <v>896.46</v>
      </c>
      <c r="K50" s="3224">
        <v>1297.4000000000001</v>
      </c>
    </row>
    <row r="51" spans="1:11">
      <c r="A51" s="3338" t="s">
        <v>35</v>
      </c>
      <c r="B51" s="3339"/>
      <c r="C51" s="3219"/>
      <c r="D51" s="3219">
        <v>0</v>
      </c>
      <c r="E51" s="3219">
        <v>2</v>
      </c>
      <c r="F51" s="3220">
        <v>0</v>
      </c>
      <c r="G51" s="3221">
        <v>13938</v>
      </c>
      <c r="H51" s="3225">
        <v>0</v>
      </c>
      <c r="I51" s="3222">
        <v>13938</v>
      </c>
      <c r="J51" s="3223"/>
      <c r="K51" s="3224"/>
    </row>
    <row r="52" spans="1:11" ht="14.25" thickBot="1">
      <c r="A52" s="3340" t="s">
        <v>24</v>
      </c>
      <c r="B52" s="3341"/>
      <c r="C52" s="3226"/>
      <c r="D52" s="3226"/>
      <c r="E52" s="3226"/>
      <c r="F52" s="3227"/>
      <c r="G52" s="3221">
        <v>50705.94</v>
      </c>
      <c r="H52" s="3228">
        <v>36767.94</v>
      </c>
      <c r="I52" s="3228">
        <v>13938</v>
      </c>
      <c r="J52" s="3228">
        <v>3325.84</v>
      </c>
      <c r="K52" s="3229"/>
    </row>
    <row r="53" spans="1:11" ht="15" thickTop="1" thickBot="1">
      <c r="A53" s="3342" t="s">
        <v>3217</v>
      </c>
      <c r="B53" s="3343"/>
      <c r="C53" s="3343"/>
      <c r="D53" s="3343"/>
      <c r="E53" s="3343"/>
      <c r="F53" s="3343"/>
      <c r="G53" s="3343"/>
      <c r="H53" s="3343"/>
      <c r="I53" s="3343"/>
      <c r="J53" s="3343"/>
      <c r="K53" s="3344"/>
    </row>
    <row r="54" spans="1:11" ht="15" thickTop="1">
      <c r="A54" s="3230" t="s">
        <v>3218</v>
      </c>
      <c r="B54" s="3231"/>
      <c r="C54" s="3231"/>
      <c r="D54" s="3231"/>
      <c r="E54" s="3231"/>
      <c r="F54" s="3231"/>
      <c r="G54" s="3231"/>
      <c r="H54" s="3231"/>
      <c r="I54" s="3231"/>
      <c r="J54" s="3231"/>
      <c r="K54" s="3232"/>
    </row>
    <row r="55" spans="1:11" ht="14.25">
      <c r="A55" s="3233" t="s">
        <v>3219</v>
      </c>
      <c r="B55" s="3234"/>
      <c r="C55" s="3234"/>
      <c r="D55" s="3234"/>
      <c r="E55" s="3234"/>
      <c r="F55" s="3234"/>
      <c r="G55" s="3234"/>
      <c r="H55" s="3234"/>
      <c r="I55" s="3234"/>
      <c r="J55" s="3234"/>
      <c r="K55" s="3235"/>
    </row>
    <row r="56" spans="1:11" ht="14.25">
      <c r="A56" s="3233" t="s">
        <v>3220</v>
      </c>
      <c r="B56" s="3234"/>
      <c r="C56" s="3234"/>
      <c r="D56" s="3234"/>
      <c r="E56" s="3234"/>
      <c r="F56" s="3234"/>
      <c r="G56" s="3234"/>
      <c r="H56" s="3234"/>
      <c r="I56" s="3234"/>
      <c r="J56" s="3234"/>
      <c r="K56" s="3235"/>
    </row>
    <row r="57" spans="1:11" ht="14.25">
      <c r="A57" s="3233" t="s">
        <v>3221</v>
      </c>
      <c r="B57" s="3234"/>
      <c r="C57" s="3234"/>
      <c r="D57" s="3234"/>
      <c r="E57" s="3234"/>
      <c r="F57" s="3234"/>
      <c r="G57" s="3234"/>
      <c r="H57" s="3234"/>
      <c r="I57" s="3234"/>
      <c r="J57" s="3234"/>
      <c r="K57" s="3235"/>
    </row>
    <row r="58" spans="1:11" ht="14.25">
      <c r="A58" s="3233" t="s">
        <v>3222</v>
      </c>
      <c r="B58" s="3234"/>
      <c r="C58" s="3234"/>
      <c r="D58" s="3234"/>
      <c r="E58" s="3234"/>
      <c r="F58" s="3234"/>
      <c r="G58" s="3234"/>
      <c r="H58" s="3234"/>
      <c r="I58" s="3234"/>
      <c r="J58" s="3234"/>
      <c r="K58" s="3235"/>
    </row>
    <row r="59" spans="1:11" ht="14.25">
      <c r="A59" s="3233" t="s">
        <v>3223</v>
      </c>
      <c r="B59" s="3234"/>
      <c r="C59" s="3234"/>
      <c r="D59" s="3234"/>
      <c r="E59" s="3234"/>
      <c r="F59" s="3234"/>
      <c r="G59" s="3234"/>
      <c r="H59" s="3234"/>
      <c r="I59" s="3234"/>
      <c r="J59" s="3234"/>
      <c r="K59" s="3235"/>
    </row>
    <row r="60" spans="1:11" ht="15" thickBot="1">
      <c r="A60" s="3236" t="s">
        <v>3224</v>
      </c>
      <c r="B60" s="3237"/>
      <c r="C60" s="3237"/>
      <c r="D60" s="3237"/>
      <c r="E60" s="3237"/>
      <c r="F60" s="3237"/>
      <c r="G60" s="3237"/>
      <c r="H60" s="3237"/>
      <c r="I60" s="3237"/>
      <c r="J60" s="3237"/>
      <c r="K60" s="3238"/>
    </row>
  </sheetData>
  <mergeCells count="125">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A20:C20"/>
    <mergeCell ref="D20:F20"/>
    <mergeCell ref="G20:H20"/>
    <mergeCell ref="I20:K20"/>
    <mergeCell ref="A21:K21"/>
    <mergeCell ref="A22:C23"/>
    <mergeCell ref="D22:F23"/>
    <mergeCell ref="G22:H22"/>
    <mergeCell ref="I22:K22"/>
    <mergeCell ref="G23:H23"/>
    <mergeCell ref="I23:K23"/>
    <mergeCell ref="A24:C24"/>
    <mergeCell ref="D24:E24"/>
    <mergeCell ref="F24:G24"/>
    <mergeCell ref="I24:J24"/>
    <mergeCell ref="A25:C25"/>
    <mergeCell ref="D25:F25"/>
    <mergeCell ref="G25:H25"/>
    <mergeCell ref="I25:K25"/>
    <mergeCell ref="I28:J28"/>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H33" sqref="H3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3114</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3252</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3226</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3253</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43592</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57.07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5</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3002</v>
      </c>
      <c r="D7" s="2303">
        <f>SUMIF(项目基本情况!D$15:I$15,C7,项目基本情况!D$18:I$18)</f>
        <v>40</v>
      </c>
      <c r="E7" s="2304">
        <f>IF(B7="","",SUMIF(项目基本情况!D$15:I$15,C7,项目基本情况!D$17:I$17))</f>
        <v>53466</v>
      </c>
      <c r="F7" s="174">
        <f>SUMIF(项目基本情况!D$15:I$15,C7,项目基本情况!D$19:I$19)</f>
        <v>27.05</v>
      </c>
      <c r="G7" s="175">
        <f t="shared" ref="G7:G11" si="2">IF(ISERROR(ROUND(POWER(1+H7,D7-F7)*(POWER(1+H7,F7)-1)/(POWER(1+H7,D7)-1),3)),0,ROUND(POWER(1+H7,D7-F7)*(POWER(1+H7,F7)-1)/(POWER(1+H7,D7)-1),3))</f>
        <v>0.86699999999999999</v>
      </c>
      <c r="H7" s="2995">
        <v>5.5E-2</v>
      </c>
      <c r="I7" s="2995">
        <v>0.06</v>
      </c>
      <c r="J7" s="176">
        <v>0.08</v>
      </c>
      <c r="K7" s="179">
        <f>SUMIF('数据-汇总表'!C$19:C$33,'数据-取费表'!A7,'数据-汇总表'!E$19:E$33)</f>
        <v>1139.6000000000033</v>
      </c>
      <c r="L7" s="2996">
        <v>2200</v>
      </c>
      <c r="M7" s="177">
        <f t="shared" si="0"/>
        <v>251</v>
      </c>
      <c r="N7" s="2997">
        <v>0</v>
      </c>
      <c r="O7" s="177">
        <f t="shared" ref="O7:O14" si="3">IF($N$5="成新度","——",ROUND(M7*N7,0))</f>
        <v>0</v>
      </c>
      <c r="P7" s="178">
        <f t="shared" ref="P7:P14" si="4">IF($N$5="成新度","——",M7-O7)</f>
        <v>251</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0.76500000000000001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3225</v>
      </c>
      <c r="D8" s="2303">
        <f>SUMIF(项目基本情况!D$15:I$15,C8,项目基本情况!D$18:I$18)</f>
        <v>50</v>
      </c>
      <c r="E8" s="2304">
        <f>IF(B8="","",SUMIF(项目基本情况!D$15:I$15,C8,项目基本情况!D$17:I$17))</f>
        <v>57119</v>
      </c>
      <c r="F8" s="174">
        <f>SUMIF(项目基本情况!D$15:I$15,C8,项目基本情况!D$19:I$19)</f>
        <v>37.06</v>
      </c>
      <c r="G8" s="175">
        <f t="shared" si="2"/>
        <v>0.89200000000000002</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6</v>
      </c>
      <c r="U8" s="180">
        <v>0.3</v>
      </c>
      <c r="V8" s="181">
        <v>0.02</v>
      </c>
      <c r="W8" s="181">
        <v>0.15</v>
      </c>
      <c r="X8" s="2316"/>
      <c r="Y8" s="182">
        <v>1</v>
      </c>
      <c r="Z8" s="183"/>
      <c r="AA8" s="176"/>
      <c r="AB8" s="176"/>
      <c r="AC8" s="2319"/>
      <c r="AD8" s="184"/>
      <c r="AE8" s="968">
        <f t="shared" ca="1" si="6"/>
        <v>35.06</v>
      </c>
      <c r="AF8" s="141"/>
      <c r="AG8" s="1209">
        <f t="shared" si="7"/>
        <v>0</v>
      </c>
      <c r="AH8" s="141"/>
      <c r="AI8" s="187">
        <v>365</v>
      </c>
      <c r="AJ8" s="188"/>
      <c r="AK8" s="189">
        <v>1.4999999999999999E-2</v>
      </c>
      <c r="AL8" s="190">
        <v>1.5E-3</v>
      </c>
      <c r="AM8" s="2364">
        <v>0.02</v>
      </c>
      <c r="AN8" s="2366" t="s">
        <v>3275</v>
      </c>
      <c r="AO8" s="1995"/>
      <c r="AP8" s="1200">
        <f t="shared" si="8"/>
        <v>0.76600000000000001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37.06</v>
      </c>
      <c r="G9" s="175">
        <f t="shared" si="2"/>
        <v>0.91600000000000004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10</v>
      </c>
      <c r="U9" s="180">
        <v>3</v>
      </c>
      <c r="V9" s="181">
        <v>2.5000000000000001E-2</v>
      </c>
      <c r="W9" s="181">
        <v>0.1</v>
      </c>
      <c r="X9" s="2316"/>
      <c r="Y9" s="182">
        <v>1</v>
      </c>
      <c r="Z9" s="183"/>
      <c r="AA9" s="176"/>
      <c r="AB9" s="176"/>
      <c r="AC9" s="2319"/>
      <c r="AD9" s="184"/>
      <c r="AE9" s="968">
        <f t="shared" ca="1" si="6"/>
        <v>35.06</v>
      </c>
      <c r="AF9" s="141"/>
      <c r="AG9" s="1209">
        <f t="shared" si="7"/>
        <v>0</v>
      </c>
      <c r="AH9" s="141"/>
      <c r="AI9" s="187">
        <v>365</v>
      </c>
      <c r="AJ9" s="188"/>
      <c r="AK9" s="189">
        <v>1.4999999999999999E-2</v>
      </c>
      <c r="AL9" s="190">
        <v>1.5E-3</v>
      </c>
      <c r="AM9" s="2364">
        <v>0.02</v>
      </c>
      <c r="AN9" s="2366" t="s">
        <v>3276</v>
      </c>
      <c r="AO9" s="1995"/>
      <c r="AP9" s="1200">
        <f t="shared" si="8"/>
        <v>0.83599999999999997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2000</v>
      </c>
      <c r="M14" s="177">
        <f t="shared" si="0"/>
        <v>21</v>
      </c>
      <c r="N14" s="194">
        <v>0</v>
      </c>
      <c r="O14" s="177">
        <f t="shared" si="3"/>
        <v>0</v>
      </c>
      <c r="P14" s="178">
        <f t="shared" si="4"/>
        <v>21</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2564</v>
      </c>
      <c r="M16" s="206">
        <f>SUM(M6:M14)</f>
        <v>12951</v>
      </c>
      <c r="N16" s="207">
        <f>ROUND(SUMPRODUCT(M6:M14,N6:N14)/M16,3)</f>
        <v>0</v>
      </c>
      <c r="O16" s="206">
        <f>SUM(O6:O14)</f>
        <v>0</v>
      </c>
      <c r="P16" s="206">
        <f>SUM(P6:P14)</f>
        <v>12951</v>
      </c>
      <c r="Q16" s="208">
        <f>ROUND(SUMPRODUCT(Q6:Q13,K6:K13)/SUMPRODUCT((Q6:Q13&gt;0)*(K6:K13)),2)</f>
        <v>0.12</v>
      </c>
      <c r="R16" s="2306">
        <f>SUM(R6:R13)</f>
        <v>11169.03</v>
      </c>
      <c r="S16" s="209">
        <f>SUM(S6:S13)</f>
        <v>105</v>
      </c>
      <c r="T16" s="210">
        <f>IF(SUMIF(T6:T13,"&lt;9E307")=M14,SUMIF(T6:T13,"&lt;9E307"),"有误，请检查")</f>
        <v>21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0.83299999999999996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2895</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2905</v>
      </c>
      <c r="D53" s="3047"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2907</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2908</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2909</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2910</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2911</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2912</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2913</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2914</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2915</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2916</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2923</v>
      </c>
      <c r="D3" s="2004"/>
      <c r="E3" s="1225" t="s">
        <v>1667</v>
      </c>
      <c r="F3" s="1226" t="s">
        <v>1655</v>
      </c>
      <c r="G3" s="3055" t="s">
        <v>2922</v>
      </c>
      <c r="H3" s="2003"/>
      <c r="I3" s="2003"/>
      <c r="J3" s="2003"/>
      <c r="K3" s="2003"/>
      <c r="L3" s="2003"/>
      <c r="M3" s="2003"/>
      <c r="N3" s="2003"/>
      <c r="O3" s="2003"/>
      <c r="P3" s="2003"/>
      <c r="Q3" s="2003"/>
      <c r="R3" s="2003"/>
    </row>
    <row r="4" spans="1:18" ht="41.25">
      <c r="A4" s="1225"/>
      <c r="B4" s="1227" t="s">
        <v>1668</v>
      </c>
      <c r="C4" s="3052" t="s">
        <v>2924</v>
      </c>
      <c r="D4" s="2004"/>
      <c r="E4" s="1228"/>
      <c r="F4" s="1229" t="s">
        <v>1669</v>
      </c>
      <c r="G4" s="3053" t="s">
        <v>2919</v>
      </c>
      <c r="H4" s="2003"/>
      <c r="I4" s="2003"/>
      <c r="J4" s="2003"/>
      <c r="K4" s="2003"/>
      <c r="L4" s="2003"/>
      <c r="M4" s="2003"/>
      <c r="N4" s="2003"/>
      <c r="O4" s="2003"/>
      <c r="P4" s="2003"/>
      <c r="Q4" s="2003"/>
      <c r="R4" s="2003"/>
    </row>
    <row r="5" spans="1:18" ht="41.25">
      <c r="A5" s="1225"/>
      <c r="B5" s="1227" t="s">
        <v>1670</v>
      </c>
      <c r="C5" s="3052" t="s">
        <v>2925</v>
      </c>
      <c r="D5" s="2004"/>
      <c r="E5" s="1228"/>
      <c r="F5" s="1227" t="s">
        <v>2547</v>
      </c>
      <c r="G5" s="3053" t="s">
        <v>2920</v>
      </c>
      <c r="H5" s="2003"/>
      <c r="I5" s="2003"/>
      <c r="J5" s="2003"/>
      <c r="K5" s="2003"/>
      <c r="L5" s="2003"/>
      <c r="M5" s="2003"/>
      <c r="N5" s="2003"/>
      <c r="O5" s="2003"/>
      <c r="P5" s="2003"/>
      <c r="Q5" s="2003"/>
      <c r="R5" s="2003"/>
    </row>
    <row r="6" spans="1:18" ht="54">
      <c r="A6" s="1225"/>
      <c r="B6" s="1227" t="s">
        <v>1656</v>
      </c>
      <c r="C6" s="3053" t="s">
        <v>2919</v>
      </c>
      <c r="D6" s="2004"/>
      <c r="E6" s="1228"/>
      <c r="F6" s="1227" t="s">
        <v>2548</v>
      </c>
      <c r="G6" s="3053" t="s">
        <v>2917</v>
      </c>
      <c r="H6" s="2003"/>
      <c r="I6" s="2003"/>
      <c r="J6" s="2003"/>
      <c r="K6" s="2003"/>
      <c r="L6" s="2003"/>
      <c r="M6" s="2003"/>
      <c r="N6" s="2003"/>
      <c r="O6" s="2003"/>
      <c r="P6" s="2003"/>
      <c r="Q6" s="2003"/>
      <c r="R6" s="2003"/>
    </row>
    <row r="7" spans="1:18" ht="41.25" thickBot="1">
      <c r="A7" s="1225"/>
      <c r="B7" s="1227" t="s">
        <v>2547</v>
      </c>
      <c r="C7" s="3053" t="s">
        <v>2920</v>
      </c>
      <c r="D7" s="2005"/>
      <c r="E7" s="1230"/>
      <c r="F7" s="1231" t="s">
        <v>1671</v>
      </c>
      <c r="G7" s="3056" t="s">
        <v>2921</v>
      </c>
      <c r="H7" s="2003"/>
      <c r="I7" s="2003"/>
      <c r="J7" s="2003"/>
      <c r="K7" s="2003"/>
      <c r="L7" s="2003"/>
      <c r="M7" s="2003"/>
      <c r="N7" s="2003"/>
      <c r="O7" s="2003"/>
      <c r="P7" s="2003"/>
      <c r="Q7" s="2003"/>
      <c r="R7" s="2003"/>
    </row>
    <row r="8" spans="1:18" ht="27">
      <c r="A8" s="1225"/>
      <c r="B8" s="1227" t="s">
        <v>2548</v>
      </c>
      <c r="C8" s="3053" t="s">
        <v>2917</v>
      </c>
      <c r="D8" s="2005"/>
      <c r="E8" s="2005"/>
      <c r="F8" s="1549"/>
      <c r="G8" s="1549"/>
      <c r="H8" s="2003"/>
      <c r="I8" s="2003"/>
      <c r="J8" s="2003"/>
      <c r="K8" s="2003"/>
      <c r="L8" s="2003"/>
      <c r="M8" s="2003"/>
      <c r="N8" s="2003"/>
      <c r="O8" s="2003"/>
      <c r="P8" s="2003"/>
      <c r="Q8" s="2003"/>
      <c r="R8" s="2003"/>
    </row>
    <row r="9" spans="1:18" ht="40.5">
      <c r="A9" s="1225"/>
      <c r="B9" s="1227" t="s">
        <v>1657</v>
      </c>
      <c r="C9" s="3052" t="s">
        <v>2918</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7" sqref="B27"/>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43592</v>
      </c>
      <c r="C3" s="3016"/>
      <c r="D3" s="3016"/>
      <c r="E3" s="3016"/>
      <c r="F3" s="3016"/>
    </row>
    <row r="4" spans="1:9" ht="33">
      <c r="A4" s="3015" t="s">
        <v>2847</v>
      </c>
      <c r="B4" s="3015" t="s">
        <v>2848</v>
      </c>
      <c r="C4" s="3015" t="s">
        <v>2849</v>
      </c>
      <c r="D4" s="3015" t="s">
        <v>2850</v>
      </c>
      <c r="E4" s="3016"/>
      <c r="F4" s="3016"/>
    </row>
    <row r="5" spans="1:9" ht="16.5">
      <c r="A5" s="3015" t="s">
        <v>2851</v>
      </c>
      <c r="B5" s="3015">
        <f ca="1">SUM(D14:D23)</f>
        <v>22311</v>
      </c>
      <c r="C5" s="3015">
        <f ca="1">ROUND(B5*10000/$B$1,0)</f>
        <v>4400</v>
      </c>
      <c r="D5" s="3015">
        <f ca="1">ROUND(B5*10000/$B$2,0)</f>
        <v>19976</v>
      </c>
      <c r="E5" s="3016"/>
      <c r="F5" s="3016"/>
    </row>
    <row r="6" spans="1:9" ht="16.5">
      <c r="A6" s="3015" t="s">
        <v>2852</v>
      </c>
      <c r="B6" s="3015">
        <f ca="1">SUM(G14:G23)</f>
        <v>22311</v>
      </c>
      <c r="C6" s="3015">
        <f t="shared" ref="C6:C8" ca="1" si="0">ROUND(B6*10000/$B$1,0)</f>
        <v>4400</v>
      </c>
      <c r="D6" s="3015">
        <f t="shared" ref="D6:D8" ca="1" si="1">ROUND(B6*10000/$B$2,0)</f>
        <v>19976</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22311</v>
      </c>
      <c r="E14" s="3019">
        <f ca="1">ROUND(D14*10000/B14,0)</f>
        <v>4400</v>
      </c>
      <c r="F14" s="3019">
        <f ca="1">ROUND(D14*10000/C14,0)</f>
        <v>19976</v>
      </c>
      <c r="G14" s="3019">
        <f ca="1">结果表!C44</f>
        <v>22311</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27" sqref="G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25" t="str">
        <f>项目基本情况!K2</f>
        <v>出让国有建设用地使用权</v>
      </c>
      <c r="B2" s="3526"/>
      <c r="C2" s="3527"/>
      <c r="D2" s="3527"/>
      <c r="E2" s="3527"/>
      <c r="F2" s="3527"/>
      <c r="G2" s="3526"/>
      <c r="H2" s="3526"/>
      <c r="I2" s="3528"/>
      <c r="J2" s="2025"/>
      <c r="K2" s="2024"/>
      <c r="L2" s="2024"/>
      <c r="M2" s="2024"/>
      <c r="N2" s="2024"/>
      <c r="O2" s="2024"/>
      <c r="P2" s="2024"/>
      <c r="Q2" s="2024"/>
      <c r="R2" s="2024"/>
      <c r="S2" s="2024"/>
      <c r="T2" s="2024"/>
      <c r="U2" s="2024"/>
      <c r="V2" s="2024"/>
    </row>
    <row r="3" spans="1:22" ht="14.25">
      <c r="A3" s="3536" t="s">
        <v>298</v>
      </c>
      <c r="B3" s="3537"/>
      <c r="C3" s="3537"/>
      <c r="D3" s="3537"/>
      <c r="E3" s="3537"/>
      <c r="F3" s="3537"/>
      <c r="G3" s="3537"/>
      <c r="H3" s="3537"/>
      <c r="I3" s="3537"/>
      <c r="J3" s="2025"/>
      <c r="K3" s="2024"/>
      <c r="L3" s="2024"/>
      <c r="M3" s="2024"/>
      <c r="N3" s="2024"/>
      <c r="O3" s="2024"/>
      <c r="P3" s="2024"/>
      <c r="Q3" s="2024"/>
      <c r="R3" s="2024"/>
      <c r="S3" s="2024"/>
      <c r="T3" s="2024"/>
      <c r="U3" s="2024"/>
      <c r="V3" s="2024"/>
    </row>
    <row r="4" spans="1:22" ht="14.25">
      <c r="A4" s="258" t="s">
        <v>299</v>
      </c>
      <c r="B4" s="259" t="s">
        <v>300</v>
      </c>
      <c r="C4" s="260" t="s">
        <v>3129</v>
      </c>
      <c r="D4" s="260" t="s">
        <v>3130</v>
      </c>
      <c r="E4" s="3500" t="s">
        <v>301</v>
      </c>
      <c r="F4" s="3542"/>
      <c r="G4" s="3542"/>
      <c r="H4" s="3542"/>
      <c r="I4" s="350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529" t="s">
        <v>302</v>
      </c>
      <c r="B5" s="3530">
        <v>25</v>
      </c>
      <c r="C5" s="3538"/>
      <c r="D5" s="3541"/>
      <c r="E5" s="261" t="s">
        <v>303</v>
      </c>
      <c r="F5" s="262"/>
      <c r="G5" s="262"/>
      <c r="H5" s="262"/>
      <c r="I5" s="263"/>
      <c r="J5" s="2025"/>
      <c r="K5" s="2024"/>
      <c r="L5" s="2024"/>
      <c r="M5" s="2024"/>
      <c r="N5" s="2024"/>
      <c r="O5" s="2024"/>
      <c r="P5" s="2024"/>
      <c r="Q5" s="2024"/>
      <c r="R5" s="2024"/>
      <c r="S5" s="2024"/>
      <c r="T5" s="2024"/>
      <c r="U5" s="2024"/>
      <c r="V5" s="2024"/>
    </row>
    <row r="6" spans="1:22" ht="14.25">
      <c r="A6" s="3529"/>
      <c r="B6" s="3530"/>
      <c r="C6" s="3539"/>
      <c r="D6" s="3541"/>
      <c r="E6" s="261" t="s">
        <v>304</v>
      </c>
      <c r="F6" s="262"/>
      <c r="G6" s="262"/>
      <c r="H6" s="262"/>
      <c r="I6" s="263"/>
      <c r="J6" s="2025"/>
      <c r="K6" s="2024"/>
      <c r="L6" s="2024"/>
      <c r="M6" s="2024"/>
      <c r="N6" s="2024"/>
      <c r="O6" s="2024"/>
      <c r="P6" s="2024"/>
      <c r="Q6" s="2024"/>
      <c r="R6" s="2024"/>
      <c r="S6" s="2024"/>
      <c r="T6" s="2024"/>
      <c r="U6" s="2024"/>
      <c r="V6" s="2024"/>
    </row>
    <row r="7" spans="1:22" ht="14.25">
      <c r="A7" s="3529"/>
      <c r="B7" s="3530"/>
      <c r="C7" s="3540"/>
      <c r="D7" s="3541"/>
      <c r="E7" s="261" t="s">
        <v>305</v>
      </c>
      <c r="F7" s="262"/>
      <c r="G7" s="262"/>
      <c r="H7" s="262"/>
      <c r="I7" s="263"/>
      <c r="J7" s="2025"/>
      <c r="K7" s="2024"/>
      <c r="L7" s="2024"/>
      <c r="M7" s="2024"/>
      <c r="N7" s="2024"/>
      <c r="O7" s="2024"/>
      <c r="P7" s="2024"/>
      <c r="Q7" s="2024"/>
      <c r="R7" s="2024"/>
      <c r="S7" s="2024"/>
      <c r="T7" s="2024"/>
      <c r="U7" s="2024"/>
      <c r="V7" s="2024"/>
    </row>
    <row r="8" spans="1:22" ht="14.25">
      <c r="A8" s="3529" t="s">
        <v>306</v>
      </c>
      <c r="B8" s="3530">
        <v>15</v>
      </c>
      <c r="C8" s="3538"/>
      <c r="D8" s="3541"/>
      <c r="E8" s="261" t="s">
        <v>307</v>
      </c>
      <c r="F8" s="262"/>
      <c r="G8" s="262"/>
      <c r="H8" s="262"/>
      <c r="I8" s="263"/>
      <c r="J8" s="2025"/>
      <c r="K8" s="2024"/>
      <c r="L8" s="2024"/>
      <c r="M8" s="2024"/>
      <c r="N8" s="2024"/>
      <c r="O8" s="2024"/>
      <c r="P8" s="2024"/>
      <c r="Q8" s="2024"/>
      <c r="R8" s="2024"/>
      <c r="S8" s="2024"/>
      <c r="T8" s="2024"/>
      <c r="U8" s="2024"/>
      <c r="V8" s="2024"/>
    </row>
    <row r="9" spans="1:22" ht="14.25">
      <c r="A9" s="3529"/>
      <c r="B9" s="3530"/>
      <c r="C9" s="3540"/>
      <c r="D9" s="3541"/>
      <c r="E9" s="261" t="s">
        <v>308</v>
      </c>
      <c r="F9" s="262"/>
      <c r="G9" s="262"/>
      <c r="H9" s="262"/>
      <c r="I9" s="263"/>
      <c r="J9" s="2025"/>
      <c r="K9" s="2024"/>
      <c r="L9" s="2024"/>
      <c r="M9" s="2024"/>
      <c r="N9" s="2024"/>
      <c r="O9" s="2024"/>
      <c r="P9" s="2024"/>
      <c r="Q9" s="2024"/>
      <c r="R9" s="2024"/>
      <c r="S9" s="2024"/>
      <c r="T9" s="2024"/>
      <c r="U9" s="2024"/>
      <c r="V9" s="2024"/>
    </row>
    <row r="10" spans="1:22" ht="14.25">
      <c r="A10" s="3529" t="s">
        <v>309</v>
      </c>
      <c r="B10" s="3530">
        <v>15</v>
      </c>
      <c r="C10" s="3538"/>
      <c r="D10" s="3541"/>
      <c r="E10" s="261" t="s">
        <v>310</v>
      </c>
      <c r="F10" s="262"/>
      <c r="G10" s="262"/>
      <c r="H10" s="262"/>
      <c r="I10" s="263"/>
      <c r="J10" s="2025"/>
      <c r="K10" s="2024"/>
      <c r="L10" s="2024"/>
      <c r="M10" s="2024"/>
      <c r="N10" s="2024"/>
      <c r="O10" s="2024"/>
      <c r="P10" s="2024"/>
      <c r="Q10" s="2024"/>
      <c r="R10" s="2024"/>
      <c r="S10" s="2024"/>
      <c r="T10" s="2024"/>
      <c r="U10" s="2024"/>
      <c r="V10" s="2024"/>
    </row>
    <row r="11" spans="1:22" ht="14.25">
      <c r="A11" s="3529"/>
      <c r="B11" s="3530"/>
      <c r="C11" s="3540"/>
      <c r="D11" s="3541"/>
      <c r="E11" s="261" t="s">
        <v>311</v>
      </c>
      <c r="F11" s="262"/>
      <c r="G11" s="262"/>
      <c r="H11" s="262"/>
      <c r="I11" s="263"/>
      <c r="J11" s="2025"/>
      <c r="K11" s="2024"/>
      <c r="L11" s="2024"/>
      <c r="M11" s="2024"/>
      <c r="N11" s="2024"/>
      <c r="O11" s="2024"/>
      <c r="P11" s="2024"/>
      <c r="Q11" s="2024"/>
      <c r="R11" s="2024"/>
      <c r="S11" s="2024"/>
      <c r="T11" s="2024"/>
      <c r="U11" s="2024"/>
      <c r="V11" s="2024"/>
    </row>
    <row r="12" spans="1:22" ht="14.25">
      <c r="A12" s="3529" t="s">
        <v>312</v>
      </c>
      <c r="B12" s="3530">
        <v>15</v>
      </c>
      <c r="C12" s="3538"/>
      <c r="D12" s="3541"/>
      <c r="E12" s="261" t="s">
        <v>313</v>
      </c>
      <c r="F12" s="262"/>
      <c r="G12" s="262"/>
      <c r="H12" s="262"/>
      <c r="I12" s="263"/>
      <c r="J12" s="2025"/>
      <c r="K12" s="2024"/>
      <c r="L12" s="2024"/>
      <c r="M12" s="2024"/>
      <c r="N12" s="2024"/>
      <c r="O12" s="2024"/>
      <c r="P12" s="2024"/>
      <c r="Q12" s="2024"/>
      <c r="R12" s="2024"/>
      <c r="S12" s="2024"/>
      <c r="T12" s="2024"/>
      <c r="U12" s="2024"/>
      <c r="V12" s="2024"/>
    </row>
    <row r="13" spans="1:22" ht="14.25">
      <c r="A13" s="3529"/>
      <c r="B13" s="3530"/>
      <c r="C13" s="3540"/>
      <c r="D13" s="3541"/>
      <c r="E13" s="261" t="s">
        <v>314</v>
      </c>
      <c r="F13" s="262"/>
      <c r="G13" s="262"/>
      <c r="H13" s="262"/>
      <c r="I13" s="263"/>
      <c r="J13" s="2025"/>
      <c r="K13" s="2024"/>
      <c r="L13" s="2024"/>
      <c r="M13" s="2024"/>
      <c r="N13" s="2024"/>
      <c r="O13" s="2024"/>
      <c r="P13" s="2024"/>
      <c r="Q13" s="2024"/>
      <c r="R13" s="2024"/>
      <c r="S13" s="2024"/>
      <c r="T13" s="2024"/>
      <c r="U13" s="2024"/>
      <c r="V13" s="2024"/>
    </row>
    <row r="14" spans="1:22" ht="14.25">
      <c r="A14" s="3529" t="s">
        <v>315</v>
      </c>
      <c r="B14" s="3530">
        <v>30</v>
      </c>
      <c r="C14" s="3538">
        <v>5</v>
      </c>
      <c r="D14" s="3541">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529"/>
      <c r="B15" s="3530"/>
      <c r="C15" s="3539"/>
      <c r="D15" s="3541"/>
      <c r="E15" s="261" t="s">
        <v>317</v>
      </c>
      <c r="F15" s="262"/>
      <c r="G15" s="262"/>
      <c r="H15" s="262"/>
      <c r="I15" s="263"/>
      <c r="J15" s="2025"/>
      <c r="K15" s="2024"/>
      <c r="L15" s="2024"/>
      <c r="M15" s="2024"/>
      <c r="N15" s="2024"/>
      <c r="O15" s="2024"/>
      <c r="P15" s="2024"/>
      <c r="Q15" s="2024"/>
      <c r="R15" s="2024"/>
      <c r="S15" s="2024"/>
      <c r="T15" s="2024"/>
      <c r="U15" s="2024"/>
      <c r="V15" s="2024"/>
    </row>
    <row r="16" spans="1:22" ht="14.25">
      <c r="A16" s="3529"/>
      <c r="B16" s="3530"/>
      <c r="C16" s="3540"/>
      <c r="D16" s="3541"/>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21238</v>
      </c>
      <c r="D19" s="271">
        <f ca="1">SUMIF(INDIRECT("'"&amp;D4&amp;"'"&amp;"!A:A"),结果表!B19,INDIRECT("'"&amp;D4&amp;"'"&amp;"!B:B"))</f>
        <v>23383</v>
      </c>
      <c r="E19" s="268" t="s">
        <v>323</v>
      </c>
      <c r="F19" s="269" t="s">
        <v>322</v>
      </c>
      <c r="G19" s="272">
        <f ca="1">ROUND(C19*$C$18+D19*$D$18,0)</f>
        <v>22311</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4188</v>
      </c>
      <c r="D20" s="277">
        <f ca="1">SUMIF(INDIRECT("'"&amp;D4&amp;"'"&amp;"!A:A"),结果表!B20,INDIRECT("'"&amp;D4&amp;"'"&amp;"!B:B"))</f>
        <v>4611</v>
      </c>
      <c r="E20" s="274"/>
      <c r="F20" s="275" t="s">
        <v>325</v>
      </c>
      <c r="G20" s="278">
        <f ca="1">ROUND(C20*$C$18+D20*$D$18,0)</f>
        <v>4400</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19015</v>
      </c>
      <c r="D21" s="151">
        <f ca="1">SUMIF(INDIRECT("'"&amp;D4&amp;"'"&amp;"!A:A"),结果表!B21,INDIRECT("'"&amp;D4&amp;"'"&amp;"!B:B"))</f>
        <v>20936</v>
      </c>
      <c r="E21" s="274"/>
      <c r="F21" s="280" t="s">
        <v>327</v>
      </c>
      <c r="G21" s="282">
        <f ca="1">ROUND(C21*$C$18+D21*$D$18,0)</f>
        <v>19976</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0.10099821075430837</v>
      </c>
      <c r="E22" s="284"/>
      <c r="F22" s="285"/>
      <c r="G22" s="286">
        <f ca="1">ROUND(G19/('数据-汇总表'!D3/666.67),0)</f>
        <v>1332</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502"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544"/>
      <c r="B25" s="1317" t="s">
        <v>331</v>
      </c>
      <c r="C25" s="290">
        <f>IF(B30=0,0,C30)</f>
        <v>0</v>
      </c>
      <c r="D25" s="291"/>
      <c r="E25" s="311"/>
      <c r="F25" s="311"/>
      <c r="G25" s="311"/>
      <c r="H25" s="311"/>
      <c r="I25" s="311"/>
      <c r="J25" s="2024"/>
      <c r="K25" s="1251" t="str">
        <f ca="1">项目基本情况!B16&amp;"国有建设用地使用权价格："&amp;O38&amp;"万元"</f>
        <v>出让国有建设用地使用权价格：22311万元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大写金额：人民币贰亿贰仟叁佰壹拾壹万元整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0.61183623816831412</v>
      </c>
      <c r="E27" s="311"/>
      <c r="F27" s="311"/>
      <c r="G27" s="311"/>
      <c r="H27" s="311"/>
      <c r="I27" s="311"/>
      <c r="J27" s="2024"/>
      <c r="K27" s="1254" t="str">
        <f ca="1">"单位面积地价："&amp;M38&amp;"元/平方米"</f>
        <v>单位面积地价：19976元/平方米</v>
      </c>
      <c r="L27" s="1248"/>
      <c r="M27" s="1248"/>
      <c r="N27" s="1248"/>
      <c r="O27" s="1247"/>
      <c r="P27" s="2024"/>
      <c r="Q27" s="2024"/>
      <c r="R27" s="2024"/>
      <c r="S27" s="2024"/>
      <c r="T27" s="2024"/>
      <c r="U27" s="2024"/>
      <c r="V27" s="2024"/>
    </row>
    <row r="28" spans="1:26" ht="18.75" customHeight="1">
      <c r="A28" s="293"/>
      <c r="B28" s="294"/>
      <c r="C28" s="294">
        <f>92300-70041</f>
        <v>22259</v>
      </c>
      <c r="D28" s="295"/>
      <c r="E28" s="311"/>
      <c r="F28" s="311"/>
      <c r="G28" s="311"/>
      <c r="H28" s="311"/>
      <c r="I28" s="311"/>
      <c r="J28" s="2024"/>
      <c r="K28" s="1254" t="str">
        <f ca="1">"楼面地价："&amp;N38&amp;"元/平方米"</f>
        <v>楼面地价：4400元/平方米</v>
      </c>
      <c r="L28" s="1248"/>
      <c r="M28" s="1248"/>
      <c r="N28" s="1248"/>
      <c r="O28" s="1247"/>
      <c r="P28" s="2024"/>
      <c r="V28" s="2024"/>
    </row>
    <row r="29" spans="1:26" ht="18">
      <c r="A29" s="293"/>
      <c r="B29" s="294"/>
      <c r="C29" s="294"/>
      <c r="D29" s="295"/>
      <c r="E29" s="311"/>
      <c r="F29" s="311"/>
      <c r="G29" s="311"/>
      <c r="H29" s="311"/>
      <c r="I29" s="311"/>
      <c r="J29" s="2024"/>
      <c r="K29" s="1254" t="str">
        <f ca="1">IF(OR(项目基本情况!E8="抵押价格",项目基本情况!E8="已注销及未注销"),"抵押价格："&amp;O39&amp;"万元","——")</f>
        <v>抵押价格：22311万元</v>
      </c>
      <c r="L29" s="1248"/>
      <c r="M29" s="1248"/>
      <c r="N29" s="1248"/>
      <c r="O29" s="1247"/>
      <c r="P29" s="2024"/>
      <c r="V29" s="2024"/>
    </row>
    <row r="30" spans="1:26" ht="18.75" thickBot="1">
      <c r="A30" s="3100" t="s">
        <v>336</v>
      </c>
      <c r="B30" s="309"/>
      <c r="C30" s="309"/>
      <c r="D30" s="310"/>
      <c r="E30" s="3101" t="s">
        <v>2972</v>
      </c>
      <c r="F30" s="311"/>
      <c r="G30" s="311"/>
      <c r="H30" s="311"/>
      <c r="I30" s="311"/>
      <c r="J30" s="2024"/>
      <c r="K30" s="1254" t="str">
        <f ca="1">IF(K29="——","——","大写金额：人民币"&amp;NUMBERSTRING(INT(O39*10000),2)&amp;"元整")</f>
        <v>大写金额：人民币贰亿贰仟叁佰壹拾壹万元整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22311</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4400</v>
      </c>
      <c r="D33" s="1381" t="s">
        <v>1692</v>
      </c>
      <c r="E33" s="3502"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19976</v>
      </c>
      <c r="D34" s="1383" t="s">
        <v>1692</v>
      </c>
      <c r="E34" s="3503"/>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1332</v>
      </c>
      <c r="D35" s="1386" t="s">
        <v>1694</v>
      </c>
      <c r="E35" s="3504"/>
      <c r="F35" s="301" t="s">
        <v>342</v>
      </c>
      <c r="G35" s="978"/>
      <c r="H35" s="977" t="s">
        <v>343</v>
      </c>
      <c r="I35" s="311"/>
      <c r="J35" s="2024"/>
      <c r="K35" s="3508" t="s">
        <v>350</v>
      </c>
      <c r="L35" s="3508" t="s">
        <v>351</v>
      </c>
      <c r="M35" s="1260" t="s">
        <v>352</v>
      </c>
      <c r="N35" s="3508" t="s">
        <v>353</v>
      </c>
      <c r="O35" s="3508" t="s">
        <v>354</v>
      </c>
      <c r="P35" s="2024"/>
      <c r="V35" s="2024"/>
    </row>
    <row r="36" spans="1:26" ht="16.5" customHeight="1">
      <c r="A36" s="303" t="s">
        <v>344</v>
      </c>
      <c r="B36" s="304" t="s">
        <v>333</v>
      </c>
      <c r="C36" s="305" t="s">
        <v>345</v>
      </c>
      <c r="D36" s="305" t="s">
        <v>346</v>
      </c>
      <c r="E36" s="306" t="s">
        <v>347</v>
      </c>
      <c r="F36" s="311"/>
      <c r="G36" s="311"/>
      <c r="H36" s="311"/>
      <c r="I36" s="311"/>
      <c r="J36" s="2026"/>
      <c r="K36" s="3509"/>
      <c r="L36" s="3509"/>
      <c r="M36" s="1262" t="s">
        <v>355</v>
      </c>
      <c r="N36" s="3509"/>
      <c r="O36" s="3509"/>
      <c r="P36" s="2024"/>
      <c r="V36" s="2024"/>
    </row>
    <row r="37" spans="1:26" ht="16.5" customHeight="1" thickBot="1">
      <c r="A37" s="1256" t="s">
        <v>348</v>
      </c>
      <c r="B37" s="307"/>
      <c r="C37" s="294"/>
      <c r="D37" s="294"/>
      <c r="E37" s="295"/>
      <c r="F37" s="311"/>
      <c r="G37" s="311"/>
      <c r="H37" s="311"/>
      <c r="I37" s="311"/>
      <c r="J37" s="2026"/>
      <c r="K37" s="3510"/>
      <c r="L37" s="3510"/>
      <c r="M37" s="1263"/>
      <c r="N37" s="3510"/>
      <c r="O37" s="3510"/>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19976</v>
      </c>
      <c r="N38" s="1265">
        <f ca="1">C33</f>
        <v>4400</v>
      </c>
      <c r="O38" s="1266">
        <f ca="1">C32</f>
        <v>22311</v>
      </c>
      <c r="P38" s="2024"/>
      <c r="V38" s="2024"/>
    </row>
    <row r="39" spans="1:26" ht="16.5" customHeight="1" thickBot="1">
      <c r="A39" s="1261"/>
      <c r="B39" s="308"/>
      <c r="C39" s="309"/>
      <c r="D39" s="309"/>
      <c r="E39" s="310"/>
      <c r="F39" s="311"/>
      <c r="G39" s="311"/>
      <c r="H39" s="311"/>
      <c r="I39" s="311"/>
      <c r="J39" s="2026"/>
      <c r="K39" s="3485" t="str">
        <f>MID(A44,3,LEN(A44)-2)</f>
        <v>抵押价格</v>
      </c>
      <c r="L39" s="3486"/>
      <c r="M39" s="3486"/>
      <c r="N39" s="3487"/>
      <c r="O39" s="1388">
        <f ca="1">C44</f>
        <v>22311</v>
      </c>
      <c r="P39" s="2024"/>
      <c r="V39" s="2024"/>
    </row>
    <row r="40" spans="1:26" ht="19.5" thickBot="1">
      <c r="A40" s="104" t="s">
        <v>873</v>
      </c>
      <c r="B40" s="311"/>
      <c r="C40" s="311"/>
      <c r="D40" s="311"/>
      <c r="E40" s="311"/>
      <c r="F40" s="311"/>
      <c r="G40" s="311"/>
      <c r="H40" s="311"/>
      <c r="I40" s="311"/>
      <c r="J40" s="2026"/>
      <c r="K40" s="3485" t="str">
        <f t="shared" ref="K40:K41" si="0">MID(A45,3,LEN(A45)-2)</f>
        <v/>
      </c>
      <c r="L40" s="3486"/>
      <c r="M40" s="3486"/>
      <c r="N40" s="3487"/>
      <c r="O40" s="1388" t="str">
        <f>C45</f>
        <v>——</v>
      </c>
      <c r="P40" s="2024"/>
      <c r="V40" s="2024"/>
    </row>
    <row r="41" spans="1:26" ht="16.5" thickBot="1">
      <c r="A41" s="312" t="s">
        <v>356</v>
      </c>
      <c r="B41" s="313"/>
      <c r="C41" s="314" t="s">
        <v>357</v>
      </c>
      <c r="D41" s="315" t="s">
        <v>358</v>
      </c>
      <c r="E41" s="315" t="s">
        <v>359</v>
      </c>
      <c r="F41" s="316" t="s">
        <v>360</v>
      </c>
      <c r="G41" s="311"/>
      <c r="H41" s="311"/>
      <c r="I41" s="311"/>
      <c r="J41" s="2026"/>
      <c r="K41" s="3485" t="str">
        <f t="shared" si="0"/>
        <v/>
      </c>
      <c r="L41" s="3486"/>
      <c r="M41" s="3486"/>
      <c r="N41" s="3487"/>
      <c r="O41" s="1388" t="str">
        <f>C46</f>
        <v>——</v>
      </c>
      <c r="P41" s="2024"/>
      <c r="V41" s="2024"/>
    </row>
    <row r="42" spans="1:26" ht="29.25">
      <c r="A42" s="3545" t="s">
        <v>2068</v>
      </c>
      <c r="B42" s="3546"/>
      <c r="C42" s="264">
        <f ca="1">C32</f>
        <v>22311</v>
      </c>
      <c r="D42" s="317">
        <f ca="1">C33</f>
        <v>4400</v>
      </c>
      <c r="E42" s="317">
        <f ca="1">C34</f>
        <v>19976</v>
      </c>
      <c r="F42" s="318">
        <f ca="1">C35</f>
        <v>1332</v>
      </c>
      <c r="G42" s="311"/>
      <c r="H42" s="311"/>
      <c r="I42" s="319"/>
      <c r="J42" s="2026"/>
      <c r="K42" s="1267" t="s">
        <v>361</v>
      </c>
      <c r="L42" s="2043" t="s">
        <v>362</v>
      </c>
      <c r="M42" s="1268" t="s">
        <v>363</v>
      </c>
      <c r="N42" s="2044" t="s">
        <v>364</v>
      </c>
      <c r="O42" s="2045" t="s">
        <v>365</v>
      </c>
      <c r="P42" s="2024"/>
      <c r="V42" s="2024"/>
    </row>
    <row r="43" spans="1:26" ht="30">
      <c r="A43" s="3555" t="s">
        <v>2730</v>
      </c>
      <c r="B43" s="3556"/>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21238</v>
      </c>
      <c r="M43" s="1271">
        <f>C18</f>
        <v>0.5</v>
      </c>
      <c r="N43" s="1272">
        <f ca="1">IF(N42="测算结果/万元",G19,G20)</f>
        <v>22311</v>
      </c>
      <c r="O43" s="1273">
        <f ca="1">IF(O42="最终结果/万元",C32,C33)</f>
        <v>22311</v>
      </c>
      <c r="P43" s="2024"/>
      <c r="V43" s="2024"/>
    </row>
    <row r="44" spans="1:26" ht="30.75" thickBot="1">
      <c r="A44" s="3545" t="str">
        <f>IF(OR(项目基本情况!E8="抵押价格",项目基本情况!E8="已注销及未注销"),"3.抵押价格","——")</f>
        <v>3.抵押价格</v>
      </c>
      <c r="B44" s="3546"/>
      <c r="C44" s="264">
        <f ca="1">IF(A44="——","——",C42-C43)</f>
        <v>22311</v>
      </c>
      <c r="D44" s="317">
        <f ca="1">ROUND(C44*10000/'数据-汇总表'!E3,0)</f>
        <v>4400</v>
      </c>
      <c r="E44" s="317">
        <f ca="1">ROUND(C44*10000/'数据-汇总表'!D3,0)</f>
        <v>19976</v>
      </c>
      <c r="F44" s="318">
        <f ca="1">ROUND(C44/('数据-汇总表'!D3/666.67),0)</f>
        <v>1332</v>
      </c>
      <c r="G44" s="311"/>
      <c r="H44" s="311"/>
      <c r="I44" s="319"/>
      <c r="J44" s="2026"/>
      <c r="K44" s="1274" t="str">
        <f>D4</f>
        <v>剩余法-待开发</v>
      </c>
      <c r="L44" s="1275">
        <f ca="1">IF(L42="估价结果/万元",D19,D20)</f>
        <v>23383</v>
      </c>
      <c r="M44" s="1276">
        <f>D18</f>
        <v>0.5</v>
      </c>
      <c r="N44" s="1277"/>
      <c r="O44" s="1278"/>
      <c r="P44" s="2024"/>
      <c r="V44" s="2024"/>
    </row>
    <row r="45" spans="1:26" ht="15">
      <c r="A45" s="3550" t="str">
        <f>IF(项目基本情况!E8="已注销及未注销","4.抵押担保权已注销时的抵押价格",IF(项目基本情况!E8="已注销","3.抵押担保权已注销时的抵押价格","——"))</f>
        <v>——</v>
      </c>
      <c r="B45" s="3551"/>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547" t="str">
        <f>IF(项目基本情况!E9="抵押净值",IF(A45="——","4.抵押净值","5.抵押净值"),"——")</f>
        <v>——</v>
      </c>
      <c r="B46" s="3548"/>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13" t="s">
        <v>374</v>
      </c>
      <c r="B63" s="3514"/>
      <c r="C63" s="3515"/>
      <c r="D63" s="341">
        <f ca="1">ROUND(C42*F63,0)</f>
        <v>13387</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552" t="s">
        <v>378</v>
      </c>
      <c r="B64" s="3553"/>
      <c r="C64" s="3553"/>
      <c r="D64" s="3553"/>
      <c r="E64" s="3553"/>
      <c r="F64" s="3553"/>
      <c r="G64" s="3554"/>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549" t="s">
        <v>386</v>
      </c>
      <c r="B66" s="3520"/>
      <c r="C66" s="3520"/>
      <c r="D66" s="261">
        <f ca="1">IF(H66="情况1",0,IF(H66="情况2",D70,IF(H66="情况3",D71,IF(H66="情况4",D72))))</f>
        <v>714</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489" t="s">
        <v>385</v>
      </c>
      <c r="M66" s="3490"/>
      <c r="N66" s="2433"/>
      <c r="O66" s="2434"/>
      <c r="P66" s="2435"/>
      <c r="Q66" s="2024"/>
      <c r="R66" s="2024"/>
      <c r="S66" s="2024"/>
      <c r="T66" s="2024"/>
      <c r="U66" s="2024"/>
      <c r="V66" s="2024"/>
    </row>
    <row r="67" spans="1:22" ht="25.5" customHeight="1">
      <c r="A67" s="352" t="s">
        <v>390</v>
      </c>
      <c r="B67" s="3532" t="s">
        <v>391</v>
      </c>
      <c r="C67" s="3532"/>
      <c r="D67" s="353">
        <v>0</v>
      </c>
      <c r="E67" s="41" t="s">
        <v>392</v>
      </c>
      <c r="F67" s="62" t="s">
        <v>21</v>
      </c>
      <c r="G67" s="3516"/>
      <c r="H67" s="311"/>
      <c r="I67" s="1288"/>
      <c r="J67" s="2031"/>
      <c r="K67" s="1972">
        <v>2</v>
      </c>
      <c r="L67" s="3488" t="s">
        <v>389</v>
      </c>
      <c r="M67" s="3488"/>
      <c r="N67" s="1321">
        <f>'数据-取费表'!B2</f>
        <v>43592</v>
      </c>
      <c r="O67" s="1321"/>
      <c r="P67" s="1321"/>
      <c r="Q67" s="2024"/>
      <c r="R67" s="2024"/>
      <c r="S67" s="2024"/>
      <c r="T67" s="2024"/>
      <c r="U67" s="2024"/>
      <c r="V67" s="2024"/>
    </row>
    <row r="68" spans="1:22" ht="25.5" customHeight="1">
      <c r="A68" s="354"/>
      <c r="B68" s="3532" t="s">
        <v>394</v>
      </c>
      <c r="C68" s="3532"/>
      <c r="D68" s="355"/>
      <c r="E68" s="77"/>
      <c r="F68" s="356"/>
      <c r="G68" s="3517"/>
      <c r="H68" s="311"/>
      <c r="I68" s="1288"/>
      <c r="J68" s="2031"/>
      <c r="K68" s="1972">
        <v>3</v>
      </c>
      <c r="L68" s="3488" t="s">
        <v>393</v>
      </c>
      <c r="M68" s="3488"/>
      <c r="N68" s="1289">
        <f ca="1">C42</f>
        <v>22311</v>
      </c>
      <c r="O68" s="1289"/>
      <c r="P68" s="1289"/>
      <c r="Q68" s="2024"/>
      <c r="R68" s="2024"/>
      <c r="S68" s="2024"/>
      <c r="T68" s="2024"/>
      <c r="U68" s="2024"/>
      <c r="V68" s="2024"/>
    </row>
    <row r="69" spans="1:22" ht="12" customHeight="1">
      <c r="A69" s="357"/>
      <c r="B69" s="3532" t="s">
        <v>395</v>
      </c>
      <c r="C69" s="3532"/>
      <c r="D69" s="358"/>
      <c r="E69" s="73"/>
      <c r="F69" s="356"/>
      <c r="G69" s="3518"/>
      <c r="H69" s="311"/>
      <c r="I69" s="1288"/>
      <c r="J69" s="2031"/>
      <c r="K69" s="1290">
        <v>4</v>
      </c>
      <c r="L69" s="3494" t="s">
        <v>2883</v>
      </c>
      <c r="M69" s="3495"/>
      <c r="N69" s="1291">
        <f ca="1">C44</f>
        <v>22311</v>
      </c>
      <c r="O69" s="1291"/>
      <c r="P69" s="1291"/>
      <c r="Q69" s="2024"/>
      <c r="R69" s="2024"/>
      <c r="S69" s="2024"/>
      <c r="T69" s="2024"/>
      <c r="U69" s="2024"/>
      <c r="V69" s="2024"/>
    </row>
    <row r="70" spans="1:22" ht="24" customHeight="1">
      <c r="A70" s="359" t="s">
        <v>396</v>
      </c>
      <c r="B70" s="3532" t="s">
        <v>397</v>
      </c>
      <c r="C70" s="3532"/>
      <c r="D70" s="358">
        <f ca="1">ROUND(D63*'数据-取费表'!B41/(1+'数据-取费表'!C42),0)</f>
        <v>714</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531" t="s">
        <v>405</v>
      </c>
      <c r="C71" s="3543"/>
      <c r="D71" s="358">
        <f ca="1">ROUND(D63*'数据-取费表'!B41/(1+'数据-取费表'!C42),0)</f>
        <v>714</v>
      </c>
      <c r="E71" s="17" t="s">
        <v>398</v>
      </c>
      <c r="F71" s="360">
        <f>'数据-取费表'!B41</f>
        <v>5.6000000000000001E-2</v>
      </c>
      <c r="G71" s="361"/>
      <c r="H71" s="311"/>
      <c r="I71" s="1288"/>
      <c r="J71" s="2031"/>
      <c r="K71" s="3031" t="s">
        <v>399</v>
      </c>
      <c r="L71" s="3496" t="s">
        <v>400</v>
      </c>
      <c r="M71" s="3496"/>
      <c r="N71" s="3031" t="s">
        <v>401</v>
      </c>
      <c r="O71" s="3031" t="s">
        <v>402</v>
      </c>
      <c r="P71" s="3031" t="s">
        <v>403</v>
      </c>
      <c r="Q71" s="2024"/>
      <c r="R71" s="2024"/>
      <c r="S71" s="2024"/>
      <c r="T71" s="2024"/>
      <c r="U71" s="2024"/>
      <c r="V71" s="2024"/>
    </row>
    <row r="72" spans="1:22" ht="12" customHeight="1">
      <c r="A72" s="359" t="s">
        <v>407</v>
      </c>
      <c r="B72" s="3531" t="s">
        <v>408</v>
      </c>
      <c r="C72" s="3543"/>
      <c r="D72" s="358">
        <f ca="1">C86</f>
        <v>602</v>
      </c>
      <c r="E72" s="73" t="s">
        <v>409</v>
      </c>
      <c r="F72" s="360">
        <f>'数据-取费表'!B41</f>
        <v>5.6000000000000001E-2</v>
      </c>
      <c r="G72" s="361"/>
      <c r="H72" s="1294"/>
      <c r="I72" s="1288"/>
      <c r="J72" s="2031"/>
      <c r="K72" s="1972">
        <v>1</v>
      </c>
      <c r="L72" s="3493" t="s">
        <v>406</v>
      </c>
      <c r="M72" s="3493"/>
      <c r="N72" s="1292">
        <f ca="1">D66</f>
        <v>714</v>
      </c>
      <c r="O72" s="1855" t="str">
        <f>E66</f>
        <v>销售额×税（费）率</v>
      </c>
      <c r="P72" s="1293">
        <f>F66</f>
        <v>5.6000000000000001E-2</v>
      </c>
      <c r="Q72" s="2024"/>
      <c r="R72" s="2024"/>
      <c r="S72" s="2024"/>
      <c r="T72" s="2024"/>
      <c r="U72" s="2024"/>
      <c r="V72" s="2024"/>
    </row>
    <row r="73" spans="1:22" ht="24" customHeight="1">
      <c r="A73" s="3519" t="s">
        <v>411</v>
      </c>
      <c r="B73" s="3520"/>
      <c r="C73" s="3520"/>
      <c r="D73" s="362">
        <f>IF(H73="个人住宅",0,ROUND(D63*I73,0))</f>
        <v>0</v>
      </c>
      <c r="E73" s="17" t="s">
        <v>412</v>
      </c>
      <c r="F73" s="360" t="str">
        <f>IF(H73="正常",I73,"免征")</f>
        <v>免征</v>
      </c>
      <c r="G73" s="361"/>
      <c r="H73" s="191" t="s">
        <v>2456</v>
      </c>
      <c r="I73" s="360">
        <f>'数据-取费表'!B49</f>
        <v>5.0000000000000001E-4</v>
      </c>
      <c r="J73" s="2031"/>
      <c r="K73" s="1972">
        <v>2</v>
      </c>
      <c r="L73" s="3493" t="s">
        <v>410</v>
      </c>
      <c r="M73" s="3493"/>
      <c r="N73" s="1292">
        <f t="shared" ref="N73:P74" si="1">D73</f>
        <v>0</v>
      </c>
      <c r="O73" s="1855" t="str">
        <f t="shared" si="1"/>
        <v>销售额×税（费）率</v>
      </c>
      <c r="P73" s="1293" t="str">
        <f t="shared" si="1"/>
        <v>免征</v>
      </c>
      <c r="Q73" s="2024"/>
      <c r="R73" s="2024"/>
      <c r="S73" s="2024"/>
      <c r="T73" s="2024"/>
      <c r="U73" s="2024"/>
      <c r="V73" s="2024"/>
    </row>
    <row r="74" spans="1:22" ht="24.75">
      <c r="A74" s="3519" t="s">
        <v>415</v>
      </c>
      <c r="B74" s="3520"/>
      <c r="C74" s="3520"/>
      <c r="D74" s="362">
        <f ca="1">IF(H74="个人住宅",D75,D76)</f>
        <v>6922</v>
      </c>
      <c r="E74" s="17" t="s">
        <v>416</v>
      </c>
      <c r="F74" s="360" t="str">
        <f>IF(H74="正常",F76,"免征")</f>
        <v>——</v>
      </c>
      <c r="G74" s="979" t="s">
        <v>417</v>
      </c>
      <c r="H74" s="363" t="s">
        <v>413</v>
      </c>
      <c r="I74" s="42"/>
      <c r="J74" s="2031"/>
      <c r="K74" s="1972">
        <v>3</v>
      </c>
      <c r="L74" s="3493" t="s">
        <v>414</v>
      </c>
      <c r="M74" s="3493"/>
      <c r="N74" s="1292">
        <f t="shared" ca="1" si="1"/>
        <v>6922</v>
      </c>
      <c r="O74" s="1855" t="str">
        <f t="shared" si="1"/>
        <v>增值额×税（费）率</v>
      </c>
      <c r="P74" s="1295" t="str">
        <f t="shared" si="1"/>
        <v>——</v>
      </c>
      <c r="Q74" s="2024"/>
      <c r="R74" s="2024"/>
      <c r="S74" s="2024"/>
      <c r="T74" s="2024"/>
      <c r="U74" s="2024"/>
      <c r="V74" s="2024"/>
    </row>
    <row r="75" spans="1:22" ht="24">
      <c r="A75" s="359" t="s">
        <v>418</v>
      </c>
      <c r="B75" s="3500" t="s">
        <v>419</v>
      </c>
      <c r="C75" s="3501"/>
      <c r="D75" s="364">
        <v>0</v>
      </c>
      <c r="E75" s="41" t="s">
        <v>420</v>
      </c>
      <c r="F75" s="365"/>
      <c r="G75" s="361"/>
      <c r="H75" s="42"/>
      <c r="I75" s="42"/>
      <c r="J75" s="2031"/>
      <c r="K75" s="3024">
        <f>IF(H77="非个人房产","",4)</f>
        <v>4</v>
      </c>
      <c r="L75" s="3493" t="str">
        <f>IF(H77="非个人房产","——","个人所得税")</f>
        <v>个人所得税</v>
      </c>
      <c r="M75" s="3493"/>
      <c r="N75" s="1296">
        <f ca="1">D77</f>
        <v>134</v>
      </c>
      <c r="O75" s="1868" t="str">
        <f>E77</f>
        <v>销售额×税（费）率</v>
      </c>
      <c r="P75" s="1297">
        <f>F77</f>
        <v>0.01</v>
      </c>
      <c r="Q75" s="2024"/>
      <c r="R75" s="2024"/>
      <c r="S75" s="2024"/>
      <c r="T75" s="2024"/>
      <c r="U75" s="2024"/>
      <c r="V75" s="2024"/>
    </row>
    <row r="76" spans="1:22" ht="24.75">
      <c r="A76" s="359" t="s">
        <v>396</v>
      </c>
      <c r="B76" s="3500" t="s">
        <v>422</v>
      </c>
      <c r="C76" s="3542"/>
      <c r="D76" s="362">
        <f ca="1">IF(H76="转让取得",C99,C115)</f>
        <v>6922</v>
      </c>
      <c r="E76" s="17" t="s">
        <v>423</v>
      </c>
      <c r="F76" s="53" t="s">
        <v>21</v>
      </c>
      <c r="G76" s="361"/>
      <c r="H76" s="363" t="s">
        <v>424</v>
      </c>
      <c r="I76" s="42"/>
      <c r="J76" s="2031"/>
      <c r="K76" s="3024" t="str">
        <f>IF(项目基本情况!K6="上海银行",IF(K75="",4,K75+1),"")</f>
        <v/>
      </c>
      <c r="L76" s="3481" t="str">
        <f>IF(项目基本情况!K6="上海银行","其他处置费用","")</f>
        <v/>
      </c>
      <c r="M76" s="3482"/>
      <c r="N76" s="1292" t="str">
        <f>IF(项目基本情况!K6="上海银行",N89,"")</f>
        <v/>
      </c>
      <c r="O76" s="3483" t="str">
        <f>IF(项目基本情况!K6="上海银行","包含处置中涉及的律师、诉讼、拍卖、评估等费用","")</f>
        <v/>
      </c>
      <c r="P76" s="3484"/>
      <c r="Q76" s="2024"/>
      <c r="R76" s="2024"/>
      <c r="S76" s="2024"/>
      <c r="T76" s="2024"/>
      <c r="U76" s="2024"/>
      <c r="V76" s="2024"/>
    </row>
    <row r="77" spans="1:22" ht="26.25" thickBot="1">
      <c r="A77" s="3511" t="s">
        <v>426</v>
      </c>
      <c r="B77" s="3512"/>
      <c r="C77" s="3512"/>
      <c r="D77" s="366">
        <f ca="1">IF(H77="非个人房产","——",IF(H77="个人住宅",0,ROUND(D63*I77,0)))</f>
        <v>134</v>
      </c>
      <c r="E77" s="367" t="str">
        <f>IF(H77="非个人房产","——","销售额×税（费）率")</f>
        <v>销售额×税（费）率</v>
      </c>
      <c r="F77" s="368">
        <f>IF(H77="非个人房产","——",IF(H77="个人住宅","免征",I77))</f>
        <v>0.01</v>
      </c>
      <c r="G77" s="980" t="s">
        <v>417</v>
      </c>
      <c r="H77" s="363" t="s">
        <v>2884</v>
      </c>
      <c r="I77" s="369">
        <v>0.01</v>
      </c>
      <c r="J77" s="2031"/>
      <c r="K77" s="3507">
        <f>IF(AND(K75="",K76=""),4,IF(项目基本情况!K6="上海银行",K76+1,K75+1))</f>
        <v>5</v>
      </c>
      <c r="L77" s="3493" t="s">
        <v>2885</v>
      </c>
      <c r="M77" s="3030" t="s">
        <v>421</v>
      </c>
      <c r="N77" s="1298"/>
      <c r="O77" s="1299">
        <f ca="1">SUMIF(N72:N76,"&lt;9e307")</f>
        <v>7770</v>
      </c>
      <c r="P77" s="1300"/>
      <c r="Q77" s="3028">
        <f ca="1">O77/N69</f>
        <v>0.34825870646766172</v>
      </c>
      <c r="R77" s="2024"/>
      <c r="S77" s="2024"/>
      <c r="T77" s="2024"/>
      <c r="U77" s="2024"/>
      <c r="V77" s="2024"/>
    </row>
    <row r="78" spans="1:22" ht="12" customHeight="1">
      <c r="A78" s="1301"/>
      <c r="B78" s="311"/>
      <c r="C78" s="311"/>
      <c r="D78" s="311"/>
      <c r="E78" s="42"/>
      <c r="F78" s="42"/>
      <c r="G78" s="42"/>
      <c r="H78" s="999"/>
      <c r="I78" s="311"/>
      <c r="J78" s="2031"/>
      <c r="K78" s="3507"/>
      <c r="L78" s="3493"/>
      <c r="M78" s="3030" t="s">
        <v>425</v>
      </c>
      <c r="N78" s="1298"/>
      <c r="O78" s="1299" t="str">
        <f ca="1">NUMBERSTRING(INT(O77*10000),2)&amp;"元整"</f>
        <v>柒仟柒佰柒拾万元整</v>
      </c>
      <c r="P78" s="1300"/>
      <c r="Q78" s="2024"/>
      <c r="R78" s="2024"/>
      <c r="S78" s="2024"/>
      <c r="T78" s="2024"/>
      <c r="U78" s="2024"/>
      <c r="V78" s="2024"/>
    </row>
    <row r="79" spans="1:22" ht="13.5" thickBot="1">
      <c r="A79" s="3497" t="s">
        <v>427</v>
      </c>
      <c r="B79" s="3497"/>
      <c r="C79" s="3497"/>
      <c r="D79" s="3497"/>
      <c r="E79" s="3497"/>
      <c r="F79" s="42"/>
      <c r="G79" s="42"/>
      <c r="H79" s="999"/>
      <c r="I79" s="311"/>
      <c r="J79" s="2031"/>
      <c r="K79" s="3491">
        <f>K77+1</f>
        <v>6</v>
      </c>
      <c r="L79" s="3493" t="s">
        <v>2886</v>
      </c>
      <c r="M79" s="3030" t="s">
        <v>421</v>
      </c>
      <c r="N79" s="1298"/>
      <c r="O79" s="1299">
        <f ca="1">N69-O77</f>
        <v>14541</v>
      </c>
      <c r="P79" s="1300"/>
      <c r="Q79" s="2024"/>
      <c r="R79" s="2024"/>
      <c r="S79" s="2024"/>
      <c r="T79" s="2024"/>
      <c r="U79" s="2024"/>
      <c r="V79" s="2024"/>
    </row>
    <row r="80" spans="1:22" ht="25.5">
      <c r="A80" s="3498" t="s">
        <v>428</v>
      </c>
      <c r="B80" s="3499"/>
      <c r="C80" s="990"/>
      <c r="D80" s="990" t="s">
        <v>429</v>
      </c>
      <c r="E80" s="370" t="s">
        <v>430</v>
      </c>
      <c r="F80" s="42"/>
      <c r="G80" s="42"/>
      <c r="H80" s="999"/>
      <c r="I80" s="311"/>
      <c r="J80" s="2024"/>
      <c r="K80" s="3492"/>
      <c r="L80" s="3493"/>
      <c r="M80" s="3030" t="s">
        <v>425</v>
      </c>
      <c r="N80" s="1298"/>
      <c r="O80" s="1299" t="str">
        <f ca="1">NUMBERSTRING(INT(O79*10000),2)&amp;"元整"</f>
        <v>壹亿肆仟伍佰肆拾壹万元整</v>
      </c>
      <c r="P80" s="1300"/>
      <c r="Q80" s="2024"/>
      <c r="R80" s="2024"/>
      <c r="S80" s="2024"/>
      <c r="T80" s="2024"/>
      <c r="U80" s="2024"/>
      <c r="V80" s="2024"/>
    </row>
    <row r="81" spans="1:26" ht="13.5" thickBot="1">
      <c r="A81" s="381" t="s">
        <v>1824</v>
      </c>
      <c r="B81" s="371" t="s">
        <v>431</v>
      </c>
      <c r="C81" s="372">
        <f ca="1">ROUND((C82+C83)/(1+'数据-取费表'!C42),0)</f>
        <v>12750</v>
      </c>
      <c r="D81" s="373"/>
      <c r="E81" s="374"/>
      <c r="F81" s="42"/>
      <c r="G81" s="42"/>
      <c r="H81" s="999"/>
      <c r="I81" s="311"/>
      <c r="J81" s="2024"/>
      <c r="K81" s="3024">
        <f>K79+1</f>
        <v>7</v>
      </c>
      <c r="L81" s="3505" t="s">
        <v>2887</v>
      </c>
      <c r="M81" s="3506"/>
      <c r="N81" s="1302"/>
      <c r="O81" s="1303">
        <f ca="1">ROUND(O79*10000/'数据-汇总表'!E3,0)</f>
        <v>2868</v>
      </c>
      <c r="P81" s="1304"/>
      <c r="Q81" s="2024"/>
      <c r="R81" s="2024"/>
      <c r="S81" s="2024"/>
      <c r="T81" s="2024"/>
      <c r="U81" s="2024"/>
      <c r="V81" s="2024"/>
    </row>
    <row r="82" spans="1:26" ht="13.5" thickTop="1">
      <c r="A82" s="375" t="s">
        <v>1825</v>
      </c>
      <c r="B82" s="376" t="s">
        <v>432</v>
      </c>
      <c r="C82" s="377">
        <f ca="1">D63</f>
        <v>13387</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480" t="s">
        <v>2874</v>
      </c>
      <c r="L83" s="3036" t="s">
        <v>2875</v>
      </c>
      <c r="M83" s="3026">
        <f ca="1">IF(N69&gt;10000,N69*0.5%,IF(AND(N69&gt;1000,N69&lt;=10000),N69*1%,IF(AND(N69&gt;100,N69&lt;=1000),N69*3%,IF(AND(N69&gt;10,N69&lt;=100),N69*5%,N69*8%))))</f>
        <v>111.55500000000001</v>
      </c>
      <c r="N83" s="53">
        <f ca="1">ROUND(M83,1)</f>
        <v>111.6</v>
      </c>
      <c r="O83" s="3029"/>
      <c r="P83" s="2024"/>
      <c r="Q83" s="2024"/>
      <c r="R83" s="2024"/>
      <c r="S83" s="2024"/>
      <c r="T83" s="2024"/>
      <c r="U83" s="2024"/>
      <c r="V83" s="2024"/>
    </row>
    <row r="84" spans="1:26" ht="12.75">
      <c r="A84" s="381" t="s">
        <v>1827</v>
      </c>
      <c r="B84" s="382" t="s">
        <v>434</v>
      </c>
      <c r="C84" s="383">
        <v>2000</v>
      </c>
      <c r="D84" s="384" t="s">
        <v>19</v>
      </c>
      <c r="E84" s="3071" t="s">
        <v>2944</v>
      </c>
      <c r="F84" s="42"/>
      <c r="G84" s="42"/>
      <c r="H84" s="999"/>
      <c r="I84" s="311"/>
      <c r="J84" s="2024"/>
      <c r="K84" s="3480"/>
      <c r="L84" s="3036" t="s">
        <v>2876</v>
      </c>
      <c r="M84" s="3026">
        <f ca="1">IF(N69&gt;2000,N69*0.5%,IF(AND(N69&gt;1000,N69&lt;=2000),N69*0.6%,IF(AND(N69&gt;500,N69&lt;=1000),N69*0.7%,IF(AND(N69&gt;200,N69&lt;=500),N69*0.8%,IF(AND(N69&gt;100,N69&lt;=200),N69*0.9%,IF(AND(N69&gt;50,N69&lt;=100),N69*1%,IF(AND(N69&gt;20,N69&lt;=50),N69*1.5%,IF(AND(N69&gt;10,N69&lt;=20),N69*2%,IF(AND(N69&gt;1,N69&lt;=10),N69*2.5%)))))))))</f>
        <v>111.55500000000001</v>
      </c>
      <c r="N84" s="53">
        <f t="shared" ref="N84:N85" ca="1" si="2">ROUND(M84,1)</f>
        <v>111.6</v>
      </c>
      <c r="O84" s="2024" t="s">
        <v>2877</v>
      </c>
      <c r="P84" s="2024"/>
      <c r="Q84" s="2024"/>
      <c r="R84" s="2024"/>
      <c r="S84" s="2024"/>
      <c r="T84" s="2024"/>
      <c r="U84" s="2024"/>
      <c r="V84" s="2024"/>
    </row>
    <row r="85" spans="1:26" ht="12.75">
      <c r="A85" s="381" t="s">
        <v>1828</v>
      </c>
      <c r="B85" s="382" t="s">
        <v>435</v>
      </c>
      <c r="C85" s="385">
        <f ca="1">C81-C84</f>
        <v>10750</v>
      </c>
      <c r="D85" s="378" t="s">
        <v>19</v>
      </c>
      <c r="E85" s="379"/>
      <c r="F85" s="42"/>
      <c r="G85" s="42"/>
      <c r="H85" s="999"/>
      <c r="I85" s="311"/>
      <c r="J85" s="2024"/>
      <c r="K85" s="3480"/>
      <c r="L85" s="3036" t="s">
        <v>2878</v>
      </c>
      <c r="M85" s="3026">
        <f ca="1">IF(N69&gt;1000,N69*0.1%,IF(AND(N69&gt;500,N69&lt;=1000),N69*0.5%,IF(AND(N69&gt;50,N69&lt;=500),N69*1%,IF(AND(N69&gt;1,N69&lt;=50),N69*1.5%))))</f>
        <v>22.311</v>
      </c>
      <c r="N85" s="53">
        <f t="shared" ca="1" si="2"/>
        <v>22.3</v>
      </c>
      <c r="O85" s="2024" t="s">
        <v>2877</v>
      </c>
      <c r="P85" s="2024"/>
      <c r="Q85" s="2024"/>
      <c r="R85" s="2024"/>
      <c r="S85" s="2024"/>
      <c r="T85" s="2024"/>
      <c r="U85" s="2024"/>
      <c r="V85" s="2024"/>
    </row>
    <row r="86" spans="1:26" ht="13.5" thickBot="1">
      <c r="A86" s="386" t="s">
        <v>1829</v>
      </c>
      <c r="B86" s="387" t="s">
        <v>436</v>
      </c>
      <c r="C86" s="388">
        <f ca="1">IF(C85&lt;=0,0,ROUND(C85*D86,0))</f>
        <v>602</v>
      </c>
      <c r="D86" s="389">
        <f>'数据-取费表'!B41</f>
        <v>5.6000000000000001E-2</v>
      </c>
      <c r="E86" s="390"/>
      <c r="F86" s="42"/>
      <c r="G86" s="42"/>
      <c r="H86" s="999"/>
      <c r="I86" s="311"/>
      <c r="J86" s="2024"/>
      <c r="K86" s="3480"/>
      <c r="L86" s="3036" t="s">
        <v>2879</v>
      </c>
      <c r="M86" s="3026">
        <f ca="1">N69*0.5%</f>
        <v>111.55500000000001</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480"/>
      <c r="L87" s="3036" t="s">
        <v>2881</v>
      </c>
      <c r="M87" s="3026">
        <f ca="1">IF(N69&gt;=10000,(8.25+(N69-10000)*0.01%),IF(AND(N69&gt;=8000,N69&lt;10000),(7.85+(N69-8000)*0.02%),IF(AND(N69&gt;=5000,N69&lt;8000),(6.65+(N69-5000)*0.04%),IF(AND(N69&gt;=2000,N69&lt;5000),(4.25+(PN69-2000)*0.08%),IF(AND(N69&gt;=1000,N69&lt;2000),(2.75+(N69-1000)*0.15%),IF(AND(N69&gt;=100,N69&lt;1000),(0.5+(N69-100)*0.25%),IF(AND(N69&gt;0,N69&lt;100),N69*0.5%)))))))</f>
        <v>9.4810999999999996</v>
      </c>
      <c r="N87" s="53">
        <f ca="1">ROUND(M87*0.9,1)</f>
        <v>8.5</v>
      </c>
      <c r="O87" s="3029"/>
      <c r="P87" s="311"/>
      <c r="Q87" s="2024"/>
      <c r="R87" s="2024"/>
      <c r="S87" s="2024"/>
      <c r="T87" s="2024"/>
      <c r="U87" s="2024"/>
      <c r="V87" s="2024"/>
      <c r="W87" s="292"/>
      <c r="X87" s="292"/>
      <c r="Y87" s="292"/>
      <c r="Z87" s="292"/>
    </row>
    <row r="88" spans="1:26" s="1310" customFormat="1" ht="15" thickBot="1">
      <c r="A88" s="3534" t="s">
        <v>437</v>
      </c>
      <c r="B88" s="3535"/>
      <c r="C88" s="3535"/>
      <c r="D88" s="3535"/>
      <c r="E88" s="3535"/>
      <c r="F88" s="3535"/>
      <c r="G88" s="3535"/>
      <c r="H88" s="3535"/>
      <c r="I88" s="1311"/>
      <c r="J88" s="2032"/>
      <c r="K88" s="3480"/>
      <c r="L88" s="3036" t="s">
        <v>2882</v>
      </c>
      <c r="M88" s="3026">
        <f ca="1">IF(N69&gt;10000,N69*0.5%,IF(AND(N69&gt;5000,N69&lt;=10000),N69*1%,IF(AND(N69&gt;1000,N69&lt;=5000),N69*2%,IF(AND(N69&gt;200,N69&lt;=1000),N69*3%,N69*5%))))</f>
        <v>111.55500000000001</v>
      </c>
      <c r="N88" s="53">
        <f ca="1">ROUND(M88,1)</f>
        <v>111.6</v>
      </c>
      <c r="O88" s="3029"/>
      <c r="P88" s="11"/>
      <c r="Q88" s="2029"/>
      <c r="R88" s="2029"/>
      <c r="S88" s="2029"/>
      <c r="T88" s="2029"/>
      <c r="U88" s="2029"/>
      <c r="V88" s="2029"/>
      <c r="W88" s="2033"/>
      <c r="X88" s="2033"/>
      <c r="Y88" s="2033"/>
      <c r="Z88" s="2033"/>
    </row>
    <row r="89" spans="1:26" s="1310" customFormat="1" ht="14.25">
      <c r="A89" s="3498" t="s">
        <v>428</v>
      </c>
      <c r="B89" s="3499"/>
      <c r="C89" s="990"/>
      <c r="D89" s="990" t="s">
        <v>429</v>
      </c>
      <c r="E89" s="391" t="s">
        <v>438</v>
      </c>
      <c r="F89" s="392"/>
      <c r="G89" s="392"/>
      <c r="H89" s="393"/>
      <c r="I89" s="1312"/>
      <c r="J89" s="2034"/>
      <c r="K89" s="3480"/>
      <c r="L89" s="3036" t="s">
        <v>27</v>
      </c>
      <c r="M89" s="3027"/>
      <c r="N89" s="53">
        <f ca="1">ROUND(SUM(N83:N88),0)</f>
        <v>366</v>
      </c>
      <c r="O89" s="3037">
        <f ca="1">N89/N69</f>
        <v>1.6404464165658196E-2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12750</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2637</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531" t="s">
        <v>447</v>
      </c>
      <c r="F94" s="3532"/>
      <c r="G94" s="3532"/>
      <c r="H94" s="3533"/>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76</v>
      </c>
      <c r="D96" s="406">
        <f>'数据-取费表'!B43</f>
        <v>6.000000000000001E-3</v>
      </c>
      <c r="E96" s="3521" t="s">
        <v>2429</v>
      </c>
      <c r="F96" s="3522"/>
      <c r="G96" s="3522"/>
      <c r="H96" s="352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10113</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3.8350398179749714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5145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34" t="s">
        <v>454</v>
      </c>
      <c r="B101" s="3535"/>
      <c r="C101" s="3535"/>
      <c r="D101" s="3535"/>
      <c r="E101" s="3535"/>
      <c r="F101" s="3535"/>
      <c r="G101" s="3535"/>
      <c r="H101" s="353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98" t="s">
        <v>428</v>
      </c>
      <c r="B102" s="3499"/>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12750</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766</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24" t="s">
        <v>462</v>
      </c>
      <c r="F109" s="3522"/>
      <c r="G109" s="352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24" t="s">
        <v>464</v>
      </c>
      <c r="F110" s="3522"/>
      <c r="G110" s="3522"/>
      <c r="H110" s="352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76</v>
      </c>
      <c r="D111" s="406">
        <f>'数据-取费表'!B43</f>
        <v>6.000000000000001E-3</v>
      </c>
      <c r="E111" s="3521" t="s">
        <v>2429</v>
      </c>
      <c r="F111" s="3522"/>
      <c r="G111" s="3522"/>
      <c r="H111" s="352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24" t="s">
        <v>2454</v>
      </c>
      <c r="F112" s="3522"/>
      <c r="G112" s="3522"/>
      <c r="H112" s="352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11984</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15.644908616187989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6922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8" zoomScale="70" zoomScaleNormal="95" zoomScaleSheetLayoutView="70" workbookViewId="0">
      <selection activeCell="K34" sqref="K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21238</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4188</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19015</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1268</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79" t="s">
        <v>522</v>
      </c>
      <c r="D6" s="3580"/>
      <c r="E6" s="3579" t="s">
        <v>523</v>
      </c>
      <c r="F6" s="3580"/>
      <c r="G6" s="3579" t="s">
        <v>524</v>
      </c>
      <c r="H6" s="3580"/>
      <c r="I6" s="3579" t="s">
        <v>525</v>
      </c>
      <c r="J6" s="3580"/>
      <c r="K6" s="514" t="s">
        <v>526</v>
      </c>
      <c r="L6" s="2129"/>
      <c r="M6" s="2128"/>
      <c r="N6" s="2128"/>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30" ht="20.25">
      <c r="A7" s="515"/>
      <c r="B7" s="516"/>
      <c r="C7" s="3590" t="s">
        <v>2931</v>
      </c>
      <c r="D7" s="3591"/>
      <c r="E7" s="3590" t="str">
        <f>Sheet1!A2</f>
        <v>观山湖区观山西路北侧、诚信南路西侧</v>
      </c>
      <c r="F7" s="3591"/>
      <c r="G7" s="3590" t="str">
        <f>Sheet1!A3</f>
        <v>观山湖区观山西路北侧、诚信南路西侧</v>
      </c>
      <c r="H7" s="3591"/>
      <c r="I7" s="3590" t="str">
        <f>Sheet1!A17</f>
        <v>白云区云环路西侧、南湖路北侧</v>
      </c>
      <c r="J7" s="3591"/>
      <c r="K7" s="514"/>
      <c r="L7" s="2129"/>
      <c r="M7" s="2128"/>
      <c r="N7" s="2128"/>
      <c r="O7" s="2130"/>
      <c r="P7" s="3583"/>
      <c r="Q7" s="3584"/>
      <c r="R7" s="3569"/>
      <c r="S7" s="3570"/>
      <c r="T7" s="3569"/>
      <c r="U7" s="3570"/>
      <c r="V7" s="3587"/>
      <c r="W7" s="3587"/>
      <c r="X7" s="1563"/>
      <c r="Y7" s="3569"/>
      <c r="Z7" s="3570"/>
      <c r="AA7" s="3563"/>
      <c r="AB7" s="3563"/>
      <c r="AC7" s="3563"/>
    </row>
    <row r="8" spans="1:30" ht="21" thickBot="1">
      <c r="A8" s="515"/>
      <c r="B8" s="516"/>
      <c r="C8" s="3592" t="s">
        <v>2935</v>
      </c>
      <c r="D8" s="3593"/>
      <c r="E8" s="3592" t="s">
        <v>2935</v>
      </c>
      <c r="F8" s="3593"/>
      <c r="G8" s="3588" t="s">
        <v>2935</v>
      </c>
      <c r="H8" s="3589"/>
      <c r="I8" s="3588" t="s">
        <v>2935</v>
      </c>
      <c r="J8" s="3589"/>
      <c r="K8" s="514" t="s">
        <v>528</v>
      </c>
      <c r="L8" s="2129"/>
      <c r="M8" s="2128"/>
      <c r="N8" s="2128"/>
      <c r="O8" s="2130"/>
      <c r="P8" s="3585"/>
      <c r="Q8" s="3586"/>
      <c r="R8" s="3569"/>
      <c r="S8" s="3570"/>
      <c r="T8" s="3571"/>
      <c r="U8" s="3572"/>
      <c r="V8" s="3587"/>
      <c r="W8" s="3587"/>
      <c r="X8" s="1563"/>
      <c r="Y8" s="3571"/>
      <c r="Z8" s="3572"/>
      <c r="AA8" s="3564"/>
      <c r="AB8" s="3564"/>
      <c r="AC8" s="3564"/>
    </row>
    <row r="9" spans="1:30" s="1216" customFormat="1" ht="21" thickBot="1">
      <c r="A9" s="2885"/>
      <c r="B9" s="2892" t="s">
        <v>529</v>
      </c>
      <c r="C9" s="2884">
        <f>'数据-取费表'!B2</f>
        <v>43592</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65" t="s">
        <v>530</v>
      </c>
      <c r="Q9" s="3574"/>
      <c r="R9" s="1564" t="s">
        <v>8</v>
      </c>
      <c r="S9" s="1565">
        <f t="shared" ref="S9:S17" si="0">F9</f>
        <v>97</v>
      </c>
      <c r="T9" s="1564" t="s">
        <v>8</v>
      </c>
      <c r="U9" s="1565">
        <f t="shared" ref="U9:U17" si="1">H9</f>
        <v>97</v>
      </c>
      <c r="V9" s="1564" t="s">
        <v>8</v>
      </c>
      <c r="W9" s="1565">
        <f t="shared" ref="W9:W17" si="2">J9</f>
        <v>96</v>
      </c>
      <c r="X9" s="1566"/>
      <c r="Y9" s="3565" t="s">
        <v>530</v>
      </c>
      <c r="Z9" s="3566"/>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3100</v>
      </c>
      <c r="F10" s="522">
        <f>SUMIF(75:75,E10,76:76)-SUMIF(75:75,C10,76:76)+100</f>
        <v>100</v>
      </c>
      <c r="G10" s="3174" t="s">
        <v>3101</v>
      </c>
      <c r="H10" s="520">
        <f>SUMIF(75:75,G10,76:76)-SUMIF(75:75,C10,76:76)+100</f>
        <v>100</v>
      </c>
      <c r="I10" s="3174" t="s">
        <v>3102</v>
      </c>
      <c r="J10" s="520">
        <f>SUMIF(75:75,I10,76:76)-SUMIF(75:75,C10,76:76)+100</f>
        <v>100</v>
      </c>
      <c r="K10" s="524"/>
      <c r="L10" s="2131"/>
      <c r="M10" s="2128"/>
      <c r="N10" s="2128"/>
      <c r="O10" s="2132"/>
      <c r="P10" s="3565" t="s">
        <v>533</v>
      </c>
      <c r="Q10" s="3566"/>
      <c r="R10" s="1564" t="s">
        <v>8</v>
      </c>
      <c r="S10" s="1565">
        <f t="shared" si="0"/>
        <v>100</v>
      </c>
      <c r="T10" s="1564" t="s">
        <v>8</v>
      </c>
      <c r="U10" s="1565">
        <f t="shared" si="1"/>
        <v>100</v>
      </c>
      <c r="V10" s="1564" t="s">
        <v>8</v>
      </c>
      <c r="W10" s="1565">
        <f t="shared" si="2"/>
        <v>100</v>
      </c>
      <c r="X10" s="1566"/>
      <c r="Y10" s="3565" t="s">
        <v>533</v>
      </c>
      <c r="Z10" s="3566"/>
      <c r="AA10" s="1567">
        <f t="shared" ref="AA10:AA47" si="3">D10/F10</f>
        <v>1</v>
      </c>
      <c r="AB10" s="1567">
        <f t="shared" ref="AB10:AB47" si="4">D10/H10</f>
        <v>1</v>
      </c>
      <c r="AC10" s="1567">
        <f t="shared" ref="AC10:AC47" si="5">D10/J10</f>
        <v>1</v>
      </c>
    </row>
    <row r="11" spans="1:30" s="1216" customFormat="1" ht="20.25">
      <c r="A11" s="2887"/>
      <c r="B11" s="2894" t="s">
        <v>2756</v>
      </c>
      <c r="C11" s="3175" t="s">
        <v>3235</v>
      </c>
      <c r="D11" s="254">
        <v>100</v>
      </c>
      <c r="E11" s="3176" t="s">
        <v>3235</v>
      </c>
      <c r="F11" s="254">
        <f>SUMIF(77:77,E11,78:78)-SUMIF(77:77,C11,78:78)+100</f>
        <v>100</v>
      </c>
      <c r="G11" s="3176" t="s">
        <v>3235</v>
      </c>
      <c r="H11" s="254">
        <f>SUMIF(77:77,G11,78:78)-SUMIF(77:77,C11,78:78)+100</f>
        <v>100</v>
      </c>
      <c r="I11" s="3176" t="s">
        <v>3235</v>
      </c>
      <c r="J11" s="254">
        <f>SUMIF(77:77,I11,78:78)-SUMIF(77:77,C11,78:78)+100</f>
        <v>100</v>
      </c>
      <c r="K11" s="524"/>
      <c r="L11" s="2131"/>
      <c r="M11" s="2128"/>
      <c r="N11" s="2128"/>
      <c r="O11" s="2133"/>
      <c r="P11" s="3573" t="s">
        <v>535</v>
      </c>
      <c r="Q11" s="1147" t="str">
        <f t="shared" ref="Q11:Q17" si="6">B11</f>
        <v>用途</v>
      </c>
      <c r="R11" s="1564" t="s">
        <v>8</v>
      </c>
      <c r="S11" s="1565">
        <f t="shared" si="0"/>
        <v>100</v>
      </c>
      <c r="T11" s="1564" t="s">
        <v>8</v>
      </c>
      <c r="U11" s="1565">
        <f t="shared" si="1"/>
        <v>100</v>
      </c>
      <c r="V11" s="1564" t="s">
        <v>8</v>
      </c>
      <c r="W11" s="1565">
        <f t="shared" si="2"/>
        <v>100</v>
      </c>
      <c r="X11" s="1566"/>
      <c r="Y11" s="3530" t="s">
        <v>536</v>
      </c>
      <c r="Z11" s="1146" t="str">
        <f t="shared" ref="Z11:Z17" si="7">Q11</f>
        <v>用途</v>
      </c>
      <c r="AA11" s="1567">
        <f t="shared" si="3"/>
        <v>1</v>
      </c>
      <c r="AB11" s="1567">
        <f t="shared" si="4"/>
        <v>1</v>
      </c>
      <c r="AC11" s="1567">
        <f t="shared" si="5"/>
        <v>1</v>
      </c>
    </row>
    <row r="12" spans="1:30" s="1334" customFormat="1" ht="27">
      <c r="A12" s="2888"/>
      <c r="B12" s="2893" t="s">
        <v>2757</v>
      </c>
      <c r="C12" s="906">
        <f>项目基本情况!D19</f>
        <v>57.07</v>
      </c>
      <c r="D12" s="255">
        <v>100</v>
      </c>
      <c r="E12" s="529" t="s">
        <v>3103</v>
      </c>
      <c r="F12" s="255">
        <f>ROUND(100/'数据-取费表'!G16,0)</f>
        <v>109</v>
      </c>
      <c r="G12" s="530" t="s">
        <v>3103</v>
      </c>
      <c r="H12" s="255">
        <f>ROUND(100/'数据-取费表'!G16,0)</f>
        <v>109</v>
      </c>
      <c r="I12" s="530" t="s">
        <v>3103</v>
      </c>
      <c r="J12" s="255">
        <f>ROUND(100/'数据-取费表'!G16,0)</f>
        <v>109</v>
      </c>
      <c r="K12" s="531"/>
      <c r="L12" s="2134"/>
      <c r="M12" s="2128"/>
      <c r="N12" s="2128"/>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73"/>
      <c r="Q13" s="1147" t="str">
        <f t="shared" si="6"/>
        <v>容积率</v>
      </c>
      <c r="R13" s="1564" t="s">
        <v>8</v>
      </c>
      <c r="S13" s="1565">
        <f t="shared" si="0"/>
        <v>102</v>
      </c>
      <c r="T13" s="1564" t="s">
        <v>8</v>
      </c>
      <c r="U13" s="1565">
        <f t="shared" si="1"/>
        <v>102</v>
      </c>
      <c r="V13" s="1564" t="s">
        <v>8</v>
      </c>
      <c r="W13" s="1565">
        <f t="shared" si="2"/>
        <v>102</v>
      </c>
      <c r="X13" s="1566"/>
      <c r="Y13" s="3530"/>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73"/>
      <c r="Q14" s="1147" t="str">
        <f t="shared" si="6"/>
        <v>配建</v>
      </c>
      <c r="R14" s="1564" t="s">
        <v>8</v>
      </c>
      <c r="S14" s="1565">
        <f t="shared" si="0"/>
        <v>100</v>
      </c>
      <c r="T14" s="1564" t="s">
        <v>8</v>
      </c>
      <c r="U14" s="1565">
        <f t="shared" si="1"/>
        <v>100</v>
      </c>
      <c r="V14" s="1564" t="s">
        <v>8</v>
      </c>
      <c r="W14" s="1565">
        <f t="shared" si="2"/>
        <v>100</v>
      </c>
      <c r="X14" s="1566"/>
      <c r="Y14" s="3530"/>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75" t="s">
        <v>540</v>
      </c>
      <c r="Q17" s="1568" t="str">
        <f t="shared" si="6"/>
        <v>居住社区成熟度</v>
      </c>
      <c r="R17" s="1569" t="s">
        <v>8</v>
      </c>
      <c r="S17" s="1570">
        <f t="shared" si="0"/>
        <v>100</v>
      </c>
      <c r="T17" s="1569" t="s">
        <v>8</v>
      </c>
      <c r="U17" s="1570">
        <f t="shared" si="1"/>
        <v>100</v>
      </c>
      <c r="V17" s="1569" t="s">
        <v>8</v>
      </c>
      <c r="W17" s="1570">
        <f t="shared" si="2"/>
        <v>100</v>
      </c>
      <c r="X17" s="1563"/>
      <c r="Y17" s="3575" t="s">
        <v>540</v>
      </c>
      <c r="Z17" s="1571" t="str">
        <f t="shared" si="7"/>
        <v>居住社区成熟度</v>
      </c>
      <c r="AA17" s="1572">
        <f t="shared" si="3"/>
        <v>1</v>
      </c>
      <c r="AB17" s="1572">
        <f t="shared" si="4"/>
        <v>1</v>
      </c>
      <c r="AC17" s="1572">
        <f t="shared" si="5"/>
        <v>1</v>
      </c>
    </row>
    <row r="18" spans="1:29" ht="20.25">
      <c r="A18" s="532"/>
      <c r="B18" s="553"/>
      <c r="C18" s="554" t="s">
        <v>3104</v>
      </c>
      <c r="D18" s="557"/>
      <c r="E18" s="3177" t="s">
        <v>3105</v>
      </c>
      <c r="F18" s="555"/>
      <c r="G18" s="3178" t="s">
        <v>3105</v>
      </c>
      <c r="H18" s="559"/>
      <c r="I18" s="3177" t="s">
        <v>3106</v>
      </c>
      <c r="J18" s="555"/>
      <c r="K18" s="531"/>
      <c r="L18" s="2138"/>
      <c r="M18" s="2128"/>
      <c r="N18" s="2128"/>
      <c r="O18" s="2137"/>
      <c r="P18" s="3576"/>
      <c r="Q18" s="1568"/>
      <c r="R18" s="1569"/>
      <c r="S18" s="1570"/>
      <c r="T18" s="1569"/>
      <c r="U18" s="1570"/>
      <c r="V18" s="1569"/>
      <c r="W18" s="1570"/>
      <c r="X18" s="1563"/>
      <c r="Y18" s="3576"/>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76"/>
      <c r="Q19" s="1568" t="str">
        <f>B19</f>
        <v>商业繁华度</v>
      </c>
      <c r="R19" s="1569" t="s">
        <v>8</v>
      </c>
      <c r="S19" s="1570">
        <f>F19</f>
        <v>100</v>
      </c>
      <c r="T19" s="1569" t="s">
        <v>8</v>
      </c>
      <c r="U19" s="1570">
        <f>H19</f>
        <v>100</v>
      </c>
      <c r="V19" s="1569" t="s">
        <v>8</v>
      </c>
      <c r="W19" s="1570">
        <f>J19</f>
        <v>100</v>
      </c>
      <c r="X19" s="1563"/>
      <c r="Y19" s="3576"/>
      <c r="Z19" s="1571" t="str">
        <f>Q19</f>
        <v>商业繁华度</v>
      </c>
      <c r="AA19" s="1572">
        <f t="shared" si="3"/>
        <v>1</v>
      </c>
      <c r="AB19" s="1572">
        <f t="shared" si="4"/>
        <v>1</v>
      </c>
      <c r="AC19" s="1572">
        <f t="shared" si="5"/>
        <v>1</v>
      </c>
    </row>
    <row r="20" spans="1:29" ht="20.25">
      <c r="A20" s="532"/>
      <c r="B20" s="566"/>
      <c r="C20" s="3181" t="s">
        <v>3107</v>
      </c>
      <c r="D20" s="563"/>
      <c r="E20" s="3179" t="s">
        <v>3105</v>
      </c>
      <c r="F20" s="559"/>
      <c r="G20" s="3180" t="s">
        <v>3105</v>
      </c>
      <c r="H20" s="555"/>
      <c r="I20" s="3179" t="s">
        <v>3105</v>
      </c>
      <c r="J20" s="555"/>
      <c r="K20" s="531"/>
      <c r="L20" s="2138"/>
      <c r="M20" s="2128"/>
      <c r="N20" s="2128"/>
      <c r="O20" s="2137"/>
      <c r="P20" s="3576"/>
      <c r="Q20" s="1568"/>
      <c r="R20" s="1569"/>
      <c r="S20" s="1570"/>
      <c r="T20" s="1569"/>
      <c r="U20" s="1570"/>
      <c r="V20" s="1569"/>
      <c r="W20" s="1570"/>
      <c r="X20" s="1563"/>
      <c r="Y20" s="3576"/>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76"/>
      <c r="Q21" s="1568" t="str">
        <f>B21</f>
        <v>办公集聚程度</v>
      </c>
      <c r="R21" s="1569" t="s">
        <v>8</v>
      </c>
      <c r="S21" s="1570">
        <f>F21</f>
        <v>100</v>
      </c>
      <c r="T21" s="1569" t="s">
        <v>8</v>
      </c>
      <c r="U21" s="1570">
        <f>H21</f>
        <v>100</v>
      </c>
      <c r="V21" s="1569" t="s">
        <v>8</v>
      </c>
      <c r="W21" s="1570">
        <f>J21</f>
        <v>100</v>
      </c>
      <c r="X21" s="1563"/>
      <c r="Y21" s="3576"/>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76"/>
      <c r="Q22" s="1568"/>
      <c r="R22" s="1569"/>
      <c r="S22" s="1570"/>
      <c r="T22" s="1569"/>
      <c r="U22" s="1570"/>
      <c r="V22" s="1569"/>
      <c r="W22" s="1570"/>
      <c r="X22" s="1563"/>
      <c r="Y22" s="3576"/>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76"/>
      <c r="Q23" s="1568" t="str">
        <f>B23</f>
        <v>交通便捷度</v>
      </c>
      <c r="R23" s="1569" t="s">
        <v>8</v>
      </c>
      <c r="S23" s="1570">
        <f>F23</f>
        <v>100</v>
      </c>
      <c r="T23" s="1569" t="s">
        <v>8</v>
      </c>
      <c r="U23" s="1570">
        <f>H23</f>
        <v>100</v>
      </c>
      <c r="V23" s="1569" t="s">
        <v>8</v>
      </c>
      <c r="W23" s="1570">
        <f>J23</f>
        <v>100</v>
      </c>
      <c r="X23" s="1563"/>
      <c r="Y23" s="3576"/>
      <c r="Z23" s="1571" t="str">
        <f>Q23</f>
        <v>交通便捷度</v>
      </c>
      <c r="AA23" s="1572">
        <f t="shared" si="3"/>
        <v>1</v>
      </c>
      <c r="AB23" s="1572">
        <f t="shared" si="4"/>
        <v>1</v>
      </c>
      <c r="AC23" s="1572">
        <f t="shared" si="5"/>
        <v>1</v>
      </c>
    </row>
    <row r="24" spans="1:29" ht="20.25">
      <c r="A24" s="532"/>
      <c r="B24" s="578"/>
      <c r="C24" s="3182" t="s">
        <v>3105</v>
      </c>
      <c r="D24" s="557"/>
      <c r="E24" s="3177" t="s">
        <v>3106</v>
      </c>
      <c r="F24" s="555"/>
      <c r="G24" s="3178" t="s">
        <v>3107</v>
      </c>
      <c r="H24" s="555"/>
      <c r="I24" s="3177" t="s">
        <v>3105</v>
      </c>
      <c r="J24" s="555"/>
      <c r="K24" s="531"/>
      <c r="L24" s="2138"/>
      <c r="M24" s="2128"/>
      <c r="N24" s="2128"/>
      <c r="O24" s="2137"/>
      <c r="P24" s="3576"/>
      <c r="Q24" s="1568"/>
      <c r="R24" s="1569"/>
      <c r="S24" s="1570"/>
      <c r="T24" s="1569"/>
      <c r="U24" s="1570"/>
      <c r="V24" s="1569"/>
      <c r="W24" s="1570"/>
      <c r="X24" s="1563"/>
      <c r="Y24" s="3576"/>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76"/>
      <c r="Q25" s="1568" t="str">
        <f t="shared" ref="Q25:Q39" si="8">B25</f>
        <v>区域土地利用方向</v>
      </c>
      <c r="R25" s="1569" t="s">
        <v>8</v>
      </c>
      <c r="S25" s="1570">
        <f>F25</f>
        <v>100</v>
      </c>
      <c r="T25" s="1569" t="s">
        <v>8</v>
      </c>
      <c r="U25" s="1570">
        <f>H25</f>
        <v>100</v>
      </c>
      <c r="V25" s="1569" t="s">
        <v>8</v>
      </c>
      <c r="W25" s="1570">
        <f>J25</f>
        <v>100</v>
      </c>
      <c r="X25" s="1563"/>
      <c r="Y25" s="3576"/>
      <c r="Z25" s="1571" t="str">
        <f>Q25</f>
        <v>区域土地利用方向</v>
      </c>
      <c r="AA25" s="1572">
        <f t="shared" si="3"/>
        <v>1</v>
      </c>
      <c r="AB25" s="1572">
        <f t="shared" si="4"/>
        <v>1</v>
      </c>
      <c r="AC25" s="1572">
        <f t="shared" si="5"/>
        <v>1</v>
      </c>
    </row>
    <row r="26" spans="1:29" ht="20.25">
      <c r="A26" s="515"/>
      <c r="B26" s="1003"/>
      <c r="C26" s="3182" t="s">
        <v>3106</v>
      </c>
      <c r="D26" s="557"/>
      <c r="E26" s="3177" t="s">
        <v>3105</v>
      </c>
      <c r="F26" s="555"/>
      <c r="G26" s="3178" t="s">
        <v>3106</v>
      </c>
      <c r="H26" s="555"/>
      <c r="I26" s="3177" t="s">
        <v>3105</v>
      </c>
      <c r="J26" s="555"/>
      <c r="K26" s="531"/>
      <c r="L26" s="2138"/>
      <c r="M26" s="2128"/>
      <c r="N26" s="2128"/>
      <c r="O26" s="2137"/>
      <c r="P26" s="3576"/>
      <c r="Q26" s="1568"/>
      <c r="R26" s="1569"/>
      <c r="S26" s="1570"/>
      <c r="T26" s="1569"/>
      <c r="U26" s="1570"/>
      <c r="V26" s="1569"/>
      <c r="W26" s="1570"/>
      <c r="X26" s="1563"/>
      <c r="Y26" s="3576"/>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76"/>
      <c r="Q27" s="1568" t="str">
        <f t="shared" si="8"/>
        <v>自然及人文环境状况</v>
      </c>
      <c r="R27" s="1569" t="s">
        <v>8</v>
      </c>
      <c r="S27" s="1570">
        <f>F27</f>
        <v>100</v>
      </c>
      <c r="T27" s="1569" t="s">
        <v>8</v>
      </c>
      <c r="U27" s="1570">
        <f>H27</f>
        <v>100</v>
      </c>
      <c r="V27" s="1569" t="s">
        <v>8</v>
      </c>
      <c r="W27" s="1570">
        <f>J27</f>
        <v>100</v>
      </c>
      <c r="X27" s="1563"/>
      <c r="Y27" s="3576"/>
      <c r="Z27" s="1571" t="str">
        <f>Q27</f>
        <v>自然及人文环境状况</v>
      </c>
      <c r="AA27" s="1572">
        <f t="shared" si="3"/>
        <v>1</v>
      </c>
      <c r="AB27" s="1572">
        <f t="shared" si="4"/>
        <v>1</v>
      </c>
      <c r="AC27" s="1572">
        <f t="shared" si="5"/>
        <v>1</v>
      </c>
    </row>
    <row r="28" spans="1:29" ht="20.25">
      <c r="A28" s="515"/>
      <c r="B28" s="566"/>
      <c r="C28" s="3182" t="s">
        <v>3105</v>
      </c>
      <c r="D28" s="557"/>
      <c r="E28" s="3183" t="s">
        <v>3106</v>
      </c>
      <c r="F28" s="555"/>
      <c r="G28" s="3182" t="s">
        <v>3105</v>
      </c>
      <c r="H28" s="555"/>
      <c r="I28" s="3183" t="s">
        <v>3107</v>
      </c>
      <c r="J28" s="555"/>
      <c r="K28" s="531"/>
      <c r="L28" s="2138"/>
      <c r="M28" s="2128"/>
      <c r="N28" s="2128"/>
      <c r="O28" s="2137"/>
      <c r="P28" s="3576"/>
      <c r="Q28" s="1568"/>
      <c r="R28" s="1569"/>
      <c r="S28" s="1570"/>
      <c r="T28" s="1569"/>
      <c r="U28" s="1570"/>
      <c r="V28" s="1569"/>
      <c r="W28" s="1570"/>
      <c r="X28" s="1563"/>
      <c r="Y28" s="3576"/>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76"/>
      <c r="Q29" s="1147" t="str">
        <f t="shared" si="8"/>
        <v>公共配套设施</v>
      </c>
      <c r="R29" s="1564" t="s">
        <v>8</v>
      </c>
      <c r="S29" s="1565">
        <f>F29</f>
        <v>100</v>
      </c>
      <c r="T29" s="1564" t="s">
        <v>8</v>
      </c>
      <c r="U29" s="1565">
        <f>H29</f>
        <v>100</v>
      </c>
      <c r="V29" s="1564" t="s">
        <v>8</v>
      </c>
      <c r="W29" s="1565">
        <f>J29</f>
        <v>100</v>
      </c>
      <c r="X29" s="1566"/>
      <c r="Y29" s="3576"/>
      <c r="Z29" s="1146" t="str">
        <f>Q29</f>
        <v>公共配套设施</v>
      </c>
      <c r="AA29" s="1572">
        <f>D29/F29</f>
        <v>1</v>
      </c>
      <c r="AB29" s="1572">
        <f>D29/H29</f>
        <v>1</v>
      </c>
      <c r="AC29" s="1572">
        <f>D29/J29</f>
        <v>1</v>
      </c>
    </row>
    <row r="30" spans="1:29" s="1216" customFormat="1" ht="20.25">
      <c r="A30" s="577"/>
      <c r="B30" s="566"/>
      <c r="C30" s="3184" t="s">
        <v>3105</v>
      </c>
      <c r="D30" s="557"/>
      <c r="E30" s="3183" t="s">
        <v>3105</v>
      </c>
      <c r="F30" s="555"/>
      <c r="G30" s="3182" t="s">
        <v>3106</v>
      </c>
      <c r="H30" s="555"/>
      <c r="I30" s="3183" t="s">
        <v>3105</v>
      </c>
      <c r="J30" s="555"/>
      <c r="K30" s="531"/>
      <c r="L30" s="2131"/>
      <c r="M30" s="2128"/>
      <c r="N30" s="2128"/>
      <c r="O30" s="2133"/>
      <c r="P30" s="3576"/>
      <c r="Q30" s="1147"/>
      <c r="R30" s="1564"/>
      <c r="S30" s="1565"/>
      <c r="T30" s="1564"/>
      <c r="U30" s="1565"/>
      <c r="V30" s="1564"/>
      <c r="W30" s="1565"/>
      <c r="X30" s="1566"/>
      <c r="Y30" s="3576"/>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76"/>
      <c r="Q31" s="2553" t="str">
        <f t="shared" ref="Q31" si="9">B31</f>
        <v>基础设施水平</v>
      </c>
      <c r="R31" s="1564" t="s">
        <v>8</v>
      </c>
      <c r="S31" s="1565">
        <f>F31</f>
        <v>100</v>
      </c>
      <c r="T31" s="1564" t="s">
        <v>8</v>
      </c>
      <c r="U31" s="1565">
        <f>H31</f>
        <v>100</v>
      </c>
      <c r="V31" s="1564" t="s">
        <v>8</v>
      </c>
      <c r="W31" s="1565">
        <f>J31</f>
        <v>100</v>
      </c>
      <c r="X31" s="1566"/>
      <c r="Y31" s="3576"/>
      <c r="Z31" s="2550" t="str">
        <f>Q31</f>
        <v>基础设施水平</v>
      </c>
      <c r="AA31" s="1572">
        <f>D31/F31</f>
        <v>1</v>
      </c>
      <c r="AB31" s="1572">
        <f>D31/H31</f>
        <v>1</v>
      </c>
      <c r="AC31" s="1572">
        <f>D31/J31</f>
        <v>1</v>
      </c>
    </row>
    <row r="32" spans="1:29" s="1216" customFormat="1" ht="20.25">
      <c r="A32" s="577"/>
      <c r="B32" s="566"/>
      <c r="C32" s="3184" t="s">
        <v>3108</v>
      </c>
      <c r="D32" s="557"/>
      <c r="E32" s="3185" t="s">
        <v>3109</v>
      </c>
      <c r="F32" s="555"/>
      <c r="G32" s="3184" t="s">
        <v>3110</v>
      </c>
      <c r="H32" s="555"/>
      <c r="I32" s="3184" t="s">
        <v>3111</v>
      </c>
      <c r="J32" s="555"/>
      <c r="K32" s="531"/>
      <c r="L32" s="2131"/>
      <c r="M32" s="2128"/>
      <c r="N32" s="2128"/>
      <c r="O32" s="2133"/>
      <c r="P32" s="3576"/>
      <c r="Q32" s="2553"/>
      <c r="R32" s="1564"/>
      <c r="S32" s="1565"/>
      <c r="T32" s="1564"/>
      <c r="U32" s="1565"/>
      <c r="V32" s="1564"/>
      <c r="W32" s="1565"/>
      <c r="X32" s="1566"/>
      <c r="Y32" s="3576"/>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7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76"/>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76"/>
      <c r="Q34" s="1568" t="str">
        <f t="shared" si="8"/>
        <v>毗邻道路的类型与等级</v>
      </c>
      <c r="R34" s="1569" t="s">
        <v>8</v>
      </c>
      <c r="S34" s="1570">
        <f t="shared" si="10"/>
        <v>100</v>
      </c>
      <c r="T34" s="1569" t="s">
        <v>8</v>
      </c>
      <c r="U34" s="1570">
        <f t="shared" si="11"/>
        <v>100</v>
      </c>
      <c r="V34" s="1569" t="s">
        <v>8</v>
      </c>
      <c r="W34" s="1570">
        <f t="shared" si="12"/>
        <v>100</v>
      </c>
      <c r="X34" s="1563"/>
      <c r="Y34" s="3576"/>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76"/>
      <c r="Q35" s="1568"/>
      <c r="R35" s="1569"/>
      <c r="S35" s="1570"/>
      <c r="T35" s="1569"/>
      <c r="U35" s="1570"/>
      <c r="V35" s="1569"/>
      <c r="W35" s="1570"/>
      <c r="X35" s="1563"/>
      <c r="Y35" s="3576"/>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76"/>
      <c r="Q36" s="1568" t="str">
        <f t="shared" si="8"/>
        <v>土地级别</v>
      </c>
      <c r="R36" s="1569" t="s">
        <v>8</v>
      </c>
      <c r="S36" s="1570">
        <f t="shared" si="10"/>
        <v>100</v>
      </c>
      <c r="T36" s="1569" t="s">
        <v>8</v>
      </c>
      <c r="U36" s="1570">
        <f t="shared" si="11"/>
        <v>100</v>
      </c>
      <c r="V36" s="1569" t="s">
        <v>8</v>
      </c>
      <c r="W36" s="1570">
        <f t="shared" si="12"/>
        <v>100</v>
      </c>
      <c r="X36" s="1563"/>
      <c r="Y36" s="3576"/>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76"/>
      <c r="Q37" s="1568">
        <f t="shared" si="8"/>
        <v>111</v>
      </c>
      <c r="R37" s="1569" t="s">
        <v>8</v>
      </c>
      <c r="S37" s="1570">
        <f t="shared" si="10"/>
        <v>100</v>
      </c>
      <c r="T37" s="1569" t="s">
        <v>8</v>
      </c>
      <c r="U37" s="1570">
        <f t="shared" si="11"/>
        <v>100</v>
      </c>
      <c r="V37" s="1569" t="s">
        <v>8</v>
      </c>
      <c r="W37" s="1570">
        <f t="shared" si="12"/>
        <v>100</v>
      </c>
      <c r="X37" s="1563"/>
      <c r="Y37" s="3576"/>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77" t="s">
        <v>550</v>
      </c>
      <c r="Q38" s="1568">
        <f t="shared" si="8"/>
        <v>111</v>
      </c>
      <c r="R38" s="1569" t="s">
        <v>8</v>
      </c>
      <c r="S38" s="1570">
        <f t="shared" si="10"/>
        <v>100</v>
      </c>
      <c r="T38" s="1569" t="s">
        <v>8</v>
      </c>
      <c r="U38" s="1570">
        <f t="shared" si="11"/>
        <v>100</v>
      </c>
      <c r="V38" s="1569" t="s">
        <v>8</v>
      </c>
      <c r="W38" s="1570">
        <f t="shared" si="12"/>
        <v>100</v>
      </c>
      <c r="X38" s="1563"/>
      <c r="Y38" s="3578"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78"/>
      <c r="Q39" s="1568">
        <f t="shared" si="8"/>
        <v>111</v>
      </c>
      <c r="R39" s="1573" t="s">
        <v>8</v>
      </c>
      <c r="S39" s="1574">
        <f t="shared" si="10"/>
        <v>100</v>
      </c>
      <c r="T39" s="1573" t="s">
        <v>8</v>
      </c>
      <c r="U39" s="1574">
        <f t="shared" si="11"/>
        <v>100</v>
      </c>
      <c r="V39" s="1573" t="s">
        <v>8</v>
      </c>
      <c r="W39" s="1574">
        <f t="shared" si="12"/>
        <v>100</v>
      </c>
      <c r="X39" s="1575"/>
      <c r="Y39" s="3578"/>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78"/>
      <c r="Q40" s="1568" t="str">
        <f>B40</f>
        <v>宗地面积</v>
      </c>
      <c r="R40" s="1569" t="s">
        <v>8</v>
      </c>
      <c r="S40" s="1570">
        <f t="shared" si="10"/>
        <v>100</v>
      </c>
      <c r="T40" s="1569" t="s">
        <v>8</v>
      </c>
      <c r="U40" s="1570">
        <f t="shared" si="11"/>
        <v>104</v>
      </c>
      <c r="V40" s="1569" t="s">
        <v>8</v>
      </c>
      <c r="W40" s="1570">
        <f t="shared" si="12"/>
        <v>102</v>
      </c>
      <c r="X40" s="1563"/>
      <c r="Y40" s="3578"/>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78"/>
      <c r="Q41" s="1568" t="str">
        <f t="shared" ref="Q41:Q47" si="14">B41</f>
        <v>宗地形状</v>
      </c>
      <c r="R41" s="1569" t="s">
        <v>8</v>
      </c>
      <c r="S41" s="1570">
        <f t="shared" si="10"/>
        <v>100</v>
      </c>
      <c r="T41" s="1569" t="s">
        <v>8</v>
      </c>
      <c r="U41" s="1570">
        <f t="shared" si="11"/>
        <v>100</v>
      </c>
      <c r="V41" s="1569" t="s">
        <v>8</v>
      </c>
      <c r="W41" s="1570">
        <f t="shared" si="12"/>
        <v>100</v>
      </c>
      <c r="X41" s="1563"/>
      <c r="Y41" s="3578"/>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78"/>
      <c r="Q42" s="1568" t="str">
        <f t="shared" si="14"/>
        <v>临街宽度及深度</v>
      </c>
      <c r="R42" s="1569" t="s">
        <v>8</v>
      </c>
      <c r="S42" s="1570">
        <f t="shared" si="10"/>
        <v>100</v>
      </c>
      <c r="T42" s="1569" t="s">
        <v>8</v>
      </c>
      <c r="U42" s="1570">
        <f t="shared" si="11"/>
        <v>100</v>
      </c>
      <c r="V42" s="1569" t="s">
        <v>8</v>
      </c>
      <c r="W42" s="1570">
        <f t="shared" si="12"/>
        <v>100</v>
      </c>
      <c r="X42" s="1563"/>
      <c r="Y42" s="3578"/>
      <c r="Z42" s="1571" t="str">
        <f t="shared" si="13"/>
        <v>临街宽度及深度</v>
      </c>
      <c r="AA42" s="1572">
        <f t="shared" si="3"/>
        <v>1</v>
      </c>
      <c r="AB42" s="1572">
        <f t="shared" si="4"/>
        <v>1</v>
      </c>
      <c r="AC42" s="1572">
        <f t="shared" si="5"/>
        <v>1</v>
      </c>
    </row>
    <row r="43" spans="1:29" s="1216" customFormat="1" ht="20.25">
      <c r="A43" s="600"/>
      <c r="B43" s="1891" t="s">
        <v>2425</v>
      </c>
      <c r="C43" s="3239" t="s">
        <v>3230</v>
      </c>
      <c r="D43" s="255">
        <v>100</v>
      </c>
      <c r="E43" s="3239" t="s">
        <v>3231</v>
      </c>
      <c r="F43" s="540">
        <f>SUMIF(125:125,E43,126:126)-SUMIF(125:125,C43,126:126)+100</f>
        <v>94</v>
      </c>
      <c r="G43" s="3239" t="s">
        <v>3231</v>
      </c>
      <c r="H43" s="540">
        <f>SUMIF(125:125,G43,126:126)-SUMIF(125:125,C43,126:126)+100</f>
        <v>94</v>
      </c>
      <c r="I43" s="3239" t="s">
        <v>3231</v>
      </c>
      <c r="J43" s="540">
        <f>SUMIF(125:125,I43,126:126)-SUMIF(125:125,C43,126:126)+100</f>
        <v>94</v>
      </c>
      <c r="K43" s="584">
        <v>2</v>
      </c>
      <c r="L43" s="2131"/>
      <c r="M43" s="2128"/>
      <c r="N43" s="2128"/>
      <c r="O43" s="2133"/>
      <c r="P43" s="3578"/>
      <c r="Q43" s="1568" t="str">
        <f t="shared" si="14"/>
        <v>宗地开发程度</v>
      </c>
      <c r="R43" s="1564" t="s">
        <v>8</v>
      </c>
      <c r="S43" s="1565">
        <f t="shared" si="10"/>
        <v>94</v>
      </c>
      <c r="T43" s="1564" t="s">
        <v>8</v>
      </c>
      <c r="U43" s="1565">
        <f t="shared" si="11"/>
        <v>94</v>
      </c>
      <c r="V43" s="1564" t="s">
        <v>8</v>
      </c>
      <c r="W43" s="1565">
        <f t="shared" si="12"/>
        <v>94</v>
      </c>
      <c r="X43" s="1566"/>
      <c r="Y43" s="3578"/>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78" t="s">
        <v>550</v>
      </c>
      <c r="Q44" s="1568" t="str">
        <f t="shared" si="14"/>
        <v>工程地质条件</v>
      </c>
      <c r="R44" s="1569" t="s">
        <v>8</v>
      </c>
      <c r="S44" s="1570">
        <f t="shared" si="10"/>
        <v>100</v>
      </c>
      <c r="T44" s="1569" t="s">
        <v>8</v>
      </c>
      <c r="U44" s="1570">
        <f t="shared" si="11"/>
        <v>100</v>
      </c>
      <c r="V44" s="1569" t="s">
        <v>8</v>
      </c>
      <c r="W44" s="1570">
        <f t="shared" si="12"/>
        <v>100</v>
      </c>
      <c r="X44" s="1563"/>
      <c r="Y44" s="3578"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78"/>
      <c r="Q45" s="1568">
        <f t="shared" si="14"/>
        <v>111</v>
      </c>
      <c r="R45" s="1569" t="s">
        <v>8</v>
      </c>
      <c r="S45" s="1570">
        <f t="shared" si="10"/>
        <v>100</v>
      </c>
      <c r="T45" s="1569" t="s">
        <v>8</v>
      </c>
      <c r="U45" s="1570">
        <f t="shared" si="11"/>
        <v>100</v>
      </c>
      <c r="V45" s="1569" t="s">
        <v>8</v>
      </c>
      <c r="W45" s="1570">
        <f t="shared" si="12"/>
        <v>100</v>
      </c>
      <c r="X45" s="1563"/>
      <c r="Y45" s="3578"/>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78"/>
      <c r="Q46" s="1568">
        <f t="shared" si="14"/>
        <v>111</v>
      </c>
      <c r="R46" s="1569" t="s">
        <v>8</v>
      </c>
      <c r="S46" s="1570">
        <f t="shared" si="10"/>
        <v>100</v>
      </c>
      <c r="T46" s="1569" t="s">
        <v>8</v>
      </c>
      <c r="U46" s="1570">
        <f t="shared" si="11"/>
        <v>100</v>
      </c>
      <c r="V46" s="1569" t="s">
        <v>8</v>
      </c>
      <c r="W46" s="1570">
        <f t="shared" si="12"/>
        <v>100</v>
      </c>
      <c r="X46" s="1563"/>
      <c r="Y46" s="3578"/>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78"/>
      <c r="Q47" s="1568">
        <f t="shared" si="14"/>
        <v>111</v>
      </c>
      <c r="R47" s="1573" t="s">
        <v>8</v>
      </c>
      <c r="S47" s="1574">
        <f t="shared" si="10"/>
        <v>100</v>
      </c>
      <c r="T47" s="1573" t="s">
        <v>8</v>
      </c>
      <c r="U47" s="1574">
        <f t="shared" si="11"/>
        <v>100</v>
      </c>
      <c r="V47" s="1573" t="s">
        <v>8</v>
      </c>
      <c r="W47" s="1574">
        <f t="shared" si="12"/>
        <v>100</v>
      </c>
      <c r="X47" s="1575"/>
      <c r="Y47" s="3578"/>
      <c r="Z47" s="1576">
        <f t="shared" si="13"/>
        <v>111</v>
      </c>
      <c r="AA47" s="1572">
        <f t="shared" si="3"/>
        <v>1</v>
      </c>
      <c r="AB47" s="1572">
        <f t="shared" si="4"/>
        <v>1</v>
      </c>
      <c r="AC47" s="1572">
        <f t="shared" si="5"/>
        <v>1</v>
      </c>
    </row>
    <row r="48" spans="1:29" ht="20.25">
      <c r="A48" s="607" t="s">
        <v>556</v>
      </c>
      <c r="B48" s="608" t="s">
        <v>3112</v>
      </c>
      <c r="C48" s="609" t="s">
        <v>1</v>
      </c>
      <c r="D48" s="610"/>
      <c r="E48" s="611">
        <f>Sheet1!K2</f>
        <v>6000</v>
      </c>
      <c r="F48" s="612"/>
      <c r="G48" s="613">
        <v>5999</v>
      </c>
      <c r="H48" s="614"/>
      <c r="I48" s="611">
        <v>6000</v>
      </c>
      <c r="J48" s="614"/>
      <c r="K48" s="1336"/>
      <c r="L48" s="2140"/>
      <c r="M48" s="2128"/>
      <c r="N48" s="2128"/>
      <c r="O48" s="2141"/>
      <c r="P48" s="3573" t="str">
        <f>A48</f>
        <v>成交单价</v>
      </c>
      <c r="Q48" s="3573"/>
      <c r="R48" s="3587">
        <f>E48</f>
        <v>6000</v>
      </c>
      <c r="S48" s="3587"/>
      <c r="T48" s="3587">
        <f>G48</f>
        <v>5999</v>
      </c>
      <c r="U48" s="3587"/>
      <c r="V48" s="3587">
        <f>I48</f>
        <v>6000</v>
      </c>
      <c r="W48" s="3587"/>
      <c r="X48" s="1555"/>
      <c r="Y48" s="1577"/>
      <c r="Z48" s="1555"/>
      <c r="AA48" s="1555"/>
      <c r="AB48" s="1555"/>
      <c r="AC48" s="1555"/>
    </row>
    <row r="49" spans="1:29" ht="21" thickBot="1">
      <c r="A49" s="615" t="s">
        <v>2693</v>
      </c>
      <c r="B49" s="616"/>
      <c r="C49" s="617">
        <f>R50</f>
        <v>5824</v>
      </c>
      <c r="D49" s="618"/>
      <c r="E49" s="617">
        <f>R49</f>
        <v>5919</v>
      </c>
      <c r="F49" s="619"/>
      <c r="G49" s="620">
        <f>T49</f>
        <v>5690</v>
      </c>
      <c r="H49" s="618"/>
      <c r="I49" s="617">
        <f>V49</f>
        <v>5863</v>
      </c>
      <c r="J49" s="618"/>
      <c r="K49" s="1337"/>
      <c r="L49" s="2140"/>
      <c r="M49" s="2128"/>
      <c r="N49" s="2128"/>
      <c r="O49" s="2141"/>
      <c r="P49" s="3573" t="str">
        <f>A49</f>
        <v>比较价格（元/平方米）</v>
      </c>
      <c r="Q49" s="3573"/>
      <c r="R49" s="3597">
        <f>ROUND(PRODUCT(R48,AA9:AA47),0)</f>
        <v>5919</v>
      </c>
      <c r="S49" s="3597"/>
      <c r="T49" s="3597">
        <f>ROUND(PRODUCT(T48,AB9:AB47),0)</f>
        <v>5690</v>
      </c>
      <c r="U49" s="3597"/>
      <c r="V49" s="3597">
        <f>ROUND(PRODUCT(V48,AC9:AC47),0)</f>
        <v>5863</v>
      </c>
      <c r="W49" s="3597"/>
      <c r="X49" s="1555"/>
      <c r="Y49" s="1555"/>
      <c r="Z49" s="1555"/>
      <c r="AA49" s="1555"/>
      <c r="AB49" s="1555"/>
      <c r="AC49" s="1555"/>
    </row>
    <row r="50" spans="1:29" ht="21" thickBot="1">
      <c r="A50" s="621" t="s">
        <v>2937</v>
      </c>
      <c r="B50" s="622"/>
      <c r="C50" s="623">
        <f>R50</f>
        <v>5824</v>
      </c>
      <c r="D50" s="623"/>
      <c r="E50" s="623"/>
      <c r="F50" s="623"/>
      <c r="G50" s="623"/>
      <c r="H50" s="623"/>
      <c r="I50" s="623"/>
      <c r="J50" s="623"/>
      <c r="K50" s="1338"/>
      <c r="L50" s="2140"/>
      <c r="M50" s="2128"/>
      <c r="N50" s="2128"/>
      <c r="O50" s="2141"/>
      <c r="P50" s="3594" t="str">
        <f>A50</f>
        <v>估价对象XX用房的比较价格（楼面单价，元/平方米）</v>
      </c>
      <c r="Q50" s="3595"/>
      <c r="R50" s="3596">
        <f>ROUND(AVERAGE(R49:V49),0)</f>
        <v>5824</v>
      </c>
      <c r="S50" s="3596"/>
      <c r="T50" s="3596"/>
      <c r="U50" s="3596"/>
      <c r="V50" s="3596"/>
      <c r="W50" s="3596"/>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1.3684744044602182E-2</v>
      </c>
      <c r="F53" s="627" t="str">
        <f>IF(OR(E53&gt;=0.3,E53&lt;=-0.3),"超过30%","")</f>
        <v/>
      </c>
      <c r="G53" s="626">
        <f>IF(G48&lt;G49,G49/G48-1,G48/G49-1)</f>
        <v>5.4305799648506126E-2</v>
      </c>
      <c r="H53" s="627" t="str">
        <f>IF(OR(G53&gt;=0.3,G53&lt;=-0.3),"超过30%","")</f>
        <v/>
      </c>
      <c r="I53" s="626">
        <f>IF(I48&lt;I49,I49/I48-1,I48/I49-1)</f>
        <v>2.3366877025413624E-2</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4.0246045694200427E-2</v>
      </c>
      <c r="F54" s="627" t="str">
        <f>IF(OR(E54&gt;=0.2,E54&lt;=-0.2),"超过20%","")</f>
        <v/>
      </c>
      <c r="G54" s="626">
        <f>IF(G49&lt;I49,I49/G49-1,G49/I49-1)</f>
        <v>3.0404217926186305E-2</v>
      </c>
      <c r="H54" s="627" t="str">
        <f>IF(OR(G54&gt;=0.2,G54&lt;=-0.2),"超过20%","")</f>
        <v/>
      </c>
      <c r="I54" s="626">
        <f>IF(I49&lt;E49,E49/I49-1,I49/E49-1)</f>
        <v>9.551424185570534E-3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57" t="s">
        <v>2282</v>
      </c>
      <c r="H57" s="3558"/>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5824</v>
      </c>
      <c r="C58" s="635">
        <v>1</v>
      </c>
      <c r="D58" s="2224">
        <v>1</v>
      </c>
      <c r="E58" s="635">
        <f>'数据-汇总表'!E8+'数据-汇总表'!E9</f>
        <v>36465.64</v>
      </c>
      <c r="F58" s="636">
        <f t="shared" ref="F58:F67" si="15">ROUND(B58*E58/10000,0)</f>
        <v>21238</v>
      </c>
      <c r="G58" s="3559"/>
      <c r="H58" s="356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61"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61"/>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61"/>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61"/>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21238</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2019-5-1</v>
      </c>
      <c r="D70" s="2773">
        <f>EDATE(C70,-3)</f>
        <v>43497</v>
      </c>
      <c r="E70" s="2773">
        <f t="shared" ref="E70:N70" si="18">EDATE(D70,-3)</f>
        <v>43405</v>
      </c>
      <c r="F70" s="2773">
        <f t="shared" si="18"/>
        <v>43313</v>
      </c>
      <c r="G70" s="2773">
        <f t="shared" si="18"/>
        <v>43221</v>
      </c>
      <c r="H70" s="2773">
        <f t="shared" si="18"/>
        <v>43132</v>
      </c>
      <c r="I70" s="2773">
        <f t="shared" si="18"/>
        <v>43040</v>
      </c>
      <c r="J70" s="2773">
        <f t="shared" si="18"/>
        <v>42948</v>
      </c>
      <c r="K70" s="2773">
        <f t="shared" si="18"/>
        <v>42856</v>
      </c>
      <c r="L70" s="2773">
        <f t="shared" si="18"/>
        <v>42767</v>
      </c>
      <c r="M70" s="2773">
        <f t="shared" si="18"/>
        <v>42675</v>
      </c>
      <c r="N70" s="2773">
        <f t="shared" si="18"/>
        <v>42583</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3234</v>
      </c>
      <c r="D77" s="3240" t="s">
        <v>3236</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3230</v>
      </c>
      <c r="D125" s="1371" t="s">
        <v>3232</v>
      </c>
      <c r="E125" s="1371" t="s">
        <v>3233</v>
      </c>
      <c r="F125" s="1371" t="s">
        <v>3231</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土地估价师、土地估价师</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22"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3003</v>
      </c>
      <c r="B1" s="2912" t="s">
        <v>3004</v>
      </c>
      <c r="C1" s="2912" t="s">
        <v>3005</v>
      </c>
      <c r="D1" s="2912" t="s">
        <v>3006</v>
      </c>
      <c r="E1" s="2912" t="s">
        <v>3007</v>
      </c>
      <c r="F1" s="2912" t="s">
        <v>2033</v>
      </c>
      <c r="G1" s="2912" t="s">
        <v>3008</v>
      </c>
      <c r="H1" s="2912" t="s">
        <v>3009</v>
      </c>
      <c r="I1" s="2912" t="s">
        <v>3010</v>
      </c>
      <c r="J1" s="2912" t="s">
        <v>3011</v>
      </c>
      <c r="K1" s="2912" t="s">
        <v>3012</v>
      </c>
      <c r="L1" s="2912" t="s">
        <v>3013</v>
      </c>
      <c r="M1" s="2912" t="s">
        <v>3014</v>
      </c>
    </row>
    <row r="2" spans="1:13" s="3173" customFormat="1">
      <c r="A2" s="3172" t="s">
        <v>3015</v>
      </c>
      <c r="B2" s="3173" t="s">
        <v>3016</v>
      </c>
      <c r="C2" s="3173" t="s">
        <v>3017</v>
      </c>
      <c r="D2" s="3173">
        <v>19617.7</v>
      </c>
      <c r="E2" s="3173">
        <v>49044.25</v>
      </c>
      <c r="F2" s="3173" t="s">
        <v>3018</v>
      </c>
      <c r="G2" s="3173" t="s">
        <v>3019</v>
      </c>
      <c r="H2" s="3173" t="s">
        <v>3020</v>
      </c>
      <c r="I2" s="3173" t="s">
        <v>2818</v>
      </c>
      <c r="J2" s="3173">
        <v>29426.54</v>
      </c>
      <c r="K2" s="3173">
        <v>6000</v>
      </c>
      <c r="L2" s="3173" t="s">
        <v>2818</v>
      </c>
      <c r="M2" s="3173" t="s">
        <v>3021</v>
      </c>
    </row>
    <row r="3" spans="1:13" s="3173" customFormat="1">
      <c r="A3" s="3173" t="s">
        <v>3022</v>
      </c>
      <c r="B3" s="3173" t="s">
        <v>3016</v>
      </c>
      <c r="C3" s="3173" t="s">
        <v>3017</v>
      </c>
      <c r="D3" s="3173">
        <v>132095.5</v>
      </c>
      <c r="E3" s="3173">
        <v>330238.8</v>
      </c>
      <c r="F3" s="3173" t="s">
        <v>3018</v>
      </c>
      <c r="G3" s="3173" t="s">
        <v>3019</v>
      </c>
      <c r="H3" s="3173" t="s">
        <v>3020</v>
      </c>
      <c r="I3" s="3173" t="s">
        <v>2818</v>
      </c>
      <c r="J3" s="3173">
        <v>198100</v>
      </c>
      <c r="K3" s="3173">
        <v>5998.68</v>
      </c>
      <c r="L3" s="3173" t="s">
        <v>2818</v>
      </c>
      <c r="M3" s="3173" t="s">
        <v>3021</v>
      </c>
    </row>
    <row r="4" spans="1:13">
      <c r="A4" s="2912" t="s">
        <v>3023</v>
      </c>
      <c r="B4" s="2912" t="s">
        <v>3016</v>
      </c>
      <c r="C4" s="2912" t="s">
        <v>3024</v>
      </c>
      <c r="D4" s="2912">
        <v>188858</v>
      </c>
      <c r="E4" s="2912">
        <v>377716</v>
      </c>
      <c r="F4" s="2912" t="s">
        <v>3025</v>
      </c>
      <c r="G4" s="2912" t="s">
        <v>3026</v>
      </c>
      <c r="H4" s="2912" t="s">
        <v>3027</v>
      </c>
      <c r="I4" s="2912" t="s">
        <v>2818</v>
      </c>
      <c r="J4" s="2912">
        <v>334089.40000000002</v>
      </c>
      <c r="K4" s="2912">
        <v>8844.98</v>
      </c>
      <c r="L4" s="2912" t="s">
        <v>2818</v>
      </c>
      <c r="M4" s="2912" t="s">
        <v>3028</v>
      </c>
    </row>
    <row r="5" spans="1:13">
      <c r="A5" s="2912" t="s">
        <v>3029</v>
      </c>
      <c r="B5" s="2912" t="s">
        <v>3016</v>
      </c>
      <c r="C5" s="2912" t="s">
        <v>3017</v>
      </c>
      <c r="D5" s="2912">
        <v>135101.5</v>
      </c>
      <c r="E5" s="2912">
        <v>270203</v>
      </c>
      <c r="F5" s="2912" t="s">
        <v>3030</v>
      </c>
      <c r="G5" s="2912" t="s">
        <v>3019</v>
      </c>
      <c r="H5" s="2912" t="s">
        <v>3031</v>
      </c>
      <c r="I5" s="2912">
        <v>34585.980000000003</v>
      </c>
      <c r="J5" s="2912">
        <v>35288.51</v>
      </c>
      <c r="K5" s="2912">
        <v>1306</v>
      </c>
      <c r="L5" s="2912">
        <v>2.0299999999999998</v>
      </c>
      <c r="M5" s="2912" t="s">
        <v>3032</v>
      </c>
    </row>
    <row r="6" spans="1:13">
      <c r="A6" s="2912" t="s">
        <v>3029</v>
      </c>
      <c r="B6" s="2912" t="s">
        <v>3016</v>
      </c>
      <c r="C6" s="2912" t="s">
        <v>3017</v>
      </c>
      <c r="D6" s="2912">
        <v>151519.29999999999</v>
      </c>
      <c r="E6" s="2912">
        <v>378798.3</v>
      </c>
      <c r="F6" s="2912" t="s">
        <v>3033</v>
      </c>
      <c r="G6" s="2912" t="s">
        <v>3019</v>
      </c>
      <c r="H6" s="2912" t="s">
        <v>3031</v>
      </c>
      <c r="I6" s="2912">
        <v>50758.95</v>
      </c>
      <c r="J6" s="2912">
        <v>51705.95</v>
      </c>
      <c r="K6" s="2912">
        <v>1365</v>
      </c>
      <c r="L6" s="2912">
        <v>1.87</v>
      </c>
      <c r="M6" s="2912" t="s">
        <v>3032</v>
      </c>
    </row>
    <row r="7" spans="1:13">
      <c r="A7" s="2912" t="s">
        <v>3034</v>
      </c>
      <c r="B7" s="2912" t="s">
        <v>3016</v>
      </c>
      <c r="C7" s="2912" t="s">
        <v>3024</v>
      </c>
      <c r="D7" s="2912">
        <v>73333.3</v>
      </c>
      <c r="E7" s="2912">
        <v>183333.3</v>
      </c>
      <c r="F7" s="2912" t="s">
        <v>3033</v>
      </c>
      <c r="G7" s="2912" t="s">
        <v>3019</v>
      </c>
      <c r="H7" s="2912" t="s">
        <v>3035</v>
      </c>
      <c r="I7" s="2912">
        <v>30066.65</v>
      </c>
      <c r="J7" s="2912">
        <v>30708.31</v>
      </c>
      <c r="K7" s="2912">
        <v>1675</v>
      </c>
      <c r="L7" s="2912">
        <v>2.13</v>
      </c>
      <c r="M7" s="2912" t="s">
        <v>3036</v>
      </c>
    </row>
    <row r="8" spans="1:13">
      <c r="A8" s="2912" t="s">
        <v>3037</v>
      </c>
      <c r="B8" s="2912" t="s">
        <v>3016</v>
      </c>
      <c r="C8" s="2912" t="s">
        <v>3024</v>
      </c>
      <c r="D8" s="2912">
        <v>161143</v>
      </c>
      <c r="E8" s="2912">
        <v>402857.5</v>
      </c>
      <c r="F8" s="2912" t="s">
        <v>3033</v>
      </c>
      <c r="G8" s="2912" t="s">
        <v>3019</v>
      </c>
      <c r="H8" s="2912" t="s">
        <v>3038</v>
      </c>
      <c r="I8" s="2912">
        <v>29166.880000000001</v>
      </c>
      <c r="J8" s="2912">
        <v>74206.350000000006</v>
      </c>
      <c r="K8" s="2912">
        <v>1842</v>
      </c>
      <c r="L8" s="2912">
        <v>154.41999999999999</v>
      </c>
      <c r="M8" s="2912" t="s">
        <v>3039</v>
      </c>
    </row>
    <row r="9" spans="1:13">
      <c r="A9" s="2912" t="s">
        <v>3040</v>
      </c>
      <c r="B9" s="2912" t="s">
        <v>3016</v>
      </c>
      <c r="C9" s="2912" t="s">
        <v>3024</v>
      </c>
      <c r="D9" s="2912">
        <v>192894</v>
      </c>
      <c r="E9" s="2912">
        <v>482235</v>
      </c>
      <c r="F9" s="2912" t="s">
        <v>3033</v>
      </c>
      <c r="G9" s="2912" t="s">
        <v>3019</v>
      </c>
      <c r="H9" s="2912" t="s">
        <v>3038</v>
      </c>
      <c r="I9" s="2912">
        <v>34913.800000000003</v>
      </c>
      <c r="J9" s="2912">
        <v>88779.46</v>
      </c>
      <c r="K9" s="2912">
        <v>1841</v>
      </c>
      <c r="L9" s="2912">
        <v>154.28</v>
      </c>
      <c r="M9" s="2912" t="s">
        <v>3039</v>
      </c>
    </row>
    <row r="10" spans="1:13">
      <c r="A10" s="2912" t="s">
        <v>3041</v>
      </c>
      <c r="B10" s="2912" t="s">
        <v>3016</v>
      </c>
      <c r="C10" s="2912" t="s">
        <v>3024</v>
      </c>
      <c r="D10" s="2912">
        <v>32533.9</v>
      </c>
      <c r="E10" s="2912">
        <v>81334.75</v>
      </c>
      <c r="F10" s="2912" t="s">
        <v>3033</v>
      </c>
      <c r="G10" s="2912" t="s">
        <v>3019</v>
      </c>
      <c r="H10" s="2912" t="s">
        <v>3042</v>
      </c>
      <c r="I10" s="2912" t="s">
        <v>2818</v>
      </c>
      <c r="J10" s="2912">
        <v>10248.18</v>
      </c>
      <c r="K10" s="2912">
        <v>1260</v>
      </c>
      <c r="L10" s="2912" t="s">
        <v>2818</v>
      </c>
      <c r="M10" s="2912" t="s">
        <v>3043</v>
      </c>
    </row>
    <row r="11" spans="1:13">
      <c r="A11" s="2912" t="s">
        <v>3041</v>
      </c>
      <c r="B11" s="2912" t="s">
        <v>3016</v>
      </c>
      <c r="C11" s="2912" t="s">
        <v>3024</v>
      </c>
      <c r="D11" s="2912">
        <v>46700.7</v>
      </c>
      <c r="E11" s="2912">
        <v>116751.8</v>
      </c>
      <c r="F11" s="2912" t="s">
        <v>3033</v>
      </c>
      <c r="G11" s="2912" t="s">
        <v>3019</v>
      </c>
      <c r="H11" s="2912" t="s">
        <v>3042</v>
      </c>
      <c r="I11" s="2912" t="s">
        <v>2818</v>
      </c>
      <c r="J11" s="2912">
        <v>14640.67</v>
      </c>
      <c r="K11" s="2912">
        <v>1254</v>
      </c>
      <c r="L11" s="2912" t="s">
        <v>2818</v>
      </c>
      <c r="M11" s="2912" t="s">
        <v>3043</v>
      </c>
    </row>
    <row r="12" spans="1:13">
      <c r="A12" s="2912" t="s">
        <v>3041</v>
      </c>
      <c r="B12" s="2912" t="s">
        <v>3016</v>
      </c>
      <c r="C12" s="2912" t="s">
        <v>3024</v>
      </c>
      <c r="D12" s="2912">
        <v>174990.9</v>
      </c>
      <c r="E12" s="2912">
        <v>437477.3</v>
      </c>
      <c r="F12" s="2912" t="s">
        <v>3033</v>
      </c>
      <c r="G12" s="2912" t="s">
        <v>3019</v>
      </c>
      <c r="H12" s="2912" t="s">
        <v>3042</v>
      </c>
      <c r="I12" s="2912" t="s">
        <v>2818</v>
      </c>
      <c r="J12" s="2912">
        <v>54378.41</v>
      </c>
      <c r="K12" s="2912">
        <v>1243</v>
      </c>
      <c r="L12" s="2912" t="s">
        <v>2818</v>
      </c>
      <c r="M12" s="2912" t="s">
        <v>3043</v>
      </c>
    </row>
    <row r="13" spans="1:13">
      <c r="A13" s="2912" t="s">
        <v>3044</v>
      </c>
      <c r="B13" s="2912" t="s">
        <v>3016</v>
      </c>
      <c r="C13" s="2912" t="s">
        <v>3024</v>
      </c>
      <c r="D13" s="2912">
        <v>16564.5</v>
      </c>
      <c r="E13" s="2912">
        <v>57975.75</v>
      </c>
      <c r="F13" s="2912" t="s">
        <v>3045</v>
      </c>
      <c r="G13" s="2912" t="s">
        <v>3019</v>
      </c>
      <c r="H13" s="2912" t="s">
        <v>3046</v>
      </c>
      <c r="I13" s="2912" t="s">
        <v>2818</v>
      </c>
      <c r="J13" s="2912">
        <v>8063.32</v>
      </c>
      <c r="K13" s="2912">
        <v>1390.8</v>
      </c>
      <c r="L13" s="2912" t="s">
        <v>2818</v>
      </c>
      <c r="M13" s="2912" t="s">
        <v>3047</v>
      </c>
    </row>
    <row r="14" spans="1:13">
      <c r="A14" s="2912" t="s">
        <v>3048</v>
      </c>
      <c r="B14" s="2912" t="s">
        <v>3016</v>
      </c>
      <c r="C14" s="2912" t="s">
        <v>3017</v>
      </c>
      <c r="D14" s="2912">
        <v>186080</v>
      </c>
      <c r="E14" s="2912">
        <v>567544</v>
      </c>
      <c r="F14" s="2912" t="s">
        <v>3049</v>
      </c>
      <c r="G14" s="2912" t="s">
        <v>3019</v>
      </c>
      <c r="H14" s="2912" t="s">
        <v>3050</v>
      </c>
      <c r="I14" s="2912">
        <v>73900</v>
      </c>
      <c r="J14" s="2912">
        <v>73900</v>
      </c>
      <c r="K14" s="2912">
        <v>1302.0899999999999</v>
      </c>
      <c r="L14" s="2912">
        <v>0</v>
      </c>
      <c r="M14" s="2912" t="s">
        <v>3051</v>
      </c>
    </row>
    <row r="15" spans="1:13">
      <c r="A15" s="2912" t="s">
        <v>3048</v>
      </c>
      <c r="B15" s="2912" t="s">
        <v>3016</v>
      </c>
      <c r="C15" s="2912" t="s">
        <v>3017</v>
      </c>
      <c r="D15" s="2912">
        <v>226707.1</v>
      </c>
      <c r="E15" s="2912">
        <v>691456.7</v>
      </c>
      <c r="F15" s="2912" t="s">
        <v>3049</v>
      </c>
      <c r="G15" s="2912" t="s">
        <v>3019</v>
      </c>
      <c r="H15" s="2912" t="s">
        <v>3052</v>
      </c>
      <c r="I15" s="2912">
        <v>40900</v>
      </c>
      <c r="J15" s="2912">
        <v>40900</v>
      </c>
      <c r="K15" s="2912">
        <v>591.5</v>
      </c>
      <c r="L15" s="2912">
        <v>0</v>
      </c>
      <c r="M15" s="2912" t="s">
        <v>3051</v>
      </c>
    </row>
    <row r="16" spans="1:13">
      <c r="A16" s="2912" t="s">
        <v>3053</v>
      </c>
      <c r="B16" s="2912" t="s">
        <v>3016</v>
      </c>
      <c r="C16" s="2912" t="s">
        <v>3024</v>
      </c>
      <c r="D16" s="2912">
        <v>133848</v>
      </c>
      <c r="E16" s="2912">
        <v>334620</v>
      </c>
      <c r="F16" s="2912" t="s">
        <v>3054</v>
      </c>
      <c r="G16" s="2912" t="s">
        <v>3019</v>
      </c>
      <c r="H16" s="2912" t="s">
        <v>3055</v>
      </c>
      <c r="I16" s="2912">
        <v>12100</v>
      </c>
      <c r="J16" s="2912">
        <v>12100</v>
      </c>
      <c r="K16" s="2912">
        <v>361.6</v>
      </c>
      <c r="L16" s="2912">
        <v>0</v>
      </c>
      <c r="M16" s="2912" t="s">
        <v>3056</v>
      </c>
    </row>
    <row r="17" spans="1:13" s="3173" customFormat="1">
      <c r="A17" s="3172" t="s">
        <v>3057</v>
      </c>
      <c r="B17" s="3173" t="s">
        <v>3016</v>
      </c>
      <c r="C17" s="3173" t="s">
        <v>3017</v>
      </c>
      <c r="D17" s="3173">
        <v>81126.899999999994</v>
      </c>
      <c r="E17" s="3173">
        <v>202817.3</v>
      </c>
      <c r="F17" s="3173" t="s">
        <v>3018</v>
      </c>
      <c r="G17" s="3173" t="s">
        <v>3026</v>
      </c>
      <c r="H17" s="3173" t="s">
        <v>3058</v>
      </c>
      <c r="I17" s="3173" t="s">
        <v>2818</v>
      </c>
      <c r="J17" s="3173">
        <v>121690.39</v>
      </c>
      <c r="K17" s="3173">
        <v>6000</v>
      </c>
      <c r="L17" s="3173" t="s">
        <v>2818</v>
      </c>
      <c r="M17" s="3173" t="s">
        <v>3059</v>
      </c>
    </row>
    <row r="20" spans="1:13">
      <c r="A20" s="2912" t="s">
        <v>3003</v>
      </c>
      <c r="B20" s="2912" t="s">
        <v>3004</v>
      </c>
      <c r="C20" s="2912" t="s">
        <v>3005</v>
      </c>
      <c r="D20" s="2912" t="s">
        <v>3006</v>
      </c>
      <c r="E20" s="2912" t="s">
        <v>3007</v>
      </c>
      <c r="F20" s="2912" t="s">
        <v>2033</v>
      </c>
      <c r="G20" s="2912" t="s">
        <v>3008</v>
      </c>
      <c r="H20" s="2912" t="s">
        <v>3009</v>
      </c>
      <c r="I20" s="2912" t="s">
        <v>3010</v>
      </c>
      <c r="J20" s="2912" t="s">
        <v>3011</v>
      </c>
      <c r="K20" s="2912" t="s">
        <v>3012</v>
      </c>
      <c r="L20" s="2912" t="s">
        <v>3013</v>
      </c>
      <c r="M20" s="2912" t="s">
        <v>3014</v>
      </c>
    </row>
    <row r="21" spans="1:13">
      <c r="A21" s="2912" t="s">
        <v>3022</v>
      </c>
      <c r="B21" s="2912" t="s">
        <v>3016</v>
      </c>
      <c r="C21" s="2912" t="s">
        <v>3060</v>
      </c>
      <c r="D21" s="2912">
        <v>22250.3</v>
      </c>
      <c r="E21" s="2912">
        <v>33375.449999999997</v>
      </c>
      <c r="F21" s="2912" t="s">
        <v>3061</v>
      </c>
      <c r="G21" s="2912" t="s">
        <v>3019</v>
      </c>
      <c r="H21" s="2912" t="s">
        <v>3020</v>
      </c>
      <c r="I21" s="2912" t="s">
        <v>2818</v>
      </c>
      <c r="J21" s="2912">
        <v>19457.88</v>
      </c>
      <c r="K21" s="2912">
        <v>5830</v>
      </c>
      <c r="L21" s="2912" t="s">
        <v>2818</v>
      </c>
      <c r="M21" s="2912" t="s">
        <v>3062</v>
      </c>
    </row>
    <row r="22" spans="1:13">
      <c r="A22" s="2912" t="s">
        <v>3063</v>
      </c>
      <c r="B22" s="2912" t="s">
        <v>3016</v>
      </c>
      <c r="C22" s="2912" t="s">
        <v>3060</v>
      </c>
      <c r="D22" s="2912">
        <v>17099.400000000001</v>
      </c>
      <c r="E22" s="2912">
        <v>42748.5</v>
      </c>
      <c r="F22" s="2912" t="s">
        <v>3064</v>
      </c>
      <c r="G22" s="2912" t="s">
        <v>3019</v>
      </c>
      <c r="H22" s="2912" t="s">
        <v>3031</v>
      </c>
      <c r="I22" s="2912">
        <v>8164.96</v>
      </c>
      <c r="J22" s="2912">
        <v>8451.3700000000008</v>
      </c>
      <c r="K22" s="2912">
        <v>1977</v>
      </c>
      <c r="L22" s="2912">
        <v>3.51</v>
      </c>
      <c r="M22" s="2912" t="s">
        <v>3032</v>
      </c>
    </row>
    <row r="23" spans="1:13">
      <c r="A23" s="2912" t="s">
        <v>3063</v>
      </c>
      <c r="B23" s="2912" t="s">
        <v>3016</v>
      </c>
      <c r="C23" s="2912" t="s">
        <v>3060</v>
      </c>
      <c r="D23" s="2912">
        <v>18658.7</v>
      </c>
      <c r="E23" s="2912">
        <v>37317.4</v>
      </c>
      <c r="F23" s="2912" t="s">
        <v>3065</v>
      </c>
      <c r="G23" s="2912" t="s">
        <v>3019</v>
      </c>
      <c r="H23" s="2912" t="s">
        <v>3031</v>
      </c>
      <c r="I23" s="2912">
        <v>7687.38</v>
      </c>
      <c r="J23" s="2912">
        <v>7963.52</v>
      </c>
      <c r="K23" s="2912">
        <v>2134</v>
      </c>
      <c r="L23" s="2912">
        <v>3.59</v>
      </c>
      <c r="M23" s="2912" t="s">
        <v>3032</v>
      </c>
    </row>
    <row r="24" spans="1:13">
      <c r="A24" s="2912" t="s">
        <v>3066</v>
      </c>
      <c r="B24" s="2912" t="s">
        <v>3016</v>
      </c>
      <c r="C24" s="2912" t="s">
        <v>3060</v>
      </c>
      <c r="D24" s="2912">
        <v>2953.7</v>
      </c>
      <c r="E24" s="2912">
        <v>2362.96</v>
      </c>
      <c r="F24" s="2912" t="s">
        <v>3067</v>
      </c>
      <c r="G24" s="2912" t="s">
        <v>3019</v>
      </c>
      <c r="H24" s="2912" t="s">
        <v>3068</v>
      </c>
      <c r="I24" s="2912">
        <v>1200</v>
      </c>
      <c r="J24" s="2912">
        <v>1256</v>
      </c>
      <c r="K24" s="2912">
        <v>5315.36</v>
      </c>
      <c r="L24" s="2912">
        <v>4.67</v>
      </c>
      <c r="M24" s="2912" t="s">
        <v>3069</v>
      </c>
    </row>
    <row r="25" spans="1:13">
      <c r="A25" s="2912" t="s">
        <v>3041</v>
      </c>
      <c r="B25" s="2912" t="s">
        <v>3016</v>
      </c>
      <c r="C25" s="2912" t="s">
        <v>3060</v>
      </c>
      <c r="D25" s="2912">
        <v>33337.599999999999</v>
      </c>
      <c r="E25" s="2912">
        <v>166688</v>
      </c>
      <c r="F25" s="2912" t="s">
        <v>3070</v>
      </c>
      <c r="G25" s="2912" t="s">
        <v>3019</v>
      </c>
      <c r="H25" s="2912" t="s">
        <v>3042</v>
      </c>
      <c r="I25" s="2912" t="s">
        <v>2818</v>
      </c>
      <c r="J25" s="2912">
        <v>38421.58</v>
      </c>
      <c r="K25" s="2912">
        <v>2305</v>
      </c>
      <c r="L25" s="2912" t="s">
        <v>2818</v>
      </c>
      <c r="M25" s="2912" t="s">
        <v>3043</v>
      </c>
    </row>
    <row r="26" spans="1:13">
      <c r="A26" s="2912" t="s">
        <v>3071</v>
      </c>
      <c r="B26" s="2912" t="s">
        <v>3016</v>
      </c>
      <c r="C26" s="2912" t="s">
        <v>3060</v>
      </c>
      <c r="D26" s="2912">
        <v>80571.39</v>
      </c>
      <c r="E26" s="2912">
        <v>120857.1</v>
      </c>
      <c r="F26" s="2912" t="s">
        <v>3072</v>
      </c>
      <c r="G26" s="2912" t="s">
        <v>3019</v>
      </c>
      <c r="H26" s="2912" t="s">
        <v>3073</v>
      </c>
      <c r="I26" s="2912">
        <v>540</v>
      </c>
      <c r="J26" s="2912">
        <v>562</v>
      </c>
      <c r="K26" s="2912">
        <v>46.5</v>
      </c>
      <c r="L26" s="2912">
        <v>4.07</v>
      </c>
      <c r="M26" s="2912" t="s">
        <v>3074</v>
      </c>
    </row>
    <row r="27" spans="1:13">
      <c r="A27" s="2912" t="s">
        <v>3075</v>
      </c>
      <c r="B27" s="2912" t="s">
        <v>3016</v>
      </c>
      <c r="C27" s="2912" t="s">
        <v>3060</v>
      </c>
      <c r="D27" s="2912">
        <v>93318.47</v>
      </c>
      <c r="E27" s="2912">
        <v>139977.70000000001</v>
      </c>
      <c r="F27" s="2912" t="s">
        <v>3072</v>
      </c>
      <c r="G27" s="2912" t="s">
        <v>3019</v>
      </c>
      <c r="H27" s="2912" t="s">
        <v>3073</v>
      </c>
      <c r="I27" s="2912">
        <v>1660</v>
      </c>
      <c r="J27" s="2912">
        <v>1718</v>
      </c>
      <c r="K27" s="2912">
        <v>122.73</v>
      </c>
      <c r="L27" s="2912">
        <v>3.49</v>
      </c>
      <c r="M27" s="2912" t="s">
        <v>3074</v>
      </c>
    </row>
    <row r="28" spans="1:13">
      <c r="A28" s="2912" t="s">
        <v>3076</v>
      </c>
      <c r="B28" s="2912" t="s">
        <v>3016</v>
      </c>
      <c r="C28" s="2912" t="s">
        <v>3060</v>
      </c>
      <c r="D28" s="2912">
        <v>41392.5</v>
      </c>
      <c r="E28" s="2912">
        <v>114243.3</v>
      </c>
      <c r="F28" s="2912" t="s">
        <v>3077</v>
      </c>
      <c r="G28" s="2912" t="s">
        <v>3019</v>
      </c>
      <c r="H28" s="2912" t="s">
        <v>3078</v>
      </c>
      <c r="I28" s="2912" t="s">
        <v>2818</v>
      </c>
      <c r="J28" s="2912">
        <v>17673.43</v>
      </c>
      <c r="K28" s="2912">
        <v>1547</v>
      </c>
      <c r="L28" s="2912" t="s">
        <v>2818</v>
      </c>
      <c r="M28" s="2912" t="s">
        <v>3079</v>
      </c>
    </row>
    <row r="29" spans="1:13">
      <c r="A29" s="2912" t="s">
        <v>3080</v>
      </c>
      <c r="B29" s="2912" t="s">
        <v>3016</v>
      </c>
      <c r="C29" s="2912" t="s">
        <v>3060</v>
      </c>
      <c r="D29" s="2912">
        <v>45681.599999999999</v>
      </c>
      <c r="E29" s="2912">
        <v>182726.39999999999</v>
      </c>
      <c r="F29" s="2912" t="s">
        <v>3081</v>
      </c>
      <c r="G29" s="2912" t="s">
        <v>3026</v>
      </c>
      <c r="H29" s="2912" t="s">
        <v>3082</v>
      </c>
      <c r="I29" s="2912" t="s">
        <v>2818</v>
      </c>
      <c r="J29" s="2912">
        <v>30040.22</v>
      </c>
      <c r="K29" s="2912">
        <v>1644</v>
      </c>
      <c r="L29" s="2912" t="s">
        <v>2818</v>
      </c>
      <c r="M29" s="2912" t="s">
        <v>3080</v>
      </c>
    </row>
    <row r="30" spans="1:13">
      <c r="A30" s="2912" t="s">
        <v>3083</v>
      </c>
      <c r="B30" s="2912" t="s">
        <v>3016</v>
      </c>
      <c r="C30" s="2912" t="s">
        <v>3060</v>
      </c>
      <c r="D30" s="2912">
        <v>218212.8</v>
      </c>
      <c r="E30" s="2912">
        <v>763744.8</v>
      </c>
      <c r="F30" s="2912" t="s">
        <v>3084</v>
      </c>
      <c r="G30" s="2912" t="s">
        <v>3019</v>
      </c>
      <c r="H30" s="2912" t="s">
        <v>3085</v>
      </c>
      <c r="I30" s="2912">
        <v>22800</v>
      </c>
      <c r="J30" s="2912">
        <v>22800</v>
      </c>
      <c r="K30" s="2912">
        <v>298.52</v>
      </c>
      <c r="L30" s="2912">
        <v>0</v>
      </c>
      <c r="M30" s="2912" t="s">
        <v>3056</v>
      </c>
    </row>
    <row r="31" spans="1:13">
      <c r="A31" s="2912" t="s">
        <v>3086</v>
      </c>
      <c r="B31" s="2912" t="s">
        <v>3016</v>
      </c>
      <c r="C31" s="2912" t="s">
        <v>3060</v>
      </c>
      <c r="D31" s="2912">
        <v>69867.600000000006</v>
      </c>
      <c r="E31" s="2912">
        <v>244536.6</v>
      </c>
      <c r="F31" s="2912" t="s">
        <v>3084</v>
      </c>
      <c r="G31" s="2912" t="s">
        <v>3019</v>
      </c>
      <c r="H31" s="2912" t="s">
        <v>3055</v>
      </c>
      <c r="I31" s="2912">
        <v>8700</v>
      </c>
      <c r="J31" s="2912">
        <v>8700</v>
      </c>
      <c r="K31" s="2912">
        <v>355.76</v>
      </c>
      <c r="L31" s="2912">
        <v>0</v>
      </c>
      <c r="M31" s="2912" t="s">
        <v>3056</v>
      </c>
    </row>
    <row r="32" spans="1:13">
      <c r="A32" s="2912" t="s">
        <v>3087</v>
      </c>
      <c r="B32" s="2912" t="s">
        <v>3016</v>
      </c>
      <c r="C32" s="2912" t="s">
        <v>3060</v>
      </c>
      <c r="D32" s="2912">
        <v>212226.6</v>
      </c>
      <c r="E32" s="2912">
        <v>636679.80000000005</v>
      </c>
      <c r="F32" s="2912" t="s">
        <v>3088</v>
      </c>
      <c r="G32" s="2912" t="s">
        <v>3019</v>
      </c>
      <c r="H32" s="2912" t="s">
        <v>3055</v>
      </c>
      <c r="I32" s="2912">
        <v>19100</v>
      </c>
      <c r="J32" s="2912">
        <v>19100</v>
      </c>
      <c r="K32" s="2912">
        <v>299.99</v>
      </c>
      <c r="L32" s="2912">
        <v>0</v>
      </c>
      <c r="M32" s="2912" t="s">
        <v>3056</v>
      </c>
    </row>
    <row r="33" spans="1:13">
      <c r="A33" s="2912" t="s">
        <v>3089</v>
      </c>
      <c r="B33" s="2912" t="s">
        <v>3016</v>
      </c>
      <c r="C33" s="2912" t="s">
        <v>3060</v>
      </c>
      <c r="D33" s="2912">
        <v>70612.3</v>
      </c>
      <c r="E33" s="2912">
        <v>247143</v>
      </c>
      <c r="F33" s="2912" t="s">
        <v>3084</v>
      </c>
      <c r="G33" s="2912" t="s">
        <v>3019</v>
      </c>
      <c r="H33" s="2912" t="s">
        <v>3090</v>
      </c>
      <c r="I33" s="2912">
        <v>18500</v>
      </c>
      <c r="J33" s="2912">
        <v>18500</v>
      </c>
      <c r="K33" s="2912">
        <v>748.54</v>
      </c>
      <c r="L33" s="2912">
        <v>0</v>
      </c>
      <c r="M33" s="2912" t="s">
        <v>3091</v>
      </c>
    </row>
    <row r="34" spans="1:13">
      <c r="A34" s="2912" t="s">
        <v>3092</v>
      </c>
      <c r="B34" s="2912" t="s">
        <v>3016</v>
      </c>
      <c r="C34" s="2912" t="s">
        <v>3060</v>
      </c>
      <c r="D34" s="2912">
        <v>66947.8</v>
      </c>
      <c r="E34" s="2912">
        <v>234317.3</v>
      </c>
      <c r="F34" s="2912" t="s">
        <v>3093</v>
      </c>
      <c r="G34" s="2912" t="s">
        <v>3019</v>
      </c>
      <c r="H34" s="2912" t="s">
        <v>3094</v>
      </c>
      <c r="I34" s="2912">
        <v>27500</v>
      </c>
      <c r="J34" s="2912">
        <v>27500</v>
      </c>
      <c r="K34" s="2912">
        <v>1173.6099999999999</v>
      </c>
      <c r="L34" s="2912">
        <v>0</v>
      </c>
      <c r="M34" s="2912" t="s">
        <v>3095</v>
      </c>
    </row>
    <row r="35" spans="1:13">
      <c r="A35" s="2912" t="s">
        <v>3096</v>
      </c>
      <c r="B35" s="2912" t="s">
        <v>3016</v>
      </c>
      <c r="C35" s="2912" t="s">
        <v>3060</v>
      </c>
      <c r="D35" s="2912">
        <v>2204.8000000000002</v>
      </c>
      <c r="E35" s="2912">
        <v>661.44</v>
      </c>
      <c r="F35" s="2912" t="s">
        <v>3097</v>
      </c>
      <c r="G35" s="2912" t="s">
        <v>3019</v>
      </c>
      <c r="H35" s="2912" t="s">
        <v>3098</v>
      </c>
      <c r="I35" s="2912">
        <v>2000</v>
      </c>
      <c r="J35" s="2912">
        <v>2000</v>
      </c>
      <c r="K35" s="2912">
        <v>30237.06</v>
      </c>
      <c r="L35" s="2912">
        <v>0</v>
      </c>
      <c r="M35" s="2912" t="s">
        <v>3099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15" sqref="C15"/>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23383</v>
      </c>
      <c r="C2" s="2100"/>
      <c r="D2" s="2100"/>
      <c r="E2" s="2100"/>
      <c r="F2" s="2100"/>
      <c r="G2" s="2100"/>
      <c r="H2" s="2100"/>
      <c r="I2" s="2100"/>
      <c r="J2" s="2100"/>
      <c r="K2" s="2100"/>
    </row>
    <row r="3" spans="1:31" s="2037" customFormat="1" ht="18" customHeight="1">
      <c r="A3" s="2102" t="s">
        <v>1685</v>
      </c>
      <c r="B3" s="2103">
        <f ca="1">ROUND(B2*10000/IF(B1="",'数据-汇总表'!E3,INDIRECT("'数据-取费表'!K"&amp;$K$1)),0)</f>
        <v>4611</v>
      </c>
      <c r="C3" s="2100"/>
      <c r="D3" s="2100"/>
      <c r="E3" s="2100"/>
      <c r="F3" s="2100"/>
      <c r="G3" s="2100"/>
      <c r="H3" s="2100"/>
      <c r="I3" s="2100"/>
      <c r="J3" s="2100"/>
      <c r="K3" s="2100"/>
    </row>
    <row r="4" spans="1:31" s="2037" customFormat="1" ht="18" customHeight="1">
      <c r="A4" s="426" t="s">
        <v>468</v>
      </c>
      <c r="B4" s="427">
        <f ca="1">ROUND(B2*10000/IF(B1="",'数据-汇总表'!D3,INDIRECT("'数据-取费表'!R"&amp;$K$1)),0)</f>
        <v>20936</v>
      </c>
      <c r="C4" s="428"/>
      <c r="D4" s="422"/>
      <c r="E4" s="422"/>
      <c r="F4" s="422"/>
      <c r="G4" s="422"/>
      <c r="H4" s="422"/>
      <c r="I4" s="422"/>
      <c r="J4" s="422"/>
      <c r="K4" s="422"/>
    </row>
    <row r="5" spans="1:31" s="2037" customFormat="1" ht="18" customHeight="1" thickBot="1">
      <c r="A5" s="429"/>
      <c r="B5" s="430">
        <f ca="1">ROUND(B2/(IF(B1="",'数据-汇总表'!D3,INDIRECT("'数据-取费表'!R"&amp;$K$1))/666.67),0)</f>
        <v>1396</v>
      </c>
      <c r="C5" s="431" t="s">
        <v>469</v>
      </c>
      <c r="D5" s="422"/>
      <c r="E5" s="422"/>
      <c r="F5" s="422"/>
      <c r="G5" s="422"/>
      <c r="H5" s="422"/>
      <c r="I5" s="422"/>
      <c r="J5" s="422"/>
      <c r="K5" s="422"/>
    </row>
    <row r="6" spans="1:31" s="2107" customFormat="1" ht="16.5" customHeight="1">
      <c r="A6" s="2802" t="s">
        <v>1843</v>
      </c>
      <c r="B6" s="2803"/>
      <c r="C6" s="2804">
        <f ca="1">SUM(C10:K10)</f>
        <v>51053</v>
      </c>
      <c r="D6" s="2803"/>
      <c r="E6" s="2803"/>
      <c r="F6" s="2803"/>
      <c r="G6" s="2803"/>
      <c r="H6" s="2803"/>
      <c r="I6" s="2803"/>
      <c r="J6" s="2803"/>
      <c r="K6" s="2805"/>
    </row>
    <row r="7" spans="1:31" s="2109" customFormat="1" ht="15">
      <c r="A7" s="2806" t="s">
        <v>470</v>
      </c>
      <c r="B7" s="2807" t="s">
        <v>471</v>
      </c>
      <c r="C7" s="436" t="s">
        <v>923</v>
      </c>
      <c r="D7" s="436" t="s">
        <v>3002</v>
      </c>
      <c r="E7" s="436" t="s">
        <v>35</v>
      </c>
      <c r="F7" s="436" t="s">
        <v>3215</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14417</v>
      </c>
      <c r="D8" s="2808">
        <f>'不动产比较法-商业'!B3</f>
        <v>23909</v>
      </c>
      <c r="E8" s="2808">
        <f ca="1">'不动产收益法-车库'!B3</f>
        <v>624</v>
      </c>
      <c r="F8" s="2808">
        <f>'不动产比较法-公寓'!B3</f>
        <v>12997</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15691</v>
      </c>
      <c r="D10" s="2999">
        <f>'不动产比较法-商业'!B2</f>
        <v>2725</v>
      </c>
      <c r="E10" s="2999">
        <f ca="1">'不动产收益法-车库'!B2</f>
        <v>870</v>
      </c>
      <c r="F10" s="2811">
        <f>'不动产比较法-公寓'!B2</f>
        <v>31767</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12951</v>
      </c>
      <c r="D13" s="2818"/>
      <c r="E13" s="2819"/>
      <c r="F13" s="2820"/>
      <c r="G13" s="2786"/>
      <c r="H13" s="2787"/>
      <c r="I13" s="2787"/>
      <c r="J13" s="2787"/>
      <c r="K13" s="2788"/>
    </row>
    <row r="14" spans="1:31" s="2112" customFormat="1" ht="13.5" customHeight="1">
      <c r="A14" s="2816" t="s">
        <v>1850</v>
      </c>
      <c r="B14" s="2817" t="s">
        <v>480</v>
      </c>
      <c r="C14" s="53">
        <f ca="1">ROUND(C13*F14,0)</f>
        <v>518</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14576</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300</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1021</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775</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775</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2723</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19807</v>
      </c>
      <c r="D30" s="477">
        <f ca="1">C32</f>
        <v>0.12909999999999999</v>
      </c>
      <c r="E30" s="469" t="s">
        <v>495</v>
      </c>
      <c r="F30" s="471"/>
      <c r="G30" s="2794" t="s">
        <v>2976</v>
      </c>
      <c r="H30" s="2787"/>
      <c r="I30" s="2787"/>
      <c r="J30" s="2787"/>
      <c r="K30" s="2788"/>
    </row>
    <row r="31" spans="1:14" s="2116" customFormat="1" ht="13.5" customHeight="1">
      <c r="A31" s="803" t="s">
        <v>1857</v>
      </c>
      <c r="B31" s="2832"/>
      <c r="C31" s="450">
        <f ca="1">C18+C19+C20+C23+C24+C26+C29</f>
        <v>19807</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1957</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1957</v>
      </c>
      <c r="D35" s="1625"/>
      <c r="E35" s="2838"/>
      <c r="F35" s="1626"/>
      <c r="G35" s="2796"/>
      <c r="H35" s="2797"/>
      <c r="I35" s="2797"/>
      <c r="J35" s="2797"/>
      <c r="K35" s="2798"/>
    </row>
    <row r="36" spans="1:11" s="2081" customFormat="1" ht="13.5" customHeight="1" thickBot="1">
      <c r="A36" s="284" t="s">
        <v>1845</v>
      </c>
      <c r="B36" s="2800"/>
      <c r="C36" s="2839">
        <f ca="1">ROUND((C6-C30-C33)/(1+D30+D33),0)</f>
        <v>23383</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12951</v>
      </c>
      <c r="D13" s="451"/>
      <c r="E13" s="365"/>
      <c r="F13" s="452"/>
      <c r="G13" s="444"/>
      <c r="H13" s="447"/>
      <c r="I13" s="447"/>
      <c r="J13" s="447"/>
      <c r="K13" s="448"/>
    </row>
    <row r="14" spans="1:41" s="2112" customFormat="1" ht="13.5" customHeight="1">
      <c r="A14" s="1629" t="s">
        <v>1850</v>
      </c>
      <c r="B14" s="449" t="s">
        <v>480</v>
      </c>
      <c r="C14" s="53">
        <f ca="1">ROUND(C13*F14,0)</f>
        <v>518</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14576</v>
      </c>
      <c r="D18" s="461"/>
      <c r="E18" s="462"/>
      <c r="F18" s="462"/>
      <c r="G18" s="1323" t="s">
        <v>2433</v>
      </c>
      <c r="H18" s="447"/>
      <c r="I18" s="447"/>
      <c r="J18" s="447"/>
      <c r="K18" s="448"/>
    </row>
    <row r="19" spans="1:14" s="2115" customFormat="1" ht="13.5" customHeight="1">
      <c r="A19" s="1630" t="s">
        <v>1855</v>
      </c>
      <c r="B19" s="459" t="s">
        <v>493</v>
      </c>
      <c r="C19" s="460">
        <f ca="1">ROUND(C18*F19,0)</f>
        <v>292</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706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706</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1784</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1784</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18800</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79" t="s">
        <v>522</v>
      </c>
      <c r="D6" s="3580"/>
      <c r="E6" s="3603" t="s">
        <v>523</v>
      </c>
      <c r="F6" s="3604"/>
      <c r="G6" s="3579" t="s">
        <v>524</v>
      </c>
      <c r="H6" s="3580"/>
      <c r="I6" s="3579" t="s">
        <v>525</v>
      </c>
      <c r="J6" s="3580"/>
      <c r="K6" s="514" t="s">
        <v>526</v>
      </c>
      <c r="L6" s="2129"/>
      <c r="M6" s="2130"/>
      <c r="N6" s="2130"/>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29" ht="15">
      <c r="A7" s="515"/>
      <c r="B7" s="516"/>
      <c r="C7" s="3590" t="s">
        <v>2931</v>
      </c>
      <c r="D7" s="3591"/>
      <c r="E7" s="3605" t="s">
        <v>2932</v>
      </c>
      <c r="F7" s="3606"/>
      <c r="G7" s="3590" t="s">
        <v>2933</v>
      </c>
      <c r="H7" s="3591"/>
      <c r="I7" s="3590" t="s">
        <v>2934</v>
      </c>
      <c r="J7" s="3591"/>
      <c r="K7" s="514"/>
      <c r="L7" s="2129"/>
      <c r="M7" s="2130"/>
      <c r="N7" s="2130"/>
      <c r="O7" s="2130"/>
      <c r="P7" s="3583"/>
      <c r="Q7" s="3584"/>
      <c r="R7" s="3569"/>
      <c r="S7" s="3570"/>
      <c r="T7" s="3569"/>
      <c r="U7" s="3570"/>
      <c r="V7" s="3587"/>
      <c r="W7" s="3587"/>
      <c r="X7" s="1563"/>
      <c r="Y7" s="3569"/>
      <c r="Z7" s="3570"/>
      <c r="AA7" s="3563"/>
      <c r="AB7" s="3563"/>
      <c r="AC7" s="3563"/>
    </row>
    <row r="8" spans="1:29" ht="15.75" thickBot="1">
      <c r="A8" s="517"/>
      <c r="B8" s="518"/>
      <c r="C8" s="3588" t="s">
        <v>2935</v>
      </c>
      <c r="D8" s="3589"/>
      <c r="E8" s="3607" t="s">
        <v>2935</v>
      </c>
      <c r="F8" s="3608"/>
      <c r="G8" s="3588" t="s">
        <v>2935</v>
      </c>
      <c r="H8" s="3589"/>
      <c r="I8" s="3588" t="s">
        <v>2935</v>
      </c>
      <c r="J8" s="3589"/>
      <c r="K8" s="514" t="s">
        <v>528</v>
      </c>
      <c r="L8" s="2129"/>
      <c r="M8" s="2130"/>
      <c r="N8" s="2130"/>
      <c r="O8" s="2130"/>
      <c r="P8" s="3585"/>
      <c r="Q8" s="3586"/>
      <c r="R8" s="3569"/>
      <c r="S8" s="3570"/>
      <c r="T8" s="3571"/>
      <c r="U8" s="3572"/>
      <c r="V8" s="3587"/>
      <c r="W8" s="3587"/>
      <c r="X8" s="1563"/>
      <c r="Y8" s="3571"/>
      <c r="Z8" s="3572"/>
      <c r="AA8" s="3564"/>
      <c r="AB8" s="3564"/>
      <c r="AC8" s="3564"/>
    </row>
    <row r="9" spans="1:29" s="1216" customFormat="1" ht="15.75" thickBot="1">
      <c r="A9" s="2885"/>
      <c r="B9" s="2892"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65" t="s">
        <v>530</v>
      </c>
      <c r="Q9" s="3574"/>
      <c r="R9" s="1564" t="s">
        <v>8</v>
      </c>
      <c r="S9" s="1565">
        <f t="shared" ref="S9:S17" si="0">F9</f>
        <v>0</v>
      </c>
      <c r="T9" s="1564" t="s">
        <v>8</v>
      </c>
      <c r="U9" s="1565">
        <f t="shared" ref="U9:U17" si="1">H9</f>
        <v>0</v>
      </c>
      <c r="V9" s="1564" t="s">
        <v>8</v>
      </c>
      <c r="W9" s="1565">
        <f t="shared" ref="W9:W17" si="2">J9</f>
        <v>0</v>
      </c>
      <c r="X9" s="1566"/>
      <c r="Y9" s="3565" t="s">
        <v>530</v>
      </c>
      <c r="Z9" s="3566"/>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65" t="s">
        <v>533</v>
      </c>
      <c r="Q10" s="3566"/>
      <c r="R10" s="1564" t="s">
        <v>8</v>
      </c>
      <c r="S10" s="1565">
        <f t="shared" si="0"/>
        <v>0</v>
      </c>
      <c r="T10" s="1564" t="s">
        <v>8</v>
      </c>
      <c r="U10" s="1565">
        <f t="shared" si="1"/>
        <v>0</v>
      </c>
      <c r="V10" s="1564" t="s">
        <v>8</v>
      </c>
      <c r="W10" s="1565">
        <f t="shared" si="2"/>
        <v>0</v>
      </c>
      <c r="X10" s="1566"/>
      <c r="Y10" s="3565" t="s">
        <v>533</v>
      </c>
      <c r="Z10" s="3566"/>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73" t="s">
        <v>535</v>
      </c>
      <c r="Q11" s="1147" t="str">
        <f t="shared" ref="Q11:Q17" si="6">B11</f>
        <v>用途</v>
      </c>
      <c r="R11" s="1564" t="s">
        <v>8</v>
      </c>
      <c r="S11" s="1565">
        <f t="shared" si="0"/>
        <v>100</v>
      </c>
      <c r="T11" s="1564" t="s">
        <v>8</v>
      </c>
      <c r="U11" s="1565">
        <f t="shared" si="1"/>
        <v>100</v>
      </c>
      <c r="V11" s="1564" t="s">
        <v>8</v>
      </c>
      <c r="W11" s="1565">
        <f t="shared" si="2"/>
        <v>100</v>
      </c>
      <c r="X11" s="1566"/>
      <c r="Y11" s="3530"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73"/>
      <c r="Q13" s="1147" t="str">
        <f t="shared" si="6"/>
        <v>容积率</v>
      </c>
      <c r="R13" s="1564" t="s">
        <v>8</v>
      </c>
      <c r="S13" s="1565" t="e">
        <f t="shared" si="0"/>
        <v>#N/A</v>
      </c>
      <c r="T13" s="1564" t="s">
        <v>8</v>
      </c>
      <c r="U13" s="1565" t="e">
        <f t="shared" si="1"/>
        <v>#N/A</v>
      </c>
      <c r="V13" s="1564" t="s">
        <v>8</v>
      </c>
      <c r="W13" s="1565" t="e">
        <f t="shared" si="2"/>
        <v>#N/A</v>
      </c>
      <c r="X13" s="1566"/>
      <c r="Y13" s="3530"/>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75" t="s">
        <v>540</v>
      </c>
      <c r="Q17" s="1568" t="str">
        <f t="shared" si="6"/>
        <v>产业集聚程度</v>
      </c>
      <c r="R17" s="1569" t="s">
        <v>8</v>
      </c>
      <c r="S17" s="1570">
        <f t="shared" si="0"/>
        <v>100</v>
      </c>
      <c r="T17" s="1569" t="s">
        <v>8</v>
      </c>
      <c r="U17" s="1570">
        <f t="shared" si="1"/>
        <v>100</v>
      </c>
      <c r="V17" s="1569" t="s">
        <v>8</v>
      </c>
      <c r="W17" s="1570">
        <f t="shared" si="2"/>
        <v>100</v>
      </c>
      <c r="X17" s="1563"/>
      <c r="Y17" s="3575"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76"/>
      <c r="Q18" s="1568"/>
      <c r="R18" s="1569"/>
      <c r="S18" s="1570"/>
      <c r="T18" s="1569"/>
      <c r="U18" s="1570"/>
      <c r="V18" s="1569"/>
      <c r="W18" s="1570"/>
      <c r="X18" s="1563"/>
      <c r="Y18" s="3576"/>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76"/>
      <c r="Q19" s="1568" t="str">
        <f>B19</f>
        <v>交通便捷度</v>
      </c>
      <c r="R19" s="1569" t="s">
        <v>8</v>
      </c>
      <c r="S19" s="1570">
        <f>F19</f>
        <v>100</v>
      </c>
      <c r="T19" s="1569" t="s">
        <v>8</v>
      </c>
      <c r="U19" s="1570">
        <f>H19</f>
        <v>100</v>
      </c>
      <c r="V19" s="1569" t="s">
        <v>8</v>
      </c>
      <c r="W19" s="1570">
        <f>J19</f>
        <v>100</v>
      </c>
      <c r="X19" s="1563"/>
      <c r="Y19" s="3576"/>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76"/>
      <c r="Q21" s="1568" t="str">
        <f t="shared" ref="Q21:Q35" si="8">B21</f>
        <v>区域土地利用方向</v>
      </c>
      <c r="R21" s="1569" t="s">
        <v>8</v>
      </c>
      <c r="S21" s="1570">
        <f>F21</f>
        <v>100</v>
      </c>
      <c r="T21" s="1569" t="s">
        <v>8</v>
      </c>
      <c r="U21" s="1570">
        <f>H21</f>
        <v>100</v>
      </c>
      <c r="V21" s="1569" t="s">
        <v>8</v>
      </c>
      <c r="W21" s="1570">
        <f>J21</f>
        <v>100</v>
      </c>
      <c r="X21" s="1563"/>
      <c r="Y21" s="3576"/>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76"/>
      <c r="Q22" s="1568"/>
      <c r="R22" s="1569"/>
      <c r="S22" s="1570"/>
      <c r="T22" s="1569"/>
      <c r="U22" s="1570"/>
      <c r="V22" s="1569"/>
      <c r="W22" s="1570"/>
      <c r="X22" s="1563"/>
      <c r="Y22" s="3576"/>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76"/>
      <c r="Q23" s="1568" t="str">
        <f t="shared" si="8"/>
        <v>环境状况</v>
      </c>
      <c r="R23" s="1569" t="s">
        <v>8</v>
      </c>
      <c r="S23" s="1570">
        <f>F23</f>
        <v>100</v>
      </c>
      <c r="T23" s="1569" t="s">
        <v>8</v>
      </c>
      <c r="U23" s="1570">
        <f>H23</f>
        <v>100</v>
      </c>
      <c r="V23" s="1569" t="s">
        <v>8</v>
      </c>
      <c r="W23" s="1570">
        <f>J23</f>
        <v>100</v>
      </c>
      <c r="X23" s="1563"/>
      <c r="Y23" s="3576"/>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76"/>
      <c r="Q24" s="1568"/>
      <c r="R24" s="1569"/>
      <c r="S24" s="1570"/>
      <c r="T24" s="1569"/>
      <c r="U24" s="1570"/>
      <c r="V24" s="1569"/>
      <c r="W24" s="1570"/>
      <c r="X24" s="1563"/>
      <c r="Y24" s="3576"/>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76"/>
      <c r="Q25" s="1147" t="str">
        <f t="shared" si="8"/>
        <v>公共配套设施</v>
      </c>
      <c r="R25" s="1564" t="s">
        <v>8</v>
      </c>
      <c r="S25" s="1565">
        <f>F25</f>
        <v>100</v>
      </c>
      <c r="T25" s="1564" t="s">
        <v>8</v>
      </c>
      <c r="U25" s="1565">
        <f>H25</f>
        <v>100</v>
      </c>
      <c r="V25" s="1564" t="s">
        <v>8</v>
      </c>
      <c r="W25" s="1565">
        <f>J25</f>
        <v>100</v>
      </c>
      <c r="X25" s="1566"/>
      <c r="Y25" s="3576"/>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76"/>
      <c r="Q26" s="1147"/>
      <c r="R26" s="1564"/>
      <c r="S26" s="1565"/>
      <c r="T26" s="1564"/>
      <c r="U26" s="1565"/>
      <c r="V26" s="1564"/>
      <c r="W26" s="1565"/>
      <c r="X26" s="1566"/>
      <c r="Y26" s="3576"/>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76"/>
      <c r="Q27" s="2553" t="str">
        <f t="shared" ref="Q27" si="9">B27</f>
        <v>基础设施水平</v>
      </c>
      <c r="R27" s="1564" t="s">
        <v>8</v>
      </c>
      <c r="S27" s="1565">
        <f>F27</f>
        <v>100</v>
      </c>
      <c r="T27" s="1564" t="s">
        <v>8</v>
      </c>
      <c r="U27" s="1565">
        <f>H27</f>
        <v>100</v>
      </c>
      <c r="V27" s="1564" t="s">
        <v>8</v>
      </c>
      <c r="W27" s="1565">
        <f>J27</f>
        <v>100</v>
      </c>
      <c r="X27" s="1566"/>
      <c r="Y27" s="3576"/>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76"/>
      <c r="Q28" s="2553"/>
      <c r="R28" s="1564"/>
      <c r="S28" s="1565"/>
      <c r="T28" s="1564"/>
      <c r="U28" s="1565"/>
      <c r="V28" s="1564"/>
      <c r="W28" s="1565"/>
      <c r="X28" s="1566"/>
      <c r="Y28" s="3576"/>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7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76"/>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76"/>
      <c r="Q30" s="1568" t="str">
        <f t="shared" si="8"/>
        <v>毗邻道路的类型与等级</v>
      </c>
      <c r="R30" s="1569" t="s">
        <v>8</v>
      </c>
      <c r="S30" s="1570">
        <f t="shared" si="10"/>
        <v>100</v>
      </c>
      <c r="T30" s="1569" t="s">
        <v>8</v>
      </c>
      <c r="U30" s="1570">
        <f t="shared" si="11"/>
        <v>100</v>
      </c>
      <c r="V30" s="1569" t="s">
        <v>8</v>
      </c>
      <c r="W30" s="1570">
        <f t="shared" si="12"/>
        <v>100</v>
      </c>
      <c r="X30" s="1563"/>
      <c r="Y30" s="3576"/>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76"/>
      <c r="Q31" s="1568"/>
      <c r="R31" s="1569"/>
      <c r="S31" s="1570"/>
      <c r="T31" s="1569"/>
      <c r="U31" s="1570"/>
      <c r="V31" s="1569"/>
      <c r="W31" s="1570"/>
      <c r="X31" s="1563"/>
      <c r="Y31" s="3576"/>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76"/>
      <c r="Q32" s="1568" t="str">
        <f t="shared" si="8"/>
        <v>土地级别</v>
      </c>
      <c r="R32" s="1569" t="s">
        <v>8</v>
      </c>
      <c r="S32" s="1570">
        <f t="shared" si="10"/>
        <v>100</v>
      </c>
      <c r="T32" s="1569" t="s">
        <v>8</v>
      </c>
      <c r="U32" s="1570">
        <f t="shared" si="11"/>
        <v>100</v>
      </c>
      <c r="V32" s="1569" t="s">
        <v>8</v>
      </c>
      <c r="W32" s="1570">
        <f t="shared" si="12"/>
        <v>100</v>
      </c>
      <c r="X32" s="1563"/>
      <c r="Y32" s="3576"/>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76"/>
      <c r="Q33" s="1568">
        <f t="shared" si="8"/>
        <v>111</v>
      </c>
      <c r="R33" s="1569" t="s">
        <v>8</v>
      </c>
      <c r="S33" s="1570">
        <f t="shared" si="10"/>
        <v>100</v>
      </c>
      <c r="T33" s="1569" t="s">
        <v>8</v>
      </c>
      <c r="U33" s="1570">
        <f t="shared" si="11"/>
        <v>100</v>
      </c>
      <c r="V33" s="1569" t="s">
        <v>8</v>
      </c>
      <c r="W33" s="1570">
        <f t="shared" si="12"/>
        <v>100</v>
      </c>
      <c r="X33" s="1563"/>
      <c r="Y33" s="3576"/>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77" t="s">
        <v>550</v>
      </c>
      <c r="Q34" s="1568">
        <f t="shared" si="8"/>
        <v>111</v>
      </c>
      <c r="R34" s="1569" t="s">
        <v>8</v>
      </c>
      <c r="S34" s="1570">
        <f t="shared" si="10"/>
        <v>100</v>
      </c>
      <c r="T34" s="1569" t="s">
        <v>8</v>
      </c>
      <c r="U34" s="1570">
        <f t="shared" si="11"/>
        <v>100</v>
      </c>
      <c r="V34" s="1569" t="s">
        <v>8</v>
      </c>
      <c r="W34" s="1570">
        <f t="shared" si="12"/>
        <v>100</v>
      </c>
      <c r="X34" s="1563"/>
      <c r="Y34" s="3578"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78"/>
      <c r="Q35" s="1568">
        <f t="shared" si="8"/>
        <v>111</v>
      </c>
      <c r="R35" s="1573" t="s">
        <v>8</v>
      </c>
      <c r="S35" s="1574">
        <f t="shared" si="10"/>
        <v>100</v>
      </c>
      <c r="T35" s="1573" t="s">
        <v>8</v>
      </c>
      <c r="U35" s="1574">
        <f t="shared" si="11"/>
        <v>100</v>
      </c>
      <c r="V35" s="1573" t="s">
        <v>8</v>
      </c>
      <c r="W35" s="1574">
        <f t="shared" si="12"/>
        <v>100</v>
      </c>
      <c r="X35" s="1575"/>
      <c r="Y35" s="3578"/>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78"/>
      <c r="Q36" s="1568" t="str">
        <f>B36</f>
        <v>宗地面积</v>
      </c>
      <c r="R36" s="1569" t="s">
        <v>8</v>
      </c>
      <c r="S36" s="1570" t="e">
        <f t="shared" si="10"/>
        <v>#N/A</v>
      </c>
      <c r="T36" s="1569" t="s">
        <v>8</v>
      </c>
      <c r="U36" s="1570" t="e">
        <f t="shared" si="11"/>
        <v>#N/A</v>
      </c>
      <c r="V36" s="1569" t="s">
        <v>8</v>
      </c>
      <c r="W36" s="1570" t="e">
        <f t="shared" si="12"/>
        <v>#N/A</v>
      </c>
      <c r="X36" s="1563"/>
      <c r="Y36" s="3578"/>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78"/>
      <c r="Q37" s="1568" t="str">
        <f t="shared" ref="Q37:Q42" si="14">B37</f>
        <v>宗地形状</v>
      </c>
      <c r="R37" s="1569" t="s">
        <v>8</v>
      </c>
      <c r="S37" s="1570">
        <f t="shared" si="10"/>
        <v>100</v>
      </c>
      <c r="T37" s="1569" t="s">
        <v>8</v>
      </c>
      <c r="U37" s="1570">
        <f t="shared" si="11"/>
        <v>100</v>
      </c>
      <c r="V37" s="1569" t="s">
        <v>8</v>
      </c>
      <c r="W37" s="1570">
        <f t="shared" si="12"/>
        <v>100</v>
      </c>
      <c r="X37" s="1563"/>
      <c r="Y37" s="3578"/>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78"/>
      <c r="Q38" s="1568" t="str">
        <f t="shared" si="14"/>
        <v>宗地开发程度</v>
      </c>
      <c r="R38" s="1564" t="s">
        <v>8</v>
      </c>
      <c r="S38" s="1565">
        <f t="shared" si="10"/>
        <v>100</v>
      </c>
      <c r="T38" s="1564" t="s">
        <v>8</v>
      </c>
      <c r="U38" s="1565">
        <f t="shared" si="11"/>
        <v>100</v>
      </c>
      <c r="V38" s="1564" t="s">
        <v>8</v>
      </c>
      <c r="W38" s="1565">
        <f t="shared" si="12"/>
        <v>100</v>
      </c>
      <c r="X38" s="1566"/>
      <c r="Y38" s="3578"/>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78" t="s">
        <v>601</v>
      </c>
      <c r="Q39" s="1568" t="str">
        <f t="shared" si="14"/>
        <v>工程地质条件</v>
      </c>
      <c r="R39" s="1569" t="s">
        <v>8</v>
      </c>
      <c r="S39" s="1570">
        <f t="shared" si="10"/>
        <v>100</v>
      </c>
      <c r="T39" s="1569" t="s">
        <v>8</v>
      </c>
      <c r="U39" s="1570">
        <f t="shared" si="11"/>
        <v>100</v>
      </c>
      <c r="V39" s="1569" t="s">
        <v>8</v>
      </c>
      <c r="W39" s="1570">
        <f t="shared" si="12"/>
        <v>100</v>
      </c>
      <c r="X39" s="1563"/>
      <c r="Y39" s="3578"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78"/>
      <c r="Q40" s="1568">
        <f t="shared" si="14"/>
        <v>111</v>
      </c>
      <c r="R40" s="1569" t="s">
        <v>8</v>
      </c>
      <c r="S40" s="1570">
        <f t="shared" si="10"/>
        <v>100</v>
      </c>
      <c r="T40" s="1569" t="s">
        <v>8</v>
      </c>
      <c r="U40" s="1570">
        <f t="shared" si="11"/>
        <v>100</v>
      </c>
      <c r="V40" s="1569" t="s">
        <v>8</v>
      </c>
      <c r="W40" s="1570">
        <f t="shared" si="12"/>
        <v>100</v>
      </c>
      <c r="X40" s="1563"/>
      <c r="Y40" s="3578"/>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78"/>
      <c r="Q41" s="1568">
        <f t="shared" si="14"/>
        <v>111</v>
      </c>
      <c r="R41" s="1569" t="s">
        <v>8</v>
      </c>
      <c r="S41" s="1570">
        <f t="shared" si="10"/>
        <v>100</v>
      </c>
      <c r="T41" s="1569" t="s">
        <v>8</v>
      </c>
      <c r="U41" s="1570">
        <f t="shared" si="11"/>
        <v>100</v>
      </c>
      <c r="V41" s="1569" t="s">
        <v>8</v>
      </c>
      <c r="W41" s="1570">
        <f t="shared" si="12"/>
        <v>100</v>
      </c>
      <c r="X41" s="1563"/>
      <c r="Y41" s="3578"/>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78"/>
      <c r="Q42" s="1568">
        <f t="shared" si="14"/>
        <v>111</v>
      </c>
      <c r="R42" s="1573" t="s">
        <v>8</v>
      </c>
      <c r="S42" s="1574">
        <f t="shared" si="10"/>
        <v>100</v>
      </c>
      <c r="T42" s="1573" t="s">
        <v>8</v>
      </c>
      <c r="U42" s="1574">
        <f t="shared" si="11"/>
        <v>100</v>
      </c>
      <c r="V42" s="1573" t="s">
        <v>8</v>
      </c>
      <c r="W42" s="1574">
        <f t="shared" si="12"/>
        <v>100</v>
      </c>
      <c r="X42" s="1575"/>
      <c r="Y42" s="3578"/>
      <c r="Z42" s="1576">
        <f t="shared" si="13"/>
        <v>111</v>
      </c>
      <c r="AA42" s="1572">
        <f t="shared" si="3"/>
        <v>1</v>
      </c>
      <c r="AB42" s="1572">
        <f t="shared" si="4"/>
        <v>1</v>
      </c>
      <c r="AC42" s="1572">
        <f t="shared" si="5"/>
        <v>1</v>
      </c>
    </row>
    <row r="43" spans="1:29" ht="15">
      <c r="A43" s="607" t="s">
        <v>556</v>
      </c>
      <c r="B43" s="608" t="s">
        <v>2936</v>
      </c>
      <c r="C43" s="609" t="s">
        <v>1</v>
      </c>
      <c r="D43" s="610"/>
      <c r="E43" s="611"/>
      <c r="F43" s="612"/>
      <c r="G43" s="613"/>
      <c r="H43" s="614"/>
      <c r="I43" s="611"/>
      <c r="J43" s="614"/>
      <c r="K43" s="1336"/>
      <c r="L43" s="2140"/>
      <c r="M43" s="2130"/>
      <c r="N43" s="2130"/>
      <c r="O43" s="2141"/>
      <c r="P43" s="3573" t="str">
        <f>A43</f>
        <v>成交单价</v>
      </c>
      <c r="Q43" s="3573"/>
      <c r="R43" s="3587">
        <f>E43</f>
        <v>0</v>
      </c>
      <c r="S43" s="3587"/>
      <c r="T43" s="3587">
        <f>G43</f>
        <v>0</v>
      </c>
      <c r="U43" s="3587"/>
      <c r="V43" s="3587">
        <f>I43</f>
        <v>0</v>
      </c>
      <c r="W43" s="3587"/>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73" t="str">
        <f>A44</f>
        <v>比较价格（元/平方米）</v>
      </c>
      <c r="Q44" s="3573"/>
      <c r="R44" s="3597" t="e">
        <f>ROUND(PRODUCT(R43,AA9:AA42),0)</f>
        <v>#DIV/0!</v>
      </c>
      <c r="S44" s="3597"/>
      <c r="T44" s="3597" t="e">
        <f>ROUND(PRODUCT(T43,AB9:AB42),0)</f>
        <v>#DIV/0!</v>
      </c>
      <c r="U44" s="3597"/>
      <c r="V44" s="3597" t="e">
        <f>ROUND(PRODUCT(V43,AC9:AC42),0)</f>
        <v>#DIV/0!</v>
      </c>
      <c r="W44" s="3597"/>
      <c r="X44" s="1555"/>
      <c r="Y44" s="1555"/>
      <c r="Z44" s="1555"/>
      <c r="AA44" s="1555"/>
      <c r="AB44" s="1555"/>
      <c r="AC44" s="1555"/>
    </row>
    <row r="45" spans="1:29" ht="15.75" thickBot="1">
      <c r="A45" s="621" t="s">
        <v>2937</v>
      </c>
      <c r="B45" s="622"/>
      <c r="C45" s="623" t="e">
        <f>R45</f>
        <v>#DIV/0!</v>
      </c>
      <c r="D45" s="623"/>
      <c r="E45" s="623"/>
      <c r="F45" s="623"/>
      <c r="G45" s="623"/>
      <c r="H45" s="623"/>
      <c r="I45" s="623"/>
      <c r="J45" s="623"/>
      <c r="K45" s="1338"/>
      <c r="L45" s="2140"/>
      <c r="M45" s="2130"/>
      <c r="N45" s="2130"/>
      <c r="O45" s="2141"/>
      <c r="P45" s="3594" t="str">
        <f>A45</f>
        <v>估价对象XX用房的比较价格（楼面单价，元/平方米）</v>
      </c>
      <c r="Q45" s="3595"/>
      <c r="R45" s="3596" t="e">
        <f>ROUND(AVERAGE(R44:V44),0)</f>
        <v>#DIV/0!</v>
      </c>
      <c r="S45" s="3596"/>
      <c r="T45" s="3596"/>
      <c r="U45" s="3596"/>
      <c r="V45" s="3596"/>
      <c r="W45" s="359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598" t="s">
        <v>2285</v>
      </c>
      <c r="H52" s="3599"/>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0"/>
      <c r="H53" s="3601"/>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2"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2"/>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2"/>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2"/>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2019-5-1</v>
      </c>
      <c r="D65" s="2773">
        <f>EDATE(C65,-3)</f>
        <v>43497</v>
      </c>
      <c r="E65" s="2773">
        <f t="shared" ref="E65:N65" si="18">EDATE(D65,-3)</f>
        <v>43405</v>
      </c>
      <c r="F65" s="2773">
        <f t="shared" si="18"/>
        <v>43313</v>
      </c>
      <c r="G65" s="2773">
        <f t="shared" si="18"/>
        <v>43221</v>
      </c>
      <c r="H65" s="2773">
        <f t="shared" si="18"/>
        <v>43132</v>
      </c>
      <c r="I65" s="2773">
        <f t="shared" si="18"/>
        <v>43040</v>
      </c>
      <c r="J65" s="2773">
        <f t="shared" si="18"/>
        <v>42948</v>
      </c>
      <c r="K65" s="2773">
        <f t="shared" si="18"/>
        <v>42856</v>
      </c>
      <c r="L65" s="2773">
        <f t="shared" si="18"/>
        <v>42767</v>
      </c>
      <c r="M65" s="2773">
        <f t="shared" si="18"/>
        <v>42675</v>
      </c>
      <c r="N65" s="2773">
        <f t="shared" si="18"/>
        <v>42583</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2938</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0"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1"/>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20" t="s">
        <v>2783</v>
      </c>
      <c r="X8" s="362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1"/>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1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1"/>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1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1"/>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1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0"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1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12"/>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1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12"/>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13"/>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0"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1"/>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43592</v>
      </c>
      <c r="H19" s="1471" t="s">
        <v>2939</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16" t="s">
        <v>2965</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17"/>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17"/>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18"/>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2992</v>
      </c>
      <c r="C41" s="839" t="e">
        <f>ROUND(POWER(1+E41,H41-G41)*(POWER(1+E41,G41)-1)/(POWER(1+E41,H41)-1),4)</f>
        <v>#DIV/0!</v>
      </c>
      <c r="D41" s="378" t="s">
        <v>2990</v>
      </c>
      <c r="E41" s="3168">
        <f>G20</f>
        <v>0</v>
      </c>
      <c r="F41" s="378" t="s">
        <v>2991</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2941</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2940</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2942</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2940</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2940</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2940</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14" t="s">
        <v>1634</v>
      </c>
      <c r="B90" s="3614"/>
      <c r="C90" s="3614"/>
      <c r="D90" s="3614"/>
      <c r="E90" s="3614"/>
      <c r="F90" s="3614"/>
      <c r="G90" s="3614"/>
      <c r="H90" s="3614"/>
      <c r="I90" s="3614"/>
      <c r="J90" s="3614"/>
      <c r="K90" s="2425"/>
      <c r="L90" s="2425"/>
      <c r="M90" s="2425"/>
      <c r="N90" s="2425"/>
    </row>
    <row r="91" spans="1:40">
      <c r="A91" s="3615" t="s">
        <v>1444</v>
      </c>
      <c r="B91" s="3615" t="s">
        <v>1635</v>
      </c>
      <c r="C91" s="1136" t="s">
        <v>1636</v>
      </c>
      <c r="D91" s="1137"/>
      <c r="E91" s="1137"/>
      <c r="F91" s="1137"/>
      <c r="G91" s="1137"/>
      <c r="H91" s="1137"/>
      <c r="I91" s="1137"/>
      <c r="J91" s="1138"/>
      <c r="K91" s="1130"/>
      <c r="L91" s="1130"/>
      <c r="M91" s="1130"/>
      <c r="N91" s="1130"/>
    </row>
    <row r="92" spans="1:40">
      <c r="A92" s="3615"/>
      <c r="B92" s="3615"/>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2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2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2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2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2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2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2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2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2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23"/>
      <c r="B108" s="362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24"/>
      <c r="B109" s="362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09" t="s">
        <v>1640</v>
      </c>
      <c r="B110" s="3609"/>
      <c r="C110" s="3609"/>
      <c r="D110" s="3609"/>
      <c r="E110" s="3609"/>
      <c r="F110" s="3609"/>
      <c r="G110" s="3609"/>
      <c r="H110" s="3609"/>
      <c r="I110" s="3609"/>
      <c r="J110" s="3609"/>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15" t="s">
        <v>1008</v>
      </c>
      <c r="B18" s="1150" t="s">
        <v>1447</v>
      </c>
      <c r="C18" s="1127" t="s">
        <v>1448</v>
      </c>
      <c r="D18" s="1128"/>
      <c r="E18" s="1150">
        <v>1</v>
      </c>
      <c r="F18" s="1129" t="s">
        <v>1449</v>
      </c>
      <c r="G18" s="1130"/>
      <c r="H18" s="1101"/>
      <c r="I18" s="1101"/>
    </row>
    <row r="19" spans="1:9" s="1595" customFormat="1" ht="19.5" customHeight="1">
      <c r="A19" s="3615"/>
      <c r="B19" s="3615" t="s">
        <v>1450</v>
      </c>
      <c r="C19" s="1127" t="s">
        <v>1451</v>
      </c>
      <c r="D19" s="1128"/>
      <c r="E19" s="1150">
        <v>0.9</v>
      </c>
      <c r="F19" s="1129" t="s">
        <v>1452</v>
      </c>
      <c r="G19" s="1130"/>
      <c r="H19" s="1101"/>
      <c r="I19" s="1101"/>
    </row>
    <row r="20" spans="1:9" s="1595" customFormat="1" ht="19.5" customHeight="1">
      <c r="A20" s="3615"/>
      <c r="B20" s="3615"/>
      <c r="C20" s="1127" t="s">
        <v>1453</v>
      </c>
      <c r="D20" s="1128"/>
      <c r="E20" s="1150">
        <v>1.1000000000000001</v>
      </c>
      <c r="F20" s="1129" t="s">
        <v>1454</v>
      </c>
      <c r="G20" s="1130"/>
      <c r="H20" s="1101"/>
      <c r="I20" s="1101"/>
    </row>
    <row r="21" spans="1:9" s="1595" customFormat="1" ht="19.5" customHeight="1">
      <c r="A21" s="3615"/>
      <c r="B21" s="3615"/>
      <c r="C21" s="1127" t="s">
        <v>1455</v>
      </c>
      <c r="D21" s="1128"/>
      <c r="E21" s="1150">
        <v>0.8</v>
      </c>
      <c r="F21" s="1129" t="s">
        <v>1456</v>
      </c>
      <c r="G21" s="1130"/>
      <c r="H21" s="1101"/>
      <c r="I21" s="1101"/>
    </row>
    <row r="22" spans="1:9" s="1595" customFormat="1" ht="19.5" customHeight="1">
      <c r="A22" s="3615"/>
      <c r="B22" s="3615"/>
      <c r="C22" s="1127" t="s">
        <v>1457</v>
      </c>
      <c r="D22" s="1128"/>
      <c r="E22" s="1150">
        <v>0.5</v>
      </c>
      <c r="F22" s="1129"/>
      <c r="G22" s="1130"/>
      <c r="H22" s="1101"/>
      <c r="I22" s="1101"/>
    </row>
    <row r="23" spans="1:9" s="1595" customFormat="1" ht="19.5" customHeight="1">
      <c r="A23" s="3615" t="s">
        <v>1030</v>
      </c>
      <c r="B23" s="1150" t="s">
        <v>1447</v>
      </c>
      <c r="C23" s="1127" t="s">
        <v>1458</v>
      </c>
      <c r="D23" s="1128"/>
      <c r="E23" s="1150">
        <v>1</v>
      </c>
      <c r="F23" s="1129" t="s">
        <v>1459</v>
      </c>
      <c r="G23" s="1130"/>
      <c r="H23" s="1101"/>
      <c r="I23" s="1101"/>
    </row>
    <row r="24" spans="1:9" s="1595" customFormat="1" ht="19.5" customHeight="1">
      <c r="A24" s="3615"/>
      <c r="B24" s="3615" t="s">
        <v>1450</v>
      </c>
      <c r="C24" s="1127" t="s">
        <v>1460</v>
      </c>
      <c r="D24" s="1128"/>
      <c r="E24" s="1150">
        <v>0.5</v>
      </c>
      <c r="F24" s="1129"/>
      <c r="G24" s="1130"/>
      <c r="H24" s="1101"/>
      <c r="I24" s="1101"/>
    </row>
    <row r="25" spans="1:9" s="1595" customFormat="1" ht="19.5" customHeight="1">
      <c r="A25" s="3615"/>
      <c r="B25" s="3615"/>
      <c r="C25" s="1127" t="s">
        <v>1461</v>
      </c>
      <c r="D25" s="1128"/>
      <c r="E25" s="1150">
        <v>1.1000000000000001</v>
      </c>
      <c r="F25" s="1129"/>
      <c r="G25" s="1130"/>
      <c r="H25" s="1101"/>
      <c r="I25" s="1101"/>
    </row>
    <row r="26" spans="1:9" s="1595" customFormat="1" ht="19.5" customHeight="1">
      <c r="A26" s="3615"/>
      <c r="B26" s="3615"/>
      <c r="C26" s="1127" t="s">
        <v>1462</v>
      </c>
      <c r="D26" s="1128"/>
      <c r="E26" s="1150">
        <v>1.1000000000000001</v>
      </c>
      <c r="F26" s="1129"/>
      <c r="G26" s="1130"/>
      <c r="H26" s="1101"/>
      <c r="I26" s="1101"/>
    </row>
    <row r="27" spans="1:9" s="1595" customFormat="1" ht="19.5" customHeight="1">
      <c r="A27" s="3615"/>
      <c r="B27" s="3615"/>
      <c r="C27" s="1127" t="s">
        <v>1463</v>
      </c>
      <c r="D27" s="1128"/>
      <c r="E27" s="1150">
        <v>0.9</v>
      </c>
      <c r="F27" s="1129" t="s">
        <v>1464</v>
      </c>
      <c r="G27" s="1130"/>
      <c r="H27" s="1101"/>
      <c r="I27" s="1101"/>
    </row>
    <row r="28" spans="1:9" s="1595" customFormat="1" ht="19.5" customHeight="1">
      <c r="A28" s="3615"/>
      <c r="B28" s="3615"/>
      <c r="C28" s="1127" t="s">
        <v>1465</v>
      </c>
      <c r="D28" s="1128"/>
      <c r="E28" s="1150">
        <v>0.9</v>
      </c>
      <c r="F28" s="1129" t="s">
        <v>1466</v>
      </c>
      <c r="G28" s="1130"/>
      <c r="H28" s="1101"/>
      <c r="I28" s="1101"/>
    </row>
    <row r="29" spans="1:9" s="1595" customFormat="1" ht="19.5" customHeight="1">
      <c r="A29" s="3615"/>
      <c r="B29" s="3615"/>
      <c r="C29" s="1127" t="s">
        <v>1467</v>
      </c>
      <c r="D29" s="1128"/>
      <c r="E29" s="1150">
        <v>0.9</v>
      </c>
      <c r="F29" s="1129" t="s">
        <v>1468</v>
      </c>
      <c r="G29" s="1130"/>
      <c r="H29" s="1101"/>
      <c r="I29" s="1101"/>
    </row>
    <row r="30" spans="1:9" s="1595" customFormat="1" ht="19.5" customHeight="1">
      <c r="A30" s="3615"/>
      <c r="B30" s="3615"/>
      <c r="C30" s="1127" t="s">
        <v>1469</v>
      </c>
      <c r="D30" s="1128"/>
      <c r="E30" s="1150">
        <v>0.9</v>
      </c>
      <c r="F30" s="1129" t="s">
        <v>1470</v>
      </c>
      <c r="G30" s="1130"/>
      <c r="H30" s="1101"/>
      <c r="I30" s="1101"/>
    </row>
    <row r="31" spans="1:9" s="1595" customFormat="1" ht="19.5" customHeight="1">
      <c r="A31" s="3615"/>
      <c r="B31" s="3615"/>
      <c r="C31" s="1127" t="s">
        <v>1471</v>
      </c>
      <c r="D31" s="1128"/>
      <c r="E31" s="1150">
        <v>0.8</v>
      </c>
      <c r="F31" s="1129" t="s">
        <v>1472</v>
      </c>
      <c r="G31" s="1130"/>
      <c r="H31" s="1101"/>
      <c r="I31" s="1101"/>
    </row>
    <row r="32" spans="1:9" s="1595" customFormat="1" ht="19.5" customHeight="1">
      <c r="A32" s="3615"/>
      <c r="B32" s="3615"/>
      <c r="C32" s="1127" t="s">
        <v>1473</v>
      </c>
      <c r="D32" s="1128"/>
      <c r="E32" s="1150">
        <v>0.8</v>
      </c>
      <c r="F32" s="1129" t="s">
        <v>1474</v>
      </c>
      <c r="G32" s="1130"/>
      <c r="H32" s="1101"/>
      <c r="I32" s="1101"/>
    </row>
    <row r="33" spans="1:9" s="1595" customFormat="1" ht="19.5" customHeight="1">
      <c r="A33" s="3615" t="s">
        <v>1475</v>
      </c>
      <c r="B33" s="1150" t="s">
        <v>1447</v>
      </c>
      <c r="C33" s="1127" t="s">
        <v>1476</v>
      </c>
      <c r="D33" s="1128"/>
      <c r="E33" s="1150">
        <v>1</v>
      </c>
      <c r="F33" s="1129" t="s">
        <v>1477</v>
      </c>
      <c r="G33" s="1130"/>
      <c r="H33" s="1101"/>
      <c r="I33" s="1101"/>
    </row>
    <row r="34" spans="1:9" s="1595" customFormat="1" ht="19.5" customHeight="1">
      <c r="A34" s="3615"/>
      <c r="B34" s="1150" t="s">
        <v>1450</v>
      </c>
      <c r="C34" s="1127" t="s">
        <v>1478</v>
      </c>
      <c r="D34" s="1128"/>
      <c r="E34" s="1150">
        <v>1.5</v>
      </c>
      <c r="F34" s="1129" t="s">
        <v>1479</v>
      </c>
      <c r="G34" s="1130"/>
      <c r="H34" s="1101"/>
      <c r="I34" s="1101"/>
    </row>
    <row r="35" spans="1:9" s="1595" customFormat="1" ht="19.5" customHeight="1">
      <c r="A35" s="3615" t="s">
        <v>1433</v>
      </c>
      <c r="B35" s="1150" t="s">
        <v>1447</v>
      </c>
      <c r="C35" s="1127" t="s">
        <v>1480</v>
      </c>
      <c r="D35" s="1128"/>
      <c r="E35" s="1150">
        <v>1</v>
      </c>
      <c r="F35" s="1129" t="s">
        <v>1481</v>
      </c>
      <c r="G35" s="1130"/>
      <c r="H35" s="1101"/>
      <c r="I35" s="1101"/>
    </row>
    <row r="36" spans="1:9" s="1595" customFormat="1" ht="19.5" customHeight="1">
      <c r="A36" s="3615"/>
      <c r="B36" s="3615" t="s">
        <v>1450</v>
      </c>
      <c r="C36" s="1127" t="s">
        <v>1482</v>
      </c>
      <c r="D36" s="1128"/>
      <c r="E36" s="1150">
        <v>1</v>
      </c>
      <c r="F36" s="1129" t="s">
        <v>1483</v>
      </c>
      <c r="G36" s="1130"/>
      <c r="H36" s="1101"/>
      <c r="I36" s="1101"/>
    </row>
    <row r="37" spans="1:9" s="1595" customFormat="1" ht="19.5" customHeight="1">
      <c r="A37" s="3615"/>
      <c r="B37" s="3615"/>
      <c r="C37" s="1127" t="s">
        <v>1484</v>
      </c>
      <c r="D37" s="1128"/>
      <c r="E37" s="1150">
        <v>1.5</v>
      </c>
      <c r="F37" s="1129" t="s">
        <v>1485</v>
      </c>
      <c r="G37" s="1130"/>
      <c r="H37" s="1101"/>
      <c r="I37" s="1101"/>
    </row>
    <row r="38" spans="1:9" s="1595" customFormat="1" ht="19.5" customHeight="1">
      <c r="A38" s="3615"/>
      <c r="B38" s="3615"/>
      <c r="C38" s="1127" t="s">
        <v>1486</v>
      </c>
      <c r="D38" s="1128"/>
      <c r="E38" s="1150">
        <v>1</v>
      </c>
      <c r="F38" s="1129" t="s">
        <v>1487</v>
      </c>
      <c r="G38" s="1130"/>
      <c r="H38" s="1101"/>
      <c r="I38" s="1101"/>
    </row>
    <row r="39" spans="1:9" s="1595" customFormat="1" ht="19.5" customHeight="1">
      <c r="A39" s="3615"/>
      <c r="B39" s="3615"/>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15" t="s">
        <v>1502</v>
      </c>
      <c r="C61" s="1064" t="s">
        <v>1503</v>
      </c>
      <c r="D61" s="1064" t="s">
        <v>1504</v>
      </c>
      <c r="E61" s="1135">
        <v>0.5</v>
      </c>
      <c r="F61" s="1150">
        <v>80</v>
      </c>
      <c r="H61" s="1101">
        <f>SUMIF(C59:C119,基准地价!C8,E59:E119)</f>
        <v>0</v>
      </c>
    </row>
    <row r="62" spans="1:8" s="1101" customFormat="1" ht="24">
      <c r="A62" s="1150">
        <v>2</v>
      </c>
      <c r="B62" s="3615"/>
      <c r="C62" s="1064" t="s">
        <v>1505</v>
      </c>
      <c r="D62" s="1064" t="s">
        <v>1506</v>
      </c>
      <c r="E62" s="1135">
        <v>0.5</v>
      </c>
      <c r="F62" s="1150">
        <v>80</v>
      </c>
    </row>
    <row r="63" spans="1:8" s="1101" customFormat="1" ht="36">
      <c r="A63" s="1150">
        <v>3</v>
      </c>
      <c r="B63" s="3615"/>
      <c r="C63" s="1064" t="s">
        <v>1507</v>
      </c>
      <c r="D63" s="1064" t="s">
        <v>1508</v>
      </c>
      <c r="E63" s="1135">
        <v>0.5</v>
      </c>
      <c r="F63" s="1150">
        <v>80</v>
      </c>
    </row>
    <row r="64" spans="1:8" s="1101" customFormat="1" ht="36">
      <c r="A64" s="1150">
        <v>4</v>
      </c>
      <c r="B64" s="3615"/>
      <c r="C64" s="1064" t="s">
        <v>1509</v>
      </c>
      <c r="D64" s="1064" t="s">
        <v>1510</v>
      </c>
      <c r="E64" s="1135">
        <v>0.4</v>
      </c>
      <c r="F64" s="1150">
        <v>60</v>
      </c>
    </row>
    <row r="65" spans="1:6" s="1101" customFormat="1" ht="36">
      <c r="A65" s="1150">
        <v>5</v>
      </c>
      <c r="B65" s="3615"/>
      <c r="C65" s="1064" t="s">
        <v>1511</v>
      </c>
      <c r="D65" s="1064" t="s">
        <v>1512</v>
      </c>
      <c r="E65" s="1135">
        <v>0.2</v>
      </c>
      <c r="F65" s="1150">
        <v>30</v>
      </c>
    </row>
    <row r="66" spans="1:6" s="1101" customFormat="1" ht="36">
      <c r="A66" s="1150">
        <v>6</v>
      </c>
      <c r="B66" s="3615"/>
      <c r="C66" s="1064" t="s">
        <v>1513</v>
      </c>
      <c r="D66" s="1064" t="s">
        <v>1514</v>
      </c>
      <c r="E66" s="1135">
        <v>0.3</v>
      </c>
      <c r="F66" s="1150">
        <v>50</v>
      </c>
    </row>
    <row r="67" spans="1:6" s="1101" customFormat="1" ht="36">
      <c r="A67" s="1150">
        <v>7</v>
      </c>
      <c r="B67" s="3615"/>
      <c r="C67" s="1064" t="s">
        <v>1515</v>
      </c>
      <c r="D67" s="1064" t="s">
        <v>1516</v>
      </c>
      <c r="E67" s="1135">
        <v>0.2</v>
      </c>
      <c r="F67" s="1150">
        <v>30</v>
      </c>
    </row>
    <row r="68" spans="1:6" s="1101" customFormat="1" ht="36">
      <c r="A68" s="1150">
        <v>8</v>
      </c>
      <c r="B68" s="3615"/>
      <c r="C68" s="1064" t="s">
        <v>1517</v>
      </c>
      <c r="D68" s="1064" t="s">
        <v>1518</v>
      </c>
      <c r="E68" s="1135">
        <v>0.2</v>
      </c>
      <c r="F68" s="1150">
        <v>30</v>
      </c>
    </row>
    <row r="69" spans="1:6" s="1101" customFormat="1" ht="36">
      <c r="A69" s="1150">
        <v>9</v>
      </c>
      <c r="B69" s="3615"/>
      <c r="C69" s="1064" t="s">
        <v>1519</v>
      </c>
      <c r="D69" s="1064" t="s">
        <v>1520</v>
      </c>
      <c r="E69" s="1135">
        <v>0.2</v>
      </c>
      <c r="F69" s="1150">
        <v>30</v>
      </c>
    </row>
    <row r="70" spans="1:6" s="1101" customFormat="1" ht="48">
      <c r="A70" s="1150">
        <v>10</v>
      </c>
      <c r="B70" s="3615"/>
      <c r="C70" s="1064" t="s">
        <v>1521</v>
      </c>
      <c r="D70" s="1064" t="s">
        <v>1522</v>
      </c>
      <c r="E70" s="1135">
        <v>0.2</v>
      </c>
      <c r="F70" s="1150">
        <v>30</v>
      </c>
    </row>
    <row r="71" spans="1:6" s="1101" customFormat="1" ht="48">
      <c r="A71" s="1150">
        <v>11</v>
      </c>
      <c r="B71" s="3615"/>
      <c r="C71" s="1064" t="s">
        <v>1523</v>
      </c>
      <c r="D71" s="1064" t="s">
        <v>1524</v>
      </c>
      <c r="E71" s="1135">
        <v>0.2</v>
      </c>
      <c r="F71" s="1150">
        <v>30</v>
      </c>
    </row>
    <row r="72" spans="1:6" s="1101" customFormat="1" ht="36">
      <c r="A72" s="1150">
        <v>12</v>
      </c>
      <c r="B72" s="3615"/>
      <c r="C72" s="1064" t="s">
        <v>1525</v>
      </c>
      <c r="D72" s="1064" t="s">
        <v>1526</v>
      </c>
      <c r="E72" s="1135">
        <v>0.5</v>
      </c>
      <c r="F72" s="1150">
        <v>80</v>
      </c>
    </row>
    <row r="73" spans="1:6" s="1101" customFormat="1" ht="24">
      <c r="A73" s="1150">
        <v>13</v>
      </c>
      <c r="B73" s="3615"/>
      <c r="C73" s="1064" t="s">
        <v>1527</v>
      </c>
      <c r="D73" s="1064" t="s">
        <v>1528</v>
      </c>
      <c r="E73" s="1135">
        <v>0.4</v>
      </c>
      <c r="F73" s="1150">
        <v>60</v>
      </c>
    </row>
    <row r="74" spans="1:6" s="1101" customFormat="1" ht="24">
      <c r="A74" s="1150">
        <v>14</v>
      </c>
      <c r="B74" s="3615"/>
      <c r="C74" s="1064" t="s">
        <v>1529</v>
      </c>
      <c r="D74" s="1064" t="s">
        <v>1530</v>
      </c>
      <c r="E74" s="1135">
        <v>0.2</v>
      </c>
      <c r="F74" s="1150">
        <v>30</v>
      </c>
    </row>
    <row r="75" spans="1:6" s="1101" customFormat="1" ht="24">
      <c r="A75" s="1150">
        <v>15</v>
      </c>
      <c r="B75" s="3615"/>
      <c r="C75" s="1064" t="s">
        <v>1531</v>
      </c>
      <c r="D75" s="1064" t="s">
        <v>1532</v>
      </c>
      <c r="E75" s="1135">
        <v>0.2</v>
      </c>
      <c r="F75" s="1150">
        <v>30</v>
      </c>
    </row>
    <row r="76" spans="1:6" s="1101" customFormat="1" ht="24">
      <c r="A76" s="1150">
        <v>16</v>
      </c>
      <c r="B76" s="3615" t="s">
        <v>1533</v>
      </c>
      <c r="C76" s="1064" t="s">
        <v>1534</v>
      </c>
      <c r="D76" s="1064" t="s">
        <v>1535</v>
      </c>
      <c r="E76" s="1135">
        <v>0.5</v>
      </c>
      <c r="F76" s="1150">
        <v>80</v>
      </c>
    </row>
    <row r="77" spans="1:6" s="1101" customFormat="1" ht="24">
      <c r="A77" s="1150">
        <v>17</v>
      </c>
      <c r="B77" s="3615"/>
      <c r="C77" s="1064" t="s">
        <v>1536</v>
      </c>
      <c r="D77" s="1064" t="s">
        <v>1537</v>
      </c>
      <c r="E77" s="1135">
        <v>0.5</v>
      </c>
      <c r="F77" s="1150">
        <v>80</v>
      </c>
    </row>
    <row r="78" spans="1:6" s="1101" customFormat="1" ht="24">
      <c r="A78" s="1150">
        <v>18</v>
      </c>
      <c r="B78" s="3615"/>
      <c r="C78" s="1064" t="s">
        <v>1538</v>
      </c>
      <c r="D78" s="1064" t="s">
        <v>1539</v>
      </c>
      <c r="E78" s="1135">
        <v>0.2</v>
      </c>
      <c r="F78" s="1150">
        <v>30</v>
      </c>
    </row>
    <row r="79" spans="1:6" s="1101" customFormat="1" ht="24">
      <c r="A79" s="1150">
        <v>19</v>
      </c>
      <c r="B79" s="3615"/>
      <c r="C79" s="1064" t="s">
        <v>1540</v>
      </c>
      <c r="D79" s="1064" t="s">
        <v>1541</v>
      </c>
      <c r="E79" s="1135">
        <v>0.5</v>
      </c>
      <c r="F79" s="1150">
        <v>80</v>
      </c>
    </row>
    <row r="80" spans="1:6" s="1101" customFormat="1" ht="36">
      <c r="A80" s="1150">
        <v>20</v>
      </c>
      <c r="B80" s="3615"/>
      <c r="C80" s="1064" t="s">
        <v>1542</v>
      </c>
      <c r="D80" s="1064" t="s">
        <v>1543</v>
      </c>
      <c r="E80" s="1135">
        <v>0.2</v>
      </c>
      <c r="F80" s="1150">
        <v>30</v>
      </c>
    </row>
    <row r="81" spans="1:6" s="1101" customFormat="1" ht="36">
      <c r="A81" s="1150">
        <v>21</v>
      </c>
      <c r="B81" s="3615"/>
      <c r="C81" s="1064" t="s">
        <v>1544</v>
      </c>
      <c r="D81" s="1064" t="s">
        <v>1545</v>
      </c>
      <c r="E81" s="1135">
        <v>0.2</v>
      </c>
      <c r="F81" s="1150">
        <v>30</v>
      </c>
    </row>
    <row r="82" spans="1:6" s="1101" customFormat="1" ht="48">
      <c r="A82" s="1150">
        <v>22</v>
      </c>
      <c r="B82" s="3615"/>
      <c r="C82" s="1064" t="s">
        <v>1546</v>
      </c>
      <c r="D82" s="1064" t="s">
        <v>1547</v>
      </c>
      <c r="E82" s="1135">
        <v>0.2</v>
      </c>
      <c r="F82" s="1150">
        <v>30</v>
      </c>
    </row>
    <row r="83" spans="1:6" s="1101" customFormat="1" ht="48">
      <c r="A83" s="1150">
        <v>23</v>
      </c>
      <c r="B83" s="3615"/>
      <c r="C83" s="1064" t="s">
        <v>1548</v>
      </c>
      <c r="D83" s="1064" t="s">
        <v>1549</v>
      </c>
      <c r="E83" s="1135">
        <v>0.2</v>
      </c>
      <c r="F83" s="1150">
        <v>30</v>
      </c>
    </row>
    <row r="84" spans="1:6" s="1101" customFormat="1" ht="36">
      <c r="A84" s="1150">
        <v>24</v>
      </c>
      <c r="B84" s="3615"/>
      <c r="C84" s="1064" t="s">
        <v>1550</v>
      </c>
      <c r="D84" s="1064" t="s">
        <v>1551</v>
      </c>
      <c r="E84" s="1135">
        <v>0.2</v>
      </c>
      <c r="F84" s="1150">
        <v>30</v>
      </c>
    </row>
    <row r="85" spans="1:6" s="1101" customFormat="1" ht="36">
      <c r="A85" s="1150">
        <v>25</v>
      </c>
      <c r="B85" s="3615"/>
      <c r="C85" s="1064" t="s">
        <v>1552</v>
      </c>
      <c r="D85" s="1064" t="s">
        <v>1553</v>
      </c>
      <c r="E85" s="1135">
        <v>0.5</v>
      </c>
      <c r="F85" s="1150">
        <v>80</v>
      </c>
    </row>
    <row r="86" spans="1:6" s="1101" customFormat="1" ht="36">
      <c r="A86" s="1150">
        <v>26</v>
      </c>
      <c r="B86" s="3615"/>
      <c r="C86" s="1064" t="s">
        <v>1554</v>
      </c>
      <c r="D86" s="1064" t="s">
        <v>1555</v>
      </c>
      <c r="E86" s="1135">
        <v>0.2</v>
      </c>
      <c r="F86" s="1150">
        <v>30</v>
      </c>
    </row>
    <row r="87" spans="1:6" s="1101" customFormat="1" ht="36">
      <c r="A87" s="1150">
        <v>27</v>
      </c>
      <c r="B87" s="3615"/>
      <c r="C87" s="1064" t="s">
        <v>1556</v>
      </c>
      <c r="D87" s="1064" t="s">
        <v>1557</v>
      </c>
      <c r="E87" s="1135">
        <v>0.2</v>
      </c>
      <c r="F87" s="1150">
        <v>30</v>
      </c>
    </row>
    <row r="88" spans="1:6" s="1101" customFormat="1" ht="36">
      <c r="A88" s="1150">
        <v>28</v>
      </c>
      <c r="B88" s="3615"/>
      <c r="C88" s="1064" t="s">
        <v>1558</v>
      </c>
      <c r="D88" s="1064" t="s">
        <v>1559</v>
      </c>
      <c r="E88" s="1135">
        <v>0.2</v>
      </c>
      <c r="F88" s="1150">
        <v>30</v>
      </c>
    </row>
    <row r="89" spans="1:6" s="1101" customFormat="1" ht="24">
      <c r="A89" s="1150">
        <v>29</v>
      </c>
      <c r="B89" s="3615"/>
      <c r="C89" s="1064" t="s">
        <v>1560</v>
      </c>
      <c r="D89" s="1064" t="s">
        <v>1561</v>
      </c>
      <c r="E89" s="1135">
        <v>0.2</v>
      </c>
      <c r="F89" s="1150">
        <v>30</v>
      </c>
    </row>
    <row r="90" spans="1:6" s="1101" customFormat="1" ht="24">
      <c r="A90" s="1150">
        <v>30</v>
      </c>
      <c r="B90" s="3615"/>
      <c r="C90" s="1064" t="s">
        <v>1562</v>
      </c>
      <c r="D90" s="1064" t="s">
        <v>1563</v>
      </c>
      <c r="E90" s="1135">
        <v>0.2</v>
      </c>
      <c r="F90" s="1150">
        <v>30</v>
      </c>
    </row>
    <row r="91" spans="1:6" s="1101" customFormat="1" ht="36">
      <c r="A91" s="1150">
        <v>31</v>
      </c>
      <c r="B91" s="3615"/>
      <c r="C91" s="1064" t="s">
        <v>1564</v>
      </c>
      <c r="D91" s="1064" t="s">
        <v>1565</v>
      </c>
      <c r="E91" s="1135">
        <v>0.2</v>
      </c>
      <c r="F91" s="1150">
        <v>30</v>
      </c>
    </row>
    <row r="92" spans="1:6" s="1101" customFormat="1" ht="24">
      <c r="A92" s="1150">
        <v>32</v>
      </c>
      <c r="B92" s="3615" t="s">
        <v>1566</v>
      </c>
      <c r="C92" s="1150" t="s">
        <v>1567</v>
      </c>
      <c r="D92" s="1064" t="s">
        <v>1568</v>
      </c>
      <c r="E92" s="1135">
        <v>0.2</v>
      </c>
      <c r="F92" s="1150">
        <v>30</v>
      </c>
    </row>
    <row r="93" spans="1:6" s="1101" customFormat="1" ht="36">
      <c r="A93" s="1150">
        <v>33</v>
      </c>
      <c r="B93" s="3615"/>
      <c r="C93" s="1150" t="s">
        <v>1569</v>
      </c>
      <c r="D93" s="1064" t="s">
        <v>1570</v>
      </c>
      <c r="E93" s="1135">
        <v>0.2</v>
      </c>
      <c r="F93" s="1150">
        <v>30</v>
      </c>
    </row>
    <row r="94" spans="1:6" s="1101" customFormat="1" ht="48">
      <c r="A94" s="1150">
        <v>34</v>
      </c>
      <c r="B94" s="3615"/>
      <c r="C94" s="1150" t="s">
        <v>1571</v>
      </c>
      <c r="D94" s="1064" t="s">
        <v>1572</v>
      </c>
      <c r="E94" s="1135">
        <v>0.2</v>
      </c>
      <c r="F94" s="1150">
        <v>30</v>
      </c>
    </row>
    <row r="95" spans="1:6" s="1101" customFormat="1" ht="36">
      <c r="A95" s="1150">
        <v>35</v>
      </c>
      <c r="B95" s="3615"/>
      <c r="C95" s="1150" t="s">
        <v>1573</v>
      </c>
      <c r="D95" s="1064" t="s">
        <v>1574</v>
      </c>
      <c r="E95" s="1135">
        <v>0.2</v>
      </c>
      <c r="F95" s="1150">
        <v>30</v>
      </c>
    </row>
    <row r="96" spans="1:6" s="1101" customFormat="1" ht="48">
      <c r="A96" s="1150">
        <v>36</v>
      </c>
      <c r="B96" s="3615"/>
      <c r="C96" s="1064" t="s">
        <v>1575</v>
      </c>
      <c r="D96" s="1064" t="s">
        <v>1576</v>
      </c>
      <c r="E96" s="1135">
        <v>0.2</v>
      </c>
      <c r="F96" s="1150">
        <v>30</v>
      </c>
    </row>
    <row r="97" spans="1:6" s="1101" customFormat="1" ht="36">
      <c r="A97" s="1150">
        <v>37</v>
      </c>
      <c r="B97" s="3615"/>
      <c r="C97" s="1150" t="s">
        <v>1577</v>
      </c>
      <c r="D97" s="1064" t="s">
        <v>1578</v>
      </c>
      <c r="E97" s="1135">
        <v>0.2</v>
      </c>
      <c r="F97" s="1150">
        <v>30</v>
      </c>
    </row>
    <row r="98" spans="1:6" s="1101" customFormat="1" ht="36">
      <c r="A98" s="1150">
        <v>38</v>
      </c>
      <c r="B98" s="3615"/>
      <c r="C98" s="1150" t="s">
        <v>1579</v>
      </c>
      <c r="D98" s="1064" t="s">
        <v>1580</v>
      </c>
      <c r="E98" s="1135">
        <v>0.2</v>
      </c>
      <c r="F98" s="1150">
        <v>30</v>
      </c>
    </row>
    <row r="99" spans="1:6" s="1101" customFormat="1" ht="36">
      <c r="A99" s="1150">
        <v>39</v>
      </c>
      <c r="B99" s="3615" t="s">
        <v>1581</v>
      </c>
      <c r="C99" s="1150" t="s">
        <v>1582</v>
      </c>
      <c r="D99" s="1064" t="s">
        <v>1583</v>
      </c>
      <c r="E99" s="1135">
        <v>0.3</v>
      </c>
      <c r="F99" s="1150">
        <v>50</v>
      </c>
    </row>
    <row r="100" spans="1:6" s="1101" customFormat="1" ht="24">
      <c r="A100" s="1150">
        <v>40</v>
      </c>
      <c r="B100" s="3615"/>
      <c r="C100" s="1150" t="s">
        <v>1584</v>
      </c>
      <c r="D100" s="1064" t="s">
        <v>1585</v>
      </c>
      <c r="E100" s="1135">
        <v>0.2</v>
      </c>
      <c r="F100" s="1150">
        <v>30</v>
      </c>
    </row>
    <row r="101" spans="1:6" s="1101" customFormat="1" ht="36">
      <c r="A101" s="1150">
        <v>41</v>
      </c>
      <c r="B101" s="3615"/>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15" t="s">
        <v>1596</v>
      </c>
      <c r="C105" s="1150" t="s">
        <v>1597</v>
      </c>
      <c r="D105" s="1064" t="s">
        <v>1598</v>
      </c>
      <c r="E105" s="1135">
        <v>0.2</v>
      </c>
      <c r="F105" s="1150">
        <v>30</v>
      </c>
    </row>
    <row r="106" spans="1:6" s="1101" customFormat="1" ht="36">
      <c r="A106" s="1150">
        <v>46</v>
      </c>
      <c r="B106" s="3615"/>
      <c r="C106" s="1150" t="s">
        <v>1599</v>
      </c>
      <c r="D106" s="1064" t="s">
        <v>1600</v>
      </c>
      <c r="E106" s="1135">
        <v>0.2</v>
      </c>
      <c r="F106" s="1150">
        <v>30</v>
      </c>
    </row>
    <row r="107" spans="1:6" s="1101" customFormat="1" ht="36">
      <c r="A107" s="1150">
        <v>47</v>
      </c>
      <c r="B107" s="3615" t="s">
        <v>1601</v>
      </c>
      <c r="C107" s="1150" t="s">
        <v>1602</v>
      </c>
      <c r="D107" s="1064" t="s">
        <v>1603</v>
      </c>
      <c r="E107" s="1135">
        <v>0.3</v>
      </c>
      <c r="F107" s="1150">
        <v>50</v>
      </c>
    </row>
    <row r="108" spans="1:6" s="1101" customFormat="1" ht="36">
      <c r="A108" s="1150">
        <v>48</v>
      </c>
      <c r="B108" s="3615"/>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15" t="s">
        <v>1612</v>
      </c>
      <c r="C111" s="1150" t="s">
        <v>1613</v>
      </c>
      <c r="D111" s="1064" t="s">
        <v>1614</v>
      </c>
      <c r="E111" s="1135">
        <v>0.2</v>
      </c>
      <c r="F111" s="1150">
        <v>30</v>
      </c>
    </row>
    <row r="112" spans="1:6" s="1101" customFormat="1" ht="24">
      <c r="A112" s="1150">
        <v>52</v>
      </c>
      <c r="B112" s="3615"/>
      <c r="C112" s="1150" t="s">
        <v>1615</v>
      </c>
      <c r="D112" s="1064" t="s">
        <v>1616</v>
      </c>
      <c r="E112" s="1135">
        <v>0.2</v>
      </c>
      <c r="F112" s="1150">
        <v>30</v>
      </c>
    </row>
    <row r="113" spans="1:14" s="1101" customFormat="1" ht="24">
      <c r="A113" s="1150">
        <v>53</v>
      </c>
      <c r="B113" s="3615"/>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15" t="s">
        <v>1625</v>
      </c>
      <c r="C116" s="1150" t="s">
        <v>1626</v>
      </c>
      <c r="D116" s="1064" t="s">
        <v>1627</v>
      </c>
      <c r="E116" s="1135">
        <v>0.2</v>
      </c>
      <c r="F116" s="1150">
        <v>30</v>
      </c>
    </row>
    <row r="117" spans="1:14" ht="36">
      <c r="A117" s="1150">
        <v>57</v>
      </c>
      <c r="B117" s="3615"/>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14" t="s">
        <v>1634</v>
      </c>
      <c r="B121" s="3614"/>
      <c r="C121" s="3614"/>
      <c r="D121" s="3614"/>
      <c r="E121" s="3614"/>
      <c r="F121" s="3614"/>
      <c r="G121" s="3614"/>
      <c r="H121" s="3614"/>
      <c r="I121" s="3614"/>
      <c r="J121" s="36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2953</v>
      </c>
      <c r="B1" s="3076"/>
      <c r="C1" s="3076"/>
      <c r="D1" s="3076"/>
      <c r="E1" s="3076"/>
      <c r="F1" s="3076"/>
    </row>
    <row r="2" spans="1:6" ht="14.25">
      <c r="A2" s="3077" t="s">
        <v>2948</v>
      </c>
      <c r="B2" s="3078" t="e">
        <f ca="1">SUMIF(B7:B14,"&lt;&gt;#ref!",B7:B14)</f>
        <v>#DIV/0!</v>
      </c>
      <c r="C2" s="3077" t="s">
        <v>2949</v>
      </c>
      <c r="D2" s="3076"/>
      <c r="E2" s="3076"/>
      <c r="F2" s="3076"/>
    </row>
    <row r="3" spans="1:6" ht="14.25">
      <c r="A3" s="3077" t="s">
        <v>2981</v>
      </c>
      <c r="B3" s="3078" t="e">
        <f ca="1">ROUND(B2*10000/E3,0)</f>
        <v>#DIV/0!</v>
      </c>
      <c r="C3" s="3077" t="s">
        <v>2079</v>
      </c>
      <c r="D3" s="3077" t="s">
        <v>2950</v>
      </c>
      <c r="E3" s="3078">
        <f ca="1">SUMIF(E7:E14,"&lt;&gt;#ref!",E7:E14)</f>
        <v>0</v>
      </c>
      <c r="F3" s="3076"/>
    </row>
    <row r="4" spans="1:6" ht="14.25">
      <c r="A4" s="3077" t="s">
        <v>2957</v>
      </c>
      <c r="B4" s="3078" t="e">
        <f ca="1">ROUND(B2*10000/E4,0)</f>
        <v>#DIV/0!</v>
      </c>
      <c r="C4" s="3077" t="s">
        <v>2079</v>
      </c>
      <c r="D4" s="3077" t="s">
        <v>2958</v>
      </c>
      <c r="E4" s="3078">
        <f ca="1">SUMIF(F7:F14,"&lt;&gt;#ref!",F7:F14)</f>
        <v>0</v>
      </c>
      <c r="F4" s="3076"/>
    </row>
    <row r="5" spans="1:6" ht="14.25">
      <c r="A5" s="3079"/>
      <c r="B5" s="1877"/>
      <c r="C5" s="1877"/>
      <c r="D5" s="1877"/>
      <c r="E5" s="1877"/>
      <c r="F5" s="3076"/>
    </row>
    <row r="6" spans="1:6" ht="28.5">
      <c r="A6" s="3080" t="s">
        <v>2954</v>
      </c>
      <c r="B6" s="3077" t="s">
        <v>2951</v>
      </c>
      <c r="C6" s="3078"/>
      <c r="D6" s="1877"/>
      <c r="E6" s="3077" t="s">
        <v>2952</v>
      </c>
      <c r="F6" s="3077" t="s">
        <v>2956</v>
      </c>
    </row>
    <row r="7" spans="1:6" ht="14.25">
      <c r="A7" s="260" t="s">
        <v>2955</v>
      </c>
      <c r="B7" s="3081" t="e">
        <f ca="1">SUMIF(INDIRECT("'"&amp;A7&amp;"'"&amp;"!A:A"),"总价",INDIRECT("'"&amp;A7&amp;"'"&amp;"!B:B"))</f>
        <v>#DIV/0!</v>
      </c>
      <c r="C7" s="3077" t="s">
        <v>2949</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2949</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2949</v>
      </c>
      <c r="D9" s="1877"/>
      <c r="E9" s="3082" t="e">
        <f t="shared" ca="1" si="1"/>
        <v>#REF!</v>
      </c>
      <c r="F9" s="3082" t="e">
        <f t="shared" ca="1" si="2"/>
        <v>#REF!</v>
      </c>
    </row>
    <row r="10" spans="1:6" ht="14.25">
      <c r="A10" s="260"/>
      <c r="B10" s="3081" t="e">
        <f t="shared" ca="1" si="0"/>
        <v>#REF!</v>
      </c>
      <c r="C10" s="3077" t="s">
        <v>2949</v>
      </c>
      <c r="D10" s="1877"/>
      <c r="E10" s="3082" t="e">
        <f t="shared" ca="1" si="1"/>
        <v>#REF!</v>
      </c>
      <c r="F10" s="3082" t="e">
        <f t="shared" ca="1" si="2"/>
        <v>#REF!</v>
      </c>
    </row>
    <row r="11" spans="1:6" ht="14.25">
      <c r="A11" s="260"/>
      <c r="B11" s="3081" t="e">
        <f t="shared" ca="1" si="0"/>
        <v>#REF!</v>
      </c>
      <c r="C11" s="3077" t="s">
        <v>2949</v>
      </c>
      <c r="D11" s="1877"/>
      <c r="E11" s="3082" t="e">
        <f t="shared" ca="1" si="1"/>
        <v>#REF!</v>
      </c>
      <c r="F11" s="3082" t="e">
        <f t="shared" ca="1" si="2"/>
        <v>#REF!</v>
      </c>
    </row>
    <row r="12" spans="1:6" ht="14.25">
      <c r="A12" s="260"/>
      <c r="B12" s="3081" t="e">
        <f t="shared" ca="1" si="0"/>
        <v>#REF!</v>
      </c>
      <c r="C12" s="3077" t="s">
        <v>2949</v>
      </c>
      <c r="D12" s="1877"/>
      <c r="E12" s="3082" t="e">
        <f t="shared" ca="1" si="1"/>
        <v>#REF!</v>
      </c>
      <c r="F12" s="3082" t="e">
        <f t="shared" ca="1" si="2"/>
        <v>#REF!</v>
      </c>
    </row>
    <row r="13" spans="1:6" ht="14.25">
      <c r="A13" s="260"/>
      <c r="B13" s="3081" t="e">
        <f t="shared" ca="1" si="0"/>
        <v>#REF!</v>
      </c>
      <c r="C13" s="3077" t="s">
        <v>2949</v>
      </c>
      <c r="D13" s="1877"/>
      <c r="E13" s="3082" t="e">
        <f t="shared" ca="1" si="1"/>
        <v>#REF!</v>
      </c>
      <c r="F13" s="3082" t="e">
        <f t="shared" ca="1" si="2"/>
        <v>#REF!</v>
      </c>
    </row>
    <row r="14" spans="1:6" ht="14.25">
      <c r="A14" s="3075"/>
      <c r="B14" s="3081" t="e">
        <f t="shared" ca="1" si="0"/>
        <v>#REF!</v>
      </c>
      <c r="C14" s="3077" t="s">
        <v>2949</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2945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2978</v>
      </c>
      <c r="E12" s="2473" t="s">
        <v>2465</v>
      </c>
      <c r="F12" s="2596"/>
      <c r="G12" s="1588"/>
      <c r="H12" s="2536" t="s">
        <v>1826</v>
      </c>
      <c r="I12" s="2541" t="s">
        <v>2460</v>
      </c>
      <c r="J12" s="783">
        <f ca="1">ROUND(IF(M12="押一",J8/12*M13,IF(M12="押二",J8/12*2*M13,IF(M12="押三",J8/12*3*M13,J13*M13))),0)</f>
        <v>0</v>
      </c>
      <c r="K12" s="2476" t="s">
        <v>2978</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2966</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2969</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2982</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2946</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1" t="s">
        <v>2577</v>
      </c>
      <c r="C1" s="3641"/>
      <c r="D1" s="3641"/>
      <c r="E1" s="3641"/>
      <c r="F1" s="3641"/>
      <c r="G1" s="3640" t="s">
        <v>2578</v>
      </c>
      <c r="H1" s="3640"/>
      <c r="I1" s="3640"/>
      <c r="J1" s="3640"/>
      <c r="K1" s="3640"/>
      <c r="L1" s="3640"/>
      <c r="N1" s="3640" t="s">
        <v>2579</v>
      </c>
      <c r="O1" s="3640"/>
      <c r="P1" s="3640"/>
      <c r="Q1" s="3640"/>
      <c r="R1" s="2629"/>
      <c r="S1" s="3640" t="s">
        <v>2580</v>
      </c>
      <c r="T1" s="3640"/>
      <c r="U1" s="3640"/>
      <c r="V1" s="3640"/>
      <c r="X1" s="3639" t="s">
        <v>2640</v>
      </c>
      <c r="Y1" s="3640"/>
      <c r="Z1" s="3640"/>
      <c r="AA1" s="3640"/>
      <c r="AB1" s="3640"/>
      <c r="AD1" s="3639" t="s">
        <v>2644</v>
      </c>
      <c r="AE1" s="3640"/>
      <c r="AF1" s="3640"/>
      <c r="AG1" s="3640"/>
      <c r="AH1" s="3640"/>
    </row>
    <row r="2" spans="1:34" s="2730" customFormat="1" ht="14.25" thickBot="1">
      <c r="B2" s="2738" t="s">
        <v>2581</v>
      </c>
      <c r="C2" s="2738" t="s">
        <v>2642</v>
      </c>
      <c r="D2" s="2731" t="s">
        <v>1645</v>
      </c>
      <c r="E2" s="2731" t="s">
        <v>1950</v>
      </c>
      <c r="F2" s="2738" t="s">
        <v>2643</v>
      </c>
      <c r="G2" s="2734"/>
      <c r="H2" s="2733"/>
      <c r="I2" s="2738" t="s">
        <v>2960</v>
      </c>
      <c r="J2" s="2731" t="s">
        <v>2962</v>
      </c>
      <c r="K2" s="2731" t="s">
        <v>2963</v>
      </c>
      <c r="L2" s="2738" t="s">
        <v>2964</v>
      </c>
      <c r="N2" s="2738" t="s">
        <v>2581</v>
      </c>
      <c r="O2" s="2731" t="s">
        <v>2961</v>
      </c>
      <c r="P2" s="2731" t="s">
        <v>1950</v>
      </c>
      <c r="Q2" s="2738" t="s">
        <v>2643</v>
      </c>
      <c r="R2" s="2732"/>
      <c r="S2" s="2738" t="s">
        <v>2581</v>
      </c>
      <c r="T2" s="2731" t="s">
        <v>2961</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2973</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2993</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2974</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2994</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3">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2983</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3"/>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2984</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3"/>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2980</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9"/>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2971</v>
      </c>
      <c r="B10" s="3116">
        <v>439</v>
      </c>
      <c r="C10" s="3116">
        <v>327</v>
      </c>
      <c r="D10" s="3116">
        <f t="shared" si="43"/>
        <v>327</v>
      </c>
      <c r="E10" s="3116">
        <v>627</v>
      </c>
      <c r="F10" s="3117">
        <v>283</v>
      </c>
      <c r="G10" s="3648">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2975</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3"/>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3"/>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9"/>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48">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3"/>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3"/>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4"/>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3"/>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3"/>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4"/>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3"/>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3"/>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4"/>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5">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6"/>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6"/>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7"/>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3"/>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3"/>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4"/>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3">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3">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4">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3">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3">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4">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3">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3">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4">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3">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3">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4">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3">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3">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4">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3">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3">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4">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3">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3">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4">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3">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3">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4">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3">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3">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4">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3">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3">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4">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6" t="s">
        <v>2472</v>
      </c>
      <c r="B1" s="3667"/>
      <c r="C1" s="3668"/>
      <c r="D1" s="3669">
        <f>SUM(I10,I15,I20,I21,I23)</f>
        <v>0</v>
      </c>
      <c r="E1" s="3669"/>
      <c r="F1" s="3669"/>
      <c r="G1" s="3669"/>
      <c r="H1" s="3669"/>
      <c r="I1" s="3670"/>
    </row>
    <row r="2" spans="1:9">
      <c r="A2" s="3656" t="s">
        <v>2473</v>
      </c>
      <c r="B2" s="3657" t="s">
        <v>2474</v>
      </c>
      <c r="C2" s="3657"/>
      <c r="D2" s="2482" t="s">
        <v>2475</v>
      </c>
      <c r="E2" s="2482" t="s">
        <v>2476</v>
      </c>
      <c r="F2" s="2482" t="s">
        <v>2477</v>
      </c>
      <c r="G2" s="2482" t="s">
        <v>2478</v>
      </c>
      <c r="H2" s="2482" t="s">
        <v>2479</v>
      </c>
      <c r="I2" s="2483" t="s">
        <v>2480</v>
      </c>
    </row>
    <row r="3" spans="1:9">
      <c r="A3" s="3656"/>
      <c r="B3" s="3657" t="s">
        <v>2481</v>
      </c>
      <c r="C3" s="3657"/>
      <c r="D3" s="2484"/>
      <c r="E3" s="2482"/>
      <c r="F3" s="2485"/>
      <c r="G3" s="2485"/>
      <c r="H3" s="2486"/>
      <c r="I3" s="2487">
        <f>ROUND(D3*E3*F3*G3*H3/10000,0)</f>
        <v>0</v>
      </c>
    </row>
    <row r="4" spans="1:9">
      <c r="A4" s="3656"/>
      <c r="B4" s="3657" t="s">
        <v>2482</v>
      </c>
      <c r="C4" s="3657"/>
      <c r="D4" s="2484"/>
      <c r="E4" s="2482"/>
      <c r="F4" s="2485"/>
      <c r="G4" s="2485"/>
      <c r="H4" s="2486"/>
      <c r="I4" s="2487">
        <f t="shared" ref="I4:I9" si="0">ROUND(D4*E4*F4*G4*H4/10000,0)</f>
        <v>0</v>
      </c>
    </row>
    <row r="5" spans="1:9">
      <c r="A5" s="3656"/>
      <c r="B5" s="3657" t="s">
        <v>2483</v>
      </c>
      <c r="C5" s="3657"/>
      <c r="D5" s="2484"/>
      <c r="E5" s="2482"/>
      <c r="F5" s="2485"/>
      <c r="G5" s="2485"/>
      <c r="H5" s="2486"/>
      <c r="I5" s="2487">
        <f t="shared" si="0"/>
        <v>0</v>
      </c>
    </row>
    <row r="6" spans="1:9">
      <c r="A6" s="3656"/>
      <c r="B6" s="3657" t="s">
        <v>2484</v>
      </c>
      <c r="C6" s="3657"/>
      <c r="D6" s="2484"/>
      <c r="E6" s="2482"/>
      <c r="F6" s="2485"/>
      <c r="G6" s="2485"/>
      <c r="H6" s="2486"/>
      <c r="I6" s="2487">
        <f t="shared" si="0"/>
        <v>0</v>
      </c>
    </row>
    <row r="7" spans="1:9">
      <c r="A7" s="3656"/>
      <c r="B7" s="3657" t="s">
        <v>2485</v>
      </c>
      <c r="C7" s="3657"/>
      <c r="D7" s="2484"/>
      <c r="E7" s="2482"/>
      <c r="F7" s="2485"/>
      <c r="G7" s="2485"/>
      <c r="H7" s="2486"/>
      <c r="I7" s="2487">
        <f t="shared" si="0"/>
        <v>0</v>
      </c>
    </row>
    <row r="8" spans="1:9">
      <c r="A8" s="3656"/>
      <c r="B8" s="3657" t="s">
        <v>2486</v>
      </c>
      <c r="C8" s="3657"/>
      <c r="D8" s="2484"/>
      <c r="E8" s="2482"/>
      <c r="F8" s="2485"/>
      <c r="G8" s="2485"/>
      <c r="H8" s="2486"/>
      <c r="I8" s="2487">
        <f t="shared" si="0"/>
        <v>0</v>
      </c>
    </row>
    <row r="9" spans="1:9">
      <c r="A9" s="3656"/>
      <c r="B9" s="3657" t="s">
        <v>2487</v>
      </c>
      <c r="C9" s="3657"/>
      <c r="D9" s="2484"/>
      <c r="E9" s="2482"/>
      <c r="F9" s="2485"/>
      <c r="G9" s="2485"/>
      <c r="H9" s="2486"/>
      <c r="I9" s="2487">
        <f t="shared" si="0"/>
        <v>0</v>
      </c>
    </row>
    <row r="10" spans="1:9">
      <c r="A10" s="3656"/>
      <c r="B10" s="3658" t="s">
        <v>2488</v>
      </c>
      <c r="C10" s="3658"/>
      <c r="D10" s="2488">
        <v>527</v>
      </c>
      <c r="E10" s="2488" t="e">
        <f>ROUND(D1*10000/D10/H9,0)</f>
        <v>#DIV/0!</v>
      </c>
      <c r="F10" s="2489"/>
      <c r="G10" s="2489"/>
      <c r="H10" s="2490"/>
      <c r="I10" s="2491">
        <f>SUM(I3:I9)</f>
        <v>0</v>
      </c>
    </row>
    <row r="11" spans="1:9" ht="14.25">
      <c r="A11" s="3656" t="s">
        <v>2489</v>
      </c>
      <c r="B11" s="3657" t="s">
        <v>2490</v>
      </c>
      <c r="C11" s="3657"/>
      <c r="D11" s="2484" t="s">
        <v>2491</v>
      </c>
      <c r="E11" s="2484" t="s">
        <v>2492</v>
      </c>
      <c r="F11" s="2485" t="s">
        <v>2493</v>
      </c>
      <c r="G11" s="2485" t="s">
        <v>2494</v>
      </c>
      <c r="H11" s="2492" t="s">
        <v>2495</v>
      </c>
      <c r="I11" s="2483" t="s">
        <v>2496</v>
      </c>
    </row>
    <row r="12" spans="1:9">
      <c r="A12" s="3656"/>
      <c r="B12" s="3657" t="s">
        <v>2497</v>
      </c>
      <c r="C12" s="3657"/>
      <c r="D12" s="2484"/>
      <c r="E12" s="2484"/>
      <c r="F12" s="2485"/>
      <c r="G12" s="2486"/>
      <c r="H12" s="2493"/>
      <c r="I12" s="2483">
        <f>ROUND(D12*E12*F12*G12/10000,0)</f>
        <v>0</v>
      </c>
    </row>
    <row r="13" spans="1:9">
      <c r="A13" s="3656"/>
      <c r="B13" s="3657" t="s">
        <v>2498</v>
      </c>
      <c r="C13" s="3657"/>
      <c r="D13" s="2484"/>
      <c r="E13" s="2484"/>
      <c r="F13" s="2485"/>
      <c r="G13" s="2486"/>
      <c r="H13" s="2493"/>
      <c r="I13" s="2483">
        <f>ROUND(D13*E13*F13*G13/10000,0)</f>
        <v>0</v>
      </c>
    </row>
    <row r="14" spans="1:9">
      <c r="A14" s="3656"/>
      <c r="B14" s="3657" t="s">
        <v>2499</v>
      </c>
      <c r="C14" s="3657"/>
      <c r="D14" s="2484"/>
      <c r="E14" s="2484"/>
      <c r="F14" s="2485"/>
      <c r="G14" s="2486"/>
      <c r="H14" s="2493"/>
      <c r="I14" s="2483">
        <f>ROUND(D14*E14*F14*G14/10000,0)</f>
        <v>0</v>
      </c>
    </row>
    <row r="15" spans="1:9">
      <c r="A15" s="3656"/>
      <c r="B15" s="3658" t="s">
        <v>2488</v>
      </c>
      <c r="C15" s="3658"/>
      <c r="D15" s="2488"/>
      <c r="E15" s="2488">
        <f>SUM(E12:E14)</f>
        <v>0</v>
      </c>
      <c r="F15" s="2489"/>
      <c r="G15" s="2486"/>
      <c r="H15" s="2493"/>
      <c r="I15" s="2494">
        <f>SUM(I12:I14)</f>
        <v>0</v>
      </c>
    </row>
    <row r="16" spans="1:9" ht="24">
      <c r="A16" s="3656" t="s">
        <v>2500</v>
      </c>
      <c r="B16" s="3657" t="s">
        <v>2501</v>
      </c>
      <c r="C16" s="3657"/>
      <c r="D16" s="2484" t="s">
        <v>2502</v>
      </c>
      <c r="E16" s="2495" t="s">
        <v>2503</v>
      </c>
      <c r="F16" s="2485" t="s">
        <v>2504</v>
      </c>
      <c r="G16" s="2486" t="s">
        <v>2494</v>
      </c>
      <c r="H16" s="2492" t="s">
        <v>2495</v>
      </c>
      <c r="I16" s="2483" t="s">
        <v>2496</v>
      </c>
    </row>
    <row r="17" spans="1:9" ht="14.25">
      <c r="A17" s="3656"/>
      <c r="B17" s="3657" t="s">
        <v>2505</v>
      </c>
      <c r="C17" s="3657"/>
      <c r="D17" s="2484"/>
      <c r="E17" s="2484"/>
      <c r="F17" s="2485"/>
      <c r="G17" s="2486"/>
      <c r="H17" s="2496"/>
      <c r="I17" s="2497">
        <f>ROUND(D17*E17*F17*G17/10000,0)</f>
        <v>0</v>
      </c>
    </row>
    <row r="18" spans="1:9" ht="14.25">
      <c r="A18" s="3656"/>
      <c r="B18" s="3657" t="s">
        <v>2506</v>
      </c>
      <c r="C18" s="3657"/>
      <c r="D18" s="2484"/>
      <c r="E18" s="2484"/>
      <c r="F18" s="2485"/>
      <c r="G18" s="2486"/>
      <c r="H18" s="2496"/>
      <c r="I18" s="2497">
        <f>ROUND(D18*E18*F18*G18/10000,0)</f>
        <v>0</v>
      </c>
    </row>
    <row r="19" spans="1:9" ht="14.25">
      <c r="A19" s="3656"/>
      <c r="B19" s="3657" t="s">
        <v>2507</v>
      </c>
      <c r="C19" s="3657"/>
      <c r="D19" s="2484"/>
      <c r="E19" s="2484"/>
      <c r="F19" s="2485"/>
      <c r="G19" s="2486"/>
      <c r="H19" s="2496"/>
      <c r="I19" s="2497">
        <f>ROUND(D19*E19*F19*G19/10000,0)</f>
        <v>0</v>
      </c>
    </row>
    <row r="20" spans="1:9">
      <c r="A20" s="3656"/>
      <c r="B20" s="3658" t="s">
        <v>2488</v>
      </c>
      <c r="C20" s="3658"/>
      <c r="D20" s="2488">
        <f>SUM(D17:D19)</f>
        <v>0</v>
      </c>
      <c r="E20" s="2488"/>
      <c r="F20" s="2489"/>
      <c r="G20" s="2486"/>
      <c r="H20" s="2493"/>
      <c r="I20" s="2494">
        <f>SUM(I17:I19)</f>
        <v>0</v>
      </c>
    </row>
    <row r="21" spans="1:9">
      <c r="A21" s="3656"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53">
        <f>C27-C30-C31-C32</f>
        <v>0</v>
      </c>
      <c r="F26" s="3653"/>
      <c r="G26" s="3653"/>
      <c r="H26" s="3014" t="s">
        <v>2843</v>
      </c>
    </row>
    <row r="27" spans="1:9">
      <c r="A27" s="2506">
        <v>1</v>
      </c>
      <c r="B27" s="2507" t="s">
        <v>2517</v>
      </c>
      <c r="C27" s="2507"/>
      <c r="D27" s="2507"/>
      <c r="E27" s="3654"/>
      <c r="F27" s="3654"/>
      <c r="G27" s="3654"/>
    </row>
    <row r="28" spans="1:9">
      <c r="A28" s="2508" t="s">
        <v>2518</v>
      </c>
      <c r="B28" s="2507" t="s">
        <v>2519</v>
      </c>
      <c r="C28" s="2507"/>
      <c r="D28" s="2507"/>
      <c r="E28" s="3654"/>
      <c r="F28" s="3654"/>
      <c r="G28" s="3654"/>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5"/>
      <c r="F32" s="3655"/>
      <c r="G32" s="3655"/>
    </row>
    <row r="33" spans="1:7" hidden="1">
      <c r="A33" s="3650" t="s">
        <v>2527</v>
      </c>
      <c r="B33" s="3651"/>
      <c r="C33" s="3651"/>
      <c r="D33" s="3652"/>
      <c r="E33" s="3653"/>
      <c r="F33" s="3653"/>
      <c r="G33" s="3653"/>
    </row>
    <row r="34" spans="1:7" hidden="1">
      <c r="A34" s="2510">
        <v>1</v>
      </c>
      <c r="B34" s="2507" t="s">
        <v>2528</v>
      </c>
      <c r="C34" s="2507"/>
      <c r="D34" s="2507"/>
      <c r="E34" s="3654"/>
      <c r="F34" s="3654"/>
      <c r="G34" s="3654"/>
    </row>
    <row r="35" spans="1:7" hidden="1">
      <c r="A35" s="2510">
        <v>2</v>
      </c>
      <c r="B35" s="2507" t="s">
        <v>2529</v>
      </c>
      <c r="C35" s="2507"/>
      <c r="D35" s="2507"/>
      <c r="E35" s="3654"/>
      <c r="F35" s="3654"/>
      <c r="G35" s="3654"/>
    </row>
    <row r="36" spans="1:7" hidden="1">
      <c r="A36" s="2510">
        <v>3</v>
      </c>
      <c r="B36" s="2507" t="s">
        <v>2530</v>
      </c>
      <c r="C36" s="2507"/>
      <c r="D36" s="2507"/>
      <c r="E36" s="3654"/>
      <c r="F36" s="3654"/>
      <c r="G36" s="3654"/>
    </row>
    <row r="37" spans="1:7" hidden="1">
      <c r="A37" s="2510">
        <v>4</v>
      </c>
      <c r="B37" s="2507" t="s">
        <v>2531</v>
      </c>
      <c r="C37" s="2507"/>
      <c r="D37" s="2507"/>
      <c r="E37" s="3654"/>
      <c r="F37" s="3654"/>
      <c r="G37" s="3654"/>
    </row>
    <row r="38" spans="1:7" hidden="1">
      <c r="A38" s="3650" t="s">
        <v>2532</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0.83299999999999996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5" sqref="M4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15691</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14417</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71" t="s">
        <v>3245</v>
      </c>
      <c r="F5" s="3606"/>
      <c r="G5" s="3672" t="s">
        <v>3246</v>
      </c>
      <c r="H5" s="3591"/>
      <c r="I5" s="3672" t="s">
        <v>3247</v>
      </c>
      <c r="J5" s="3591"/>
      <c r="K5" s="85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3117</v>
      </c>
      <c r="H8" s="520">
        <f>SUMIF(61:61,G8,62:62)-SUMIF(61:61,C8,62:62)+100</f>
        <v>100</v>
      </c>
      <c r="I8" s="3186" t="s">
        <v>3118</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3119</v>
      </c>
      <c r="D9" s="254">
        <v>100</v>
      </c>
      <c r="E9" s="3188" t="s">
        <v>3119</v>
      </c>
      <c r="F9" s="859">
        <f>SUMIF(63:63,E9,64:64)-SUMIF(63:63,C9,64:64)+100</f>
        <v>100</v>
      </c>
      <c r="G9" s="3189" t="s">
        <v>3119</v>
      </c>
      <c r="H9" s="254">
        <f>SUMIF(63:63,G9,64:64)-SUMIF(63:63,C9,64:64)+100</f>
        <v>100</v>
      </c>
      <c r="I9" s="3189" t="s">
        <v>3119</v>
      </c>
      <c r="J9" s="254">
        <f>SUMIF(63:63,I9,64:64)-SUMIF(63:63,C9,64:64)+100</f>
        <v>100</v>
      </c>
      <c r="K9" s="855"/>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t="s">
        <v>3120</v>
      </c>
      <c r="D10" s="255">
        <v>100</v>
      </c>
      <c r="E10" s="862" t="s">
        <v>3121</v>
      </c>
      <c r="F10" s="863">
        <f>SUMIF(65:65,E10,66:66)-SUMIF(65:65,C10,66:66)+100</f>
        <v>102</v>
      </c>
      <c r="G10" s="861" t="s">
        <v>3121</v>
      </c>
      <c r="H10" s="255">
        <f>SUMIF(65:65,G10,66:66)-SUMIF(65:65,C10,66:66)+100</f>
        <v>102</v>
      </c>
      <c r="I10" s="861" t="s">
        <v>3121</v>
      </c>
      <c r="J10" s="255">
        <f>SUMIF(65:65,I10,66:66)-SUMIF(65:65,C10,66:66)+100</f>
        <v>102</v>
      </c>
      <c r="K10" s="864">
        <v>2</v>
      </c>
      <c r="L10" s="2134"/>
      <c r="M10" s="2174"/>
      <c r="N10" s="2174"/>
      <c r="O10" s="2135"/>
      <c r="P10" s="3573"/>
      <c r="Q10" s="1147" t="str">
        <f t="shared" si="6"/>
        <v>土地使用年限（年）</v>
      </c>
      <c r="R10" s="1564" t="s">
        <v>8</v>
      </c>
      <c r="S10" s="1565">
        <f t="shared" si="0"/>
        <v>102</v>
      </c>
      <c r="T10" s="1564" t="s">
        <v>8</v>
      </c>
      <c r="U10" s="1565">
        <f t="shared" si="1"/>
        <v>102</v>
      </c>
      <c r="V10" s="1564" t="s">
        <v>8</v>
      </c>
      <c r="W10" s="1565">
        <f t="shared" si="2"/>
        <v>102</v>
      </c>
      <c r="X10" s="1566"/>
      <c r="Y10" s="3530"/>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36"/>
      <c r="M11" s="2130"/>
      <c r="N11" s="2130"/>
      <c r="O11" s="2137"/>
      <c r="P11" s="3573"/>
      <c r="Q11" s="1147" t="str">
        <f t="shared" si="6"/>
        <v>容积率</v>
      </c>
      <c r="R11" s="1564" t="s">
        <v>11</v>
      </c>
      <c r="S11" s="1565">
        <f t="shared" si="0"/>
        <v>100</v>
      </c>
      <c r="T11" s="1564" t="s">
        <v>11</v>
      </c>
      <c r="U11" s="1565">
        <f t="shared" si="1"/>
        <v>104</v>
      </c>
      <c r="V11" s="1564" t="s">
        <v>11</v>
      </c>
      <c r="W11" s="1565">
        <f t="shared" si="2"/>
        <v>102</v>
      </c>
      <c r="X11" s="1566"/>
      <c r="Y11" s="3530"/>
      <c r="Z11" s="1146" t="str">
        <f t="shared" si="7"/>
        <v>容积率</v>
      </c>
      <c r="AA11" s="1567">
        <f t="shared" si="3"/>
        <v>1</v>
      </c>
      <c r="AB11" s="1567">
        <f t="shared" si="4"/>
        <v>0.96153846153846156</v>
      </c>
      <c r="AC11" s="1567">
        <f t="shared" si="5"/>
        <v>0.98039215686274506</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73"/>
      <c r="Q12" s="1147">
        <f t="shared" si="6"/>
        <v>111</v>
      </c>
      <c r="R12" s="1564" t="s">
        <v>11</v>
      </c>
      <c r="S12" s="1565">
        <f t="shared" si="0"/>
        <v>100</v>
      </c>
      <c r="T12" s="1564" t="s">
        <v>11</v>
      </c>
      <c r="U12" s="1565">
        <f t="shared" si="1"/>
        <v>100</v>
      </c>
      <c r="V12" s="1564" t="s">
        <v>11</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1147">
        <f t="shared" si="6"/>
        <v>111</v>
      </c>
      <c r="R13" s="1564" t="s">
        <v>11</v>
      </c>
      <c r="S13" s="1565">
        <f t="shared" si="0"/>
        <v>100</v>
      </c>
      <c r="T13" s="1564" t="s">
        <v>11</v>
      </c>
      <c r="U13" s="1565">
        <f t="shared" si="1"/>
        <v>100</v>
      </c>
      <c r="V13" s="1564" t="s">
        <v>11</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1147">
        <f t="shared" si="6"/>
        <v>111</v>
      </c>
      <c r="R14" s="1564" t="s">
        <v>11</v>
      </c>
      <c r="S14" s="1565">
        <f t="shared" si="0"/>
        <v>100</v>
      </c>
      <c r="T14" s="1564" t="s">
        <v>11</v>
      </c>
      <c r="U14" s="1565">
        <f t="shared" si="1"/>
        <v>100</v>
      </c>
      <c r="V14" s="1564" t="s">
        <v>11</v>
      </c>
      <c r="W14" s="1565">
        <f t="shared" si="2"/>
        <v>100</v>
      </c>
      <c r="X14" s="1566"/>
      <c r="Y14" s="3530"/>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1568" t="str">
        <f t="shared" si="6"/>
        <v>居住社区成熟度</v>
      </c>
      <c r="R15" s="1569" t="s">
        <v>11</v>
      </c>
      <c r="S15" s="1570">
        <f t="shared" si="0"/>
        <v>100</v>
      </c>
      <c r="T15" s="1569" t="s">
        <v>11</v>
      </c>
      <c r="U15" s="1570">
        <f t="shared" si="1"/>
        <v>100</v>
      </c>
      <c r="V15" s="1569" t="s">
        <v>11</v>
      </c>
      <c r="W15" s="1570">
        <f t="shared" si="2"/>
        <v>100</v>
      </c>
      <c r="X15" s="1563"/>
      <c r="Y15" s="3575" t="s">
        <v>540</v>
      </c>
      <c r="Z15" s="1571" t="str">
        <f t="shared" si="7"/>
        <v>居住社区成熟度</v>
      </c>
      <c r="AA15" s="1572">
        <f t="shared" si="3"/>
        <v>1</v>
      </c>
      <c r="AB15" s="1572">
        <f t="shared" si="4"/>
        <v>1</v>
      </c>
      <c r="AC15" s="1572">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1568" t="str">
        <f>B17</f>
        <v>交通便捷度</v>
      </c>
      <c r="R17" s="1569" t="s">
        <v>11</v>
      </c>
      <c r="S17" s="1570">
        <f>F17</f>
        <v>100</v>
      </c>
      <c r="T17" s="1569" t="s">
        <v>11</v>
      </c>
      <c r="U17" s="1570">
        <f>H17</f>
        <v>100</v>
      </c>
      <c r="V17" s="1569" t="s">
        <v>11</v>
      </c>
      <c r="W17" s="1570">
        <f>J17</f>
        <v>100</v>
      </c>
      <c r="X17" s="1563"/>
      <c r="Y17" s="3576"/>
      <c r="Z17" s="1571" t="str">
        <f>Q17</f>
        <v>交通便捷度</v>
      </c>
      <c r="AA17" s="1572">
        <f t="shared" si="3"/>
        <v>1</v>
      </c>
      <c r="AB17" s="1572">
        <f t="shared" si="4"/>
        <v>1</v>
      </c>
      <c r="AC17" s="1572">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1568" t="str">
        <f>B19</f>
        <v>公共配套设施</v>
      </c>
      <c r="R19" s="1569" t="s">
        <v>11</v>
      </c>
      <c r="S19" s="1570">
        <f>F19</f>
        <v>100</v>
      </c>
      <c r="T19" s="1569" t="s">
        <v>11</v>
      </c>
      <c r="U19" s="1570">
        <f>H19</f>
        <v>100</v>
      </c>
      <c r="V19" s="1569" t="s">
        <v>11</v>
      </c>
      <c r="W19" s="1570">
        <f>J19</f>
        <v>100</v>
      </c>
      <c r="X19" s="1563"/>
      <c r="Y19" s="3576"/>
      <c r="Z19" s="1571" t="str">
        <f>Q19</f>
        <v>公共配套设施</v>
      </c>
      <c r="AA19" s="1572">
        <f t="shared" si="3"/>
        <v>1</v>
      </c>
      <c r="AB19" s="1572">
        <f t="shared" si="4"/>
        <v>1</v>
      </c>
      <c r="AC19" s="1572">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2554" t="str">
        <f>B21</f>
        <v>基础设施水平</v>
      </c>
      <c r="R21" s="1569" t="s">
        <v>11</v>
      </c>
      <c r="S21" s="1570">
        <f>F21</f>
        <v>100</v>
      </c>
      <c r="T21" s="1569" t="s">
        <v>11</v>
      </c>
      <c r="U21" s="1570">
        <f>H21</f>
        <v>100</v>
      </c>
      <c r="V21" s="1569" t="s">
        <v>11</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3123</v>
      </c>
      <c r="D22" s="555"/>
      <c r="E22" s="3183" t="s">
        <v>3123</v>
      </c>
      <c r="F22" s="557"/>
      <c r="G22" s="3183" t="s">
        <v>3124</v>
      </c>
      <c r="H22" s="555"/>
      <c r="I22" s="3183" t="s">
        <v>3125</v>
      </c>
      <c r="J22" s="555"/>
      <c r="K22" s="2574"/>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1568" t="str">
        <f>B23</f>
        <v>自然及人文环境</v>
      </c>
      <c r="R23" s="1569" t="s">
        <v>11</v>
      </c>
      <c r="S23" s="1570">
        <f>F23</f>
        <v>100</v>
      </c>
      <c r="T23" s="1569" t="s">
        <v>11</v>
      </c>
      <c r="U23" s="1570">
        <f>H23</f>
        <v>100</v>
      </c>
      <c r="V23" s="1569" t="s">
        <v>11</v>
      </c>
      <c r="W23" s="1570">
        <f>J23</f>
        <v>100</v>
      </c>
      <c r="X23" s="1563"/>
      <c r="Y23" s="3576"/>
      <c r="Z23" s="1571" t="str">
        <f>Q23</f>
        <v>自然及人文环境</v>
      </c>
      <c r="AA23" s="1572">
        <f t="shared" si="3"/>
        <v>1</v>
      </c>
      <c r="AB23" s="1572">
        <f t="shared" si="4"/>
        <v>1</v>
      </c>
      <c r="AC23" s="1572">
        <f t="shared" si="5"/>
        <v>1</v>
      </c>
    </row>
    <row r="24" spans="1:29" ht="15">
      <c r="A24" s="532"/>
      <c r="B24" s="595"/>
      <c r="C24" s="3183" t="s">
        <v>3122</v>
      </c>
      <c r="D24" s="555"/>
      <c r="E24" s="3178" t="s">
        <v>3126</v>
      </c>
      <c r="F24" s="557"/>
      <c r="G24" s="3177" t="s">
        <v>3122</v>
      </c>
      <c r="H24" s="555"/>
      <c r="I24" s="3178" t="s">
        <v>3122</v>
      </c>
      <c r="J24" s="555"/>
      <c r="K24" s="870"/>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1568" t="str">
        <f t="shared" ref="Q25:Q46" si="11">B25</f>
        <v>楼层-1</v>
      </c>
      <c r="R25" s="1569" t="s">
        <v>11</v>
      </c>
      <c r="S25" s="1570">
        <f>F25</f>
        <v>100</v>
      </c>
      <c r="T25" s="1569" t="s">
        <v>11</v>
      </c>
      <c r="U25" s="1570">
        <f>H25</f>
        <v>100</v>
      </c>
      <c r="V25" s="1569" t="s">
        <v>11</v>
      </c>
      <c r="W25" s="1570">
        <f>J25</f>
        <v>100</v>
      </c>
      <c r="X25" s="1563"/>
      <c r="Y25" s="3576"/>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1568" t="str">
        <f t="shared" si="11"/>
        <v>朝向</v>
      </c>
      <c r="R26" s="1569" t="s">
        <v>11</v>
      </c>
      <c r="S26" s="1570">
        <f>F26</f>
        <v>100</v>
      </c>
      <c r="T26" s="1569" t="s">
        <v>11</v>
      </c>
      <c r="U26" s="1570">
        <f>H26</f>
        <v>100</v>
      </c>
      <c r="V26" s="1569" t="s">
        <v>11</v>
      </c>
      <c r="W26" s="1570">
        <f>J26</f>
        <v>100</v>
      </c>
      <c r="X26" s="1563"/>
      <c r="Y26" s="3576"/>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1147" t="str">
        <f t="shared" si="11"/>
        <v>道路级别</v>
      </c>
      <c r="R27" s="1564" t="s">
        <v>11</v>
      </c>
      <c r="S27" s="1565">
        <f>F27</f>
        <v>100</v>
      </c>
      <c r="T27" s="1564" t="s">
        <v>11</v>
      </c>
      <c r="U27" s="1565">
        <f>H27</f>
        <v>100</v>
      </c>
      <c r="V27" s="1564" t="s">
        <v>11</v>
      </c>
      <c r="W27" s="1565">
        <f>J27</f>
        <v>100</v>
      </c>
      <c r="X27" s="1566"/>
      <c r="Y27" s="3576"/>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1568">
        <f t="shared" si="11"/>
        <v>111</v>
      </c>
      <c r="R28" s="1569" t="s">
        <v>11</v>
      </c>
      <c r="S28" s="1570">
        <f t="shared" ref="S28:S46" si="12">F28</f>
        <v>100</v>
      </c>
      <c r="T28" s="1569" t="s">
        <v>11</v>
      </c>
      <c r="U28" s="1570">
        <f t="shared" ref="U28:U46" si="13">H28</f>
        <v>100</v>
      </c>
      <c r="V28" s="1569" t="s">
        <v>11</v>
      </c>
      <c r="W28" s="1570">
        <f t="shared" ref="W28:W46" si="14">J28</f>
        <v>100</v>
      </c>
      <c r="X28" s="1563"/>
      <c r="Y28" s="3576"/>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1568">
        <f t="shared" si="11"/>
        <v>111</v>
      </c>
      <c r="R29" s="1569" t="s">
        <v>11</v>
      </c>
      <c r="S29" s="1570">
        <f t="shared" si="12"/>
        <v>100</v>
      </c>
      <c r="T29" s="1569" t="s">
        <v>11</v>
      </c>
      <c r="U29" s="1570">
        <f t="shared" si="13"/>
        <v>100</v>
      </c>
      <c r="V29" s="1569" t="s">
        <v>11</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1568">
        <f t="shared" si="11"/>
        <v>111</v>
      </c>
      <c r="R30" s="1569" t="s">
        <v>11</v>
      </c>
      <c r="S30" s="1570">
        <f t="shared" si="12"/>
        <v>100</v>
      </c>
      <c r="T30" s="1569" t="s">
        <v>11</v>
      </c>
      <c r="U30" s="1570">
        <f t="shared" si="13"/>
        <v>100</v>
      </c>
      <c r="V30" s="1569" t="s">
        <v>11</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1568">
        <f t="shared" si="11"/>
        <v>111</v>
      </c>
      <c r="R31" s="1569" t="s">
        <v>11</v>
      </c>
      <c r="S31" s="1570">
        <f t="shared" si="12"/>
        <v>100</v>
      </c>
      <c r="T31" s="1569" t="s">
        <v>11</v>
      </c>
      <c r="U31" s="1570">
        <f t="shared" si="13"/>
        <v>100</v>
      </c>
      <c r="V31" s="1569" t="s">
        <v>11</v>
      </c>
      <c r="W31" s="1570">
        <f t="shared" si="14"/>
        <v>100</v>
      </c>
      <c r="X31" s="1563"/>
      <c r="Y31" s="3576"/>
      <c r="Z31" s="1571">
        <f t="shared" si="15"/>
        <v>111</v>
      </c>
      <c r="AA31" s="1572">
        <f t="shared" si="3"/>
        <v>1</v>
      </c>
      <c r="AB31" s="1572">
        <f t="shared" si="4"/>
        <v>1</v>
      </c>
      <c r="AC31" s="1572">
        <f t="shared" si="5"/>
        <v>1</v>
      </c>
    </row>
    <row r="32" spans="1:29" ht="15">
      <c r="A32" s="2881" t="s">
        <v>2755</v>
      </c>
      <c r="B32" s="172" t="s">
        <v>725</v>
      </c>
      <c r="C32" s="3191" t="s">
        <v>3127</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77" t="s">
        <v>550</v>
      </c>
      <c r="Q32" s="1568" t="str">
        <f t="shared" si="11"/>
        <v>建筑类型</v>
      </c>
      <c r="R32" s="1569" t="s">
        <v>11</v>
      </c>
      <c r="S32" s="1570">
        <f t="shared" si="12"/>
        <v>100</v>
      </c>
      <c r="T32" s="1569" t="s">
        <v>11</v>
      </c>
      <c r="U32" s="1570">
        <f t="shared" si="13"/>
        <v>100</v>
      </c>
      <c r="V32" s="1569" t="s">
        <v>11</v>
      </c>
      <c r="W32" s="1570">
        <f t="shared" si="14"/>
        <v>100</v>
      </c>
      <c r="X32" s="1563"/>
      <c r="Y32" s="3578"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78"/>
      <c r="Q33" s="1601" t="str">
        <f t="shared" si="11"/>
        <v>项目建筑规模</v>
      </c>
      <c r="R33" s="1573" t="s">
        <v>11</v>
      </c>
      <c r="S33" s="1574">
        <f t="shared" si="12"/>
        <v>102</v>
      </c>
      <c r="T33" s="1573" t="s">
        <v>11</v>
      </c>
      <c r="U33" s="1574">
        <f t="shared" si="13"/>
        <v>102</v>
      </c>
      <c r="V33" s="1573" t="s">
        <v>11</v>
      </c>
      <c r="W33" s="1574">
        <f t="shared" si="14"/>
        <v>102</v>
      </c>
      <c r="X33" s="1575"/>
      <c r="Y33" s="3578"/>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78"/>
      <c r="Q34" s="1568" t="str">
        <f t="shared" si="11"/>
        <v>建筑结构</v>
      </c>
      <c r="R34" s="1569" t="s">
        <v>11</v>
      </c>
      <c r="S34" s="1570">
        <f t="shared" si="12"/>
        <v>100</v>
      </c>
      <c r="T34" s="1569" t="s">
        <v>11</v>
      </c>
      <c r="U34" s="1570">
        <f t="shared" si="13"/>
        <v>100</v>
      </c>
      <c r="V34" s="1569" t="s">
        <v>11</v>
      </c>
      <c r="W34" s="1570">
        <f t="shared" si="14"/>
        <v>100</v>
      </c>
      <c r="X34" s="1563"/>
      <c r="Y34" s="3578"/>
      <c r="Z34" s="1571" t="str">
        <f t="shared" si="15"/>
        <v>建筑结构</v>
      </c>
      <c r="AA34" s="1572">
        <f t="shared" si="3"/>
        <v>1</v>
      </c>
      <c r="AB34" s="1572">
        <f t="shared" si="4"/>
        <v>1</v>
      </c>
      <c r="AC34" s="1572">
        <f t="shared" si="5"/>
        <v>1</v>
      </c>
    </row>
    <row r="35" spans="1:29" ht="15">
      <c r="A35" s="594"/>
      <c r="B35" s="527" t="s">
        <v>728</v>
      </c>
      <c r="C35" s="3241" t="s">
        <v>3242</v>
      </c>
      <c r="D35" s="540">
        <v>100</v>
      </c>
      <c r="E35" s="3242" t="s">
        <v>3242</v>
      </c>
      <c r="F35" s="575">
        <f>SUMIF(107:107,E35,108:108)-SUMIF(107:107,C35,108:108)+100</f>
        <v>100</v>
      </c>
      <c r="G35" s="3241" t="s">
        <v>3242</v>
      </c>
      <c r="H35" s="540">
        <f>SUMIF(107:107,G35,108:108)-SUMIF(107:107,C35,108:108)+100</f>
        <v>100</v>
      </c>
      <c r="I35" s="3242" t="s">
        <v>3242</v>
      </c>
      <c r="J35" s="540">
        <f>SUMIF(107:107,I35,108:108)-SUMIF(107:107,C35,108:108)+100</f>
        <v>100</v>
      </c>
      <c r="K35" s="864">
        <v>2</v>
      </c>
      <c r="L35" s="2138"/>
      <c r="M35" s="2130"/>
      <c r="N35" s="2130"/>
      <c r="O35" s="2137"/>
      <c r="P35" s="3578"/>
      <c r="Q35" s="1568" t="str">
        <f t="shared" si="11"/>
        <v>建筑品质</v>
      </c>
      <c r="R35" s="1569" t="s">
        <v>11</v>
      </c>
      <c r="S35" s="1570">
        <f t="shared" si="12"/>
        <v>100</v>
      </c>
      <c r="T35" s="1569" t="s">
        <v>11</v>
      </c>
      <c r="U35" s="1570">
        <f t="shared" si="13"/>
        <v>100</v>
      </c>
      <c r="V35" s="1569" t="s">
        <v>11</v>
      </c>
      <c r="W35" s="1570">
        <f t="shared" si="14"/>
        <v>100</v>
      </c>
      <c r="X35" s="1563"/>
      <c r="Y35" s="3578"/>
      <c r="Z35" s="1571" t="str">
        <f t="shared" si="15"/>
        <v>建筑品质</v>
      </c>
      <c r="AA35" s="1572">
        <f t="shared" si="3"/>
        <v>1</v>
      </c>
      <c r="AB35" s="1572">
        <f t="shared" si="4"/>
        <v>1</v>
      </c>
      <c r="AC35" s="1572">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78"/>
      <c r="Q36" s="1568" t="str">
        <f t="shared" si="11"/>
        <v>公共部分装修</v>
      </c>
      <c r="R36" s="1569" t="s">
        <v>11</v>
      </c>
      <c r="S36" s="1570">
        <f t="shared" si="12"/>
        <v>100</v>
      </c>
      <c r="T36" s="1569" t="s">
        <v>11</v>
      </c>
      <c r="U36" s="1570">
        <f t="shared" si="13"/>
        <v>100</v>
      </c>
      <c r="V36" s="1569" t="s">
        <v>11</v>
      </c>
      <c r="W36" s="1570">
        <f t="shared" si="14"/>
        <v>100</v>
      </c>
      <c r="X36" s="1563"/>
      <c r="Y36" s="3578"/>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1147" t="str">
        <f t="shared" si="11"/>
        <v>成新度</v>
      </c>
      <c r="R37" s="1564" t="s">
        <v>11</v>
      </c>
      <c r="S37" s="1565">
        <f t="shared" si="12"/>
        <v>100</v>
      </c>
      <c r="T37" s="1564" t="s">
        <v>11</v>
      </c>
      <c r="U37" s="1565">
        <f t="shared" si="13"/>
        <v>100</v>
      </c>
      <c r="V37" s="1564" t="s">
        <v>11</v>
      </c>
      <c r="W37" s="1565">
        <f t="shared" si="14"/>
        <v>100</v>
      </c>
      <c r="X37" s="1566"/>
      <c r="Y37" s="3578"/>
      <c r="Z37" s="1146"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78" t="s">
        <v>550</v>
      </c>
      <c r="Q38" s="1568" t="str">
        <f t="shared" si="11"/>
        <v>物业管理</v>
      </c>
      <c r="R38" s="1569" t="s">
        <v>11</v>
      </c>
      <c r="S38" s="1570">
        <f t="shared" si="12"/>
        <v>100</v>
      </c>
      <c r="T38" s="1569" t="s">
        <v>11</v>
      </c>
      <c r="U38" s="1570">
        <f t="shared" si="13"/>
        <v>100</v>
      </c>
      <c r="V38" s="1569" t="s">
        <v>11</v>
      </c>
      <c r="W38" s="1570">
        <f t="shared" si="14"/>
        <v>100</v>
      </c>
      <c r="X38" s="1563"/>
      <c r="Y38" s="3578" t="s">
        <v>550</v>
      </c>
      <c r="Z38" s="1571" t="str">
        <f t="shared" si="15"/>
        <v>物业管理</v>
      </c>
      <c r="AA38" s="1572">
        <f t="shared" si="3"/>
        <v>1</v>
      </c>
      <c r="AB38" s="1572">
        <f t="shared" si="4"/>
        <v>1</v>
      </c>
      <c r="AC38" s="1572">
        <f t="shared" si="5"/>
        <v>1</v>
      </c>
    </row>
    <row r="39" spans="1:29" ht="15">
      <c r="A39" s="594"/>
      <c r="B39" s="1891" t="s">
        <v>2565</v>
      </c>
      <c r="C39" s="3241" t="s">
        <v>3244</v>
      </c>
      <c r="D39" s="540">
        <v>100</v>
      </c>
      <c r="E39" s="3242" t="s">
        <v>3244</v>
      </c>
      <c r="F39" s="575">
        <f>SUMIF(116:116,E39,117:117)-SUMIF(116:116,C39,117:117)+100</f>
        <v>100</v>
      </c>
      <c r="G39" s="3241" t="s">
        <v>3244</v>
      </c>
      <c r="H39" s="540">
        <f>SUMIF(116:116,G39,117:117)-SUMIF(116:116,C39,117:117)+100</f>
        <v>100</v>
      </c>
      <c r="I39" s="3242" t="s">
        <v>3244</v>
      </c>
      <c r="J39" s="540">
        <f>SUMIF(116:116,I39,117:117)-SUMIF(116:116,C39,117:117)+100</f>
        <v>100</v>
      </c>
      <c r="K39" s="864">
        <v>2</v>
      </c>
      <c r="L39" s="2138"/>
      <c r="M39" s="2130"/>
      <c r="N39" s="2130"/>
      <c r="O39" s="2137"/>
      <c r="P39" s="3578"/>
      <c r="Q39" s="1568" t="str">
        <f t="shared" si="11"/>
        <v>市政基础设施</v>
      </c>
      <c r="R39" s="1569" t="s">
        <v>11</v>
      </c>
      <c r="S39" s="1570">
        <f t="shared" si="12"/>
        <v>100</v>
      </c>
      <c r="T39" s="1569" t="s">
        <v>11</v>
      </c>
      <c r="U39" s="1570">
        <f t="shared" si="13"/>
        <v>100</v>
      </c>
      <c r="V39" s="1569" t="s">
        <v>11</v>
      </c>
      <c r="W39" s="1570">
        <f t="shared" si="14"/>
        <v>100</v>
      </c>
      <c r="X39" s="1563"/>
      <c r="Y39" s="3578"/>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1568" t="str">
        <f t="shared" si="11"/>
        <v>房型</v>
      </c>
      <c r="R40" s="1569" t="s">
        <v>11</v>
      </c>
      <c r="S40" s="1570">
        <f t="shared" si="12"/>
        <v>100</v>
      </c>
      <c r="T40" s="1569" t="s">
        <v>11</v>
      </c>
      <c r="U40" s="1570">
        <f t="shared" si="13"/>
        <v>100</v>
      </c>
      <c r="V40" s="1569" t="s">
        <v>11</v>
      </c>
      <c r="W40" s="1570">
        <f t="shared" si="14"/>
        <v>100</v>
      </c>
      <c r="X40" s="1563"/>
      <c r="Y40" s="3578"/>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1572">
        <f t="shared" si="3"/>
        <v>1</v>
      </c>
      <c r="AB41" s="1572">
        <f t="shared" si="4"/>
        <v>1</v>
      </c>
      <c r="AC41" s="1572">
        <f t="shared" si="5"/>
        <v>1</v>
      </c>
    </row>
    <row r="42" spans="1:29" ht="15">
      <c r="A42" s="594"/>
      <c r="B42" s="527" t="s">
        <v>734</v>
      </c>
      <c r="C42" s="3241" t="s">
        <v>3237</v>
      </c>
      <c r="D42" s="540">
        <v>100</v>
      </c>
      <c r="E42" s="3242" t="s">
        <v>3237</v>
      </c>
      <c r="F42" s="575">
        <f>SUMIF(122:122,E42,123:123)-SUMIF(122:122,C42,123:123)+100</f>
        <v>100</v>
      </c>
      <c r="G42" s="3241" t="s">
        <v>3248</v>
      </c>
      <c r="H42" s="540">
        <f>SUMIF(122:122,G42,123:123)-SUMIF(122:122,C42,123:123)+100</f>
        <v>91</v>
      </c>
      <c r="I42" s="3242" t="s">
        <v>3237</v>
      </c>
      <c r="J42" s="540">
        <f>SUMIF(122:122,I42,123:123)-SUMIF(122:122,C42,123:123)+100</f>
        <v>100</v>
      </c>
      <c r="K42" s="864">
        <v>3</v>
      </c>
      <c r="L42" s="2138"/>
      <c r="M42" s="2130"/>
      <c r="N42" s="2130"/>
      <c r="O42" s="2137"/>
      <c r="P42" s="3578"/>
      <c r="Q42" s="1568" t="str">
        <f t="shared" si="11"/>
        <v>内部装修</v>
      </c>
      <c r="R42" s="1569" t="s">
        <v>11</v>
      </c>
      <c r="S42" s="1570">
        <f t="shared" si="12"/>
        <v>100</v>
      </c>
      <c r="T42" s="1569" t="s">
        <v>11</v>
      </c>
      <c r="U42" s="1570">
        <f t="shared" si="13"/>
        <v>91</v>
      </c>
      <c r="V42" s="1569" t="s">
        <v>11</v>
      </c>
      <c r="W42" s="1570">
        <f t="shared" si="14"/>
        <v>100</v>
      </c>
      <c r="X42" s="1563"/>
      <c r="Y42" s="3578"/>
      <c r="Z42" s="1571" t="str">
        <f t="shared" si="15"/>
        <v>内部装修</v>
      </c>
      <c r="AA42" s="1572">
        <f t="shared" si="3"/>
        <v>1</v>
      </c>
      <c r="AB42" s="1572">
        <f t="shared" si="4"/>
        <v>1.098901098901099</v>
      </c>
      <c r="AC42" s="1572">
        <f t="shared" si="5"/>
        <v>1</v>
      </c>
    </row>
    <row r="43" spans="1:29" ht="27">
      <c r="A43" s="594"/>
      <c r="B43" s="527" t="s">
        <v>735</v>
      </c>
      <c r="C43" s="3241" t="s">
        <v>3242</v>
      </c>
      <c r="D43" s="540">
        <v>100</v>
      </c>
      <c r="E43" s="3242" t="s">
        <v>3242</v>
      </c>
      <c r="F43" s="575">
        <f>SUMIF(124:124,E43,125:125)-SUMIF(124:124,C43,125:125)+100</f>
        <v>100</v>
      </c>
      <c r="G43" s="3241" t="s">
        <v>3242</v>
      </c>
      <c r="H43" s="540">
        <f>SUMIF(124:124,G43,125:125)-SUMIF(124:124,C43,125:125)+100</f>
        <v>100</v>
      </c>
      <c r="I43" s="3242" t="s">
        <v>3242</v>
      </c>
      <c r="J43" s="540">
        <f>SUMIF(124:124,I43,125:125)-SUMIF(124:124,C43,125:125)+100</f>
        <v>100</v>
      </c>
      <c r="K43" s="864">
        <v>2</v>
      </c>
      <c r="L43" s="2138"/>
      <c r="M43" s="2130"/>
      <c r="N43" s="2130"/>
      <c r="O43" s="2137"/>
      <c r="P43" s="3578"/>
      <c r="Q43" s="1568" t="str">
        <f t="shared" si="11"/>
        <v>内部装修维护情况</v>
      </c>
      <c r="R43" s="1569" t="s">
        <v>11</v>
      </c>
      <c r="S43" s="1570">
        <f t="shared" si="12"/>
        <v>100</v>
      </c>
      <c r="T43" s="1569" t="s">
        <v>11</v>
      </c>
      <c r="U43" s="1570">
        <f t="shared" si="13"/>
        <v>100</v>
      </c>
      <c r="V43" s="1569" t="s">
        <v>11</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1147">
        <f t="shared" si="11"/>
        <v>111</v>
      </c>
      <c r="R44" s="1564" t="s">
        <v>11</v>
      </c>
      <c r="S44" s="1565">
        <f t="shared" si="12"/>
        <v>100</v>
      </c>
      <c r="T44" s="1564" t="s">
        <v>11</v>
      </c>
      <c r="U44" s="1565">
        <f t="shared" si="13"/>
        <v>100</v>
      </c>
      <c r="V44" s="1564" t="s">
        <v>11</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1568">
        <f t="shared" si="11"/>
        <v>111</v>
      </c>
      <c r="R45" s="1569" t="s">
        <v>11</v>
      </c>
      <c r="S45" s="1570">
        <f t="shared" si="12"/>
        <v>100</v>
      </c>
      <c r="T45" s="1569" t="s">
        <v>11</v>
      </c>
      <c r="U45" s="1570">
        <f t="shared" si="13"/>
        <v>100</v>
      </c>
      <c r="V45" s="1569" t="s">
        <v>11</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1568">
        <f t="shared" si="11"/>
        <v>111</v>
      </c>
      <c r="R46" s="1569" t="s">
        <v>10</v>
      </c>
      <c r="S46" s="1570">
        <f t="shared" si="12"/>
        <v>100</v>
      </c>
      <c r="T46" s="1569" t="s">
        <v>10</v>
      </c>
      <c r="U46" s="1570">
        <f t="shared" si="13"/>
        <v>100</v>
      </c>
      <c r="V46" s="1569" t="s">
        <v>10</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14000</v>
      </c>
      <c r="H47" s="2607"/>
      <c r="I47" s="2604">
        <v>15000</v>
      </c>
      <c r="J47" s="2607"/>
      <c r="K47" s="1602"/>
      <c r="L47" s="2140"/>
      <c r="M47" s="2141"/>
      <c r="N47" s="2130"/>
      <c r="O47" s="2141"/>
      <c r="P47" s="3573" t="str">
        <f>A47</f>
        <v>成交单价（元/平方米）</v>
      </c>
      <c r="Q47" s="3573"/>
      <c r="R47" s="3674">
        <f>E47</f>
        <v>15500</v>
      </c>
      <c r="S47" s="3674"/>
      <c r="T47" s="3674">
        <f>G47</f>
        <v>14000</v>
      </c>
      <c r="U47" s="3674"/>
      <c r="V47" s="3674">
        <f>I47</f>
        <v>15000</v>
      </c>
      <c r="W47" s="3674"/>
      <c r="X47" s="1555"/>
      <c r="Y47" s="1577"/>
      <c r="Z47" s="1555"/>
      <c r="AA47" s="1555"/>
      <c r="AB47" s="1555"/>
      <c r="AC47" s="1555"/>
    </row>
    <row r="48" spans="1:29" ht="15.75" thickBot="1">
      <c r="A48" s="615" t="s">
        <v>2760</v>
      </c>
      <c r="B48" s="884"/>
      <c r="C48" s="2608">
        <f>R49</f>
        <v>14417</v>
      </c>
      <c r="D48" s="2609"/>
      <c r="E48" s="2610">
        <f>R48</f>
        <v>14898</v>
      </c>
      <c r="F48" s="2610"/>
      <c r="G48" s="2608">
        <f>T48</f>
        <v>14218</v>
      </c>
      <c r="H48" s="2609"/>
      <c r="I48" s="2610">
        <f>V48</f>
        <v>14135</v>
      </c>
      <c r="J48" s="2609"/>
      <c r="K48" s="1603"/>
      <c r="L48" s="2140"/>
      <c r="M48" s="2141"/>
      <c r="N48" s="2141"/>
      <c r="O48" s="2141"/>
      <c r="P48" s="3573" t="str">
        <f>A48</f>
        <v>比较价格（元/平方米）</v>
      </c>
      <c r="Q48" s="3573"/>
      <c r="R48" s="3674">
        <f>IF(F1="售价",ROUND(PRODUCT(R47,AA7:AA46),0),ROUND(PRODUCT(R47,AA7:AA46),1))</f>
        <v>14898</v>
      </c>
      <c r="S48" s="3674"/>
      <c r="T48" s="3674">
        <f>IF(F1="售价",ROUND(PRODUCT(T47,AB7:AB46),0),ROUND(PRODUCT(T47,AB7:AB46),1))</f>
        <v>14218</v>
      </c>
      <c r="U48" s="3674"/>
      <c r="V48" s="3674">
        <f>IF(F1="售价",ROUND(PRODUCT(V47,AC7:AC46),0),ROUND(PRODUCT(V47,AC7:AC46),1))</f>
        <v>14135</v>
      </c>
      <c r="W48" s="3674"/>
      <c r="X48" s="1555"/>
      <c r="Y48" s="1555"/>
      <c r="Z48" s="1555"/>
      <c r="AA48" s="1555"/>
      <c r="AB48" s="1555"/>
      <c r="AC48" s="1555"/>
    </row>
    <row r="49" spans="1:29" ht="15.75" thickBot="1">
      <c r="A49" s="621" t="s">
        <v>2937</v>
      </c>
      <c r="B49" s="622"/>
      <c r="C49" s="2611">
        <f>R49</f>
        <v>14417</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14417</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1.5571428571428569E-2</v>
      </c>
      <c r="H52" s="627" t="str">
        <f>IF(OR(G52&gt;=0.3,G52&lt;=-0.3),"超过30%","")</f>
        <v/>
      </c>
      <c r="I52" s="626">
        <f>IF(I47&lt;I48,I48/I47-1,I47/I48-1)</f>
        <v>6.1195613724796649E-2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4.7826698551132418E-2</v>
      </c>
      <c r="F53" s="627" t="str">
        <f>IF(OR(E53&gt;=0.2,E53&lt;=-0.2),"超过20%","")</f>
        <v/>
      </c>
      <c r="G53" s="626">
        <f>IF(G48&lt;I48,I48/G48-1,G48/I48-1)</f>
        <v>5.8719490626104598E-3</v>
      </c>
      <c r="H53" s="627" t="str">
        <f>IF(OR(G53&gt;=0.2,G53&lt;=-0.2),"超过20%","")</f>
        <v/>
      </c>
      <c r="I53" s="626">
        <f>IF(I48&lt;E48,E48/I48-1,I48/E48-1)</f>
        <v>5.3979483551467977E-2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M15" sqref="M1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3002</v>
      </c>
      <c r="E1" s="506"/>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2725</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23909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87" t="s">
        <v>524</v>
      </c>
      <c r="AC4" s="3562" t="s">
        <v>525</v>
      </c>
    </row>
    <row r="5" spans="1:29" ht="15">
      <c r="A5" s="515"/>
      <c r="B5" s="516"/>
      <c r="C5" s="3590" t="s">
        <v>2931</v>
      </c>
      <c r="D5" s="3591"/>
      <c r="E5" s="3671" t="s">
        <v>3254</v>
      </c>
      <c r="F5" s="3606"/>
      <c r="G5" s="3672" t="s">
        <v>3255</v>
      </c>
      <c r="H5" s="3591"/>
      <c r="I5" s="3672" t="s">
        <v>3256</v>
      </c>
      <c r="J5" s="3591"/>
      <c r="K5" s="514"/>
      <c r="L5" s="2129"/>
      <c r="M5" s="2130"/>
      <c r="N5" s="2130"/>
      <c r="O5" s="2130"/>
      <c r="P5" s="3583"/>
      <c r="Q5" s="3584"/>
      <c r="R5" s="3569"/>
      <c r="S5" s="3570"/>
      <c r="T5" s="3569"/>
      <c r="U5" s="3570"/>
      <c r="V5" s="3587"/>
      <c r="W5" s="3587"/>
      <c r="X5" s="1563"/>
      <c r="Y5" s="3569"/>
      <c r="Z5" s="3570"/>
      <c r="AA5" s="3563"/>
      <c r="AB5" s="3587"/>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87"/>
      <c r="AC6" s="3564"/>
    </row>
    <row r="7" spans="1:29" s="1216" customFormat="1" ht="15.75" thickBot="1">
      <c r="A7" s="2885"/>
      <c r="B7" s="2892"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31"/>
      <c r="M7" s="2132"/>
      <c r="N7" s="2132"/>
      <c r="O7" s="2132"/>
      <c r="P7" s="3565" t="s">
        <v>530</v>
      </c>
      <c r="Q7" s="3574"/>
      <c r="R7" s="1564" t="s">
        <v>8</v>
      </c>
      <c r="S7" s="1565">
        <f t="shared" ref="S7:S15" si="0">F7</f>
        <v>100</v>
      </c>
      <c r="T7" s="1564" t="s">
        <v>8</v>
      </c>
      <c r="U7" s="1565">
        <f t="shared" ref="U7:U15" si="1">H7</f>
        <v>100</v>
      </c>
      <c r="V7" s="1564" t="s">
        <v>8</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74" t="s">
        <v>3257</v>
      </c>
      <c r="F8" s="522">
        <f>SUMIF(61:61,E8,62:62)-SUMIF(61:61,C8,62:62)+100</f>
        <v>100</v>
      </c>
      <c r="G8" s="3174" t="s">
        <v>3257</v>
      </c>
      <c r="H8" s="520">
        <f>SUMIF(61:61,G8,62:62)-SUMIF(61:61,C8,62:62)+100</f>
        <v>100</v>
      </c>
      <c r="I8" s="3174" t="s">
        <v>3258</v>
      </c>
      <c r="J8" s="520">
        <f>SUMIF(61:61,I8,62:62)-SUMIF(61:61,C8,62:62)+100</f>
        <v>100</v>
      </c>
      <c r="K8" s="524"/>
      <c r="L8" s="2131"/>
      <c r="M8" s="2132"/>
      <c r="N8" s="2132"/>
      <c r="O8" s="2132"/>
      <c r="P8" s="3565" t="s">
        <v>533</v>
      </c>
      <c r="Q8" s="3566"/>
      <c r="R8" s="1564" t="s">
        <v>8</v>
      </c>
      <c r="S8" s="1565">
        <f t="shared" si="0"/>
        <v>100</v>
      </c>
      <c r="T8" s="1564" t="s">
        <v>8</v>
      </c>
      <c r="U8" s="1565">
        <f t="shared" si="1"/>
        <v>100</v>
      </c>
      <c r="V8" s="1564" t="s">
        <v>8</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3259</v>
      </c>
      <c r="D9" s="254">
        <v>100</v>
      </c>
      <c r="E9" s="3189" t="s">
        <v>3259</v>
      </c>
      <c r="F9" s="254">
        <f>SUMIF(63:63,E9,64:64)-SUMIF(63:63,C9,64:64)+100</f>
        <v>100</v>
      </c>
      <c r="G9" s="3188" t="s">
        <v>3259</v>
      </c>
      <c r="H9" s="254">
        <f>SUMIF(63:63,G9,64:64)-SUMIF(63:63,C9,64:64)+100</f>
        <v>100</v>
      </c>
      <c r="I9" s="3188" t="s">
        <v>3259</v>
      </c>
      <c r="J9" s="254">
        <f>SUMIF(63:63,I9,64:64)-SUMIF(63:63,C9,64:64)+100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73"/>
      <c r="Q11" s="1147" t="str">
        <f t="shared" si="6"/>
        <v>容积率</v>
      </c>
      <c r="R11" s="1564" t="s">
        <v>8</v>
      </c>
      <c r="S11" s="1565">
        <f t="shared" si="0"/>
        <v>100</v>
      </c>
      <c r="T11" s="1564" t="s">
        <v>8</v>
      </c>
      <c r="U11" s="1565">
        <f t="shared" si="1"/>
        <v>100</v>
      </c>
      <c r="V11" s="1564" t="s">
        <v>8</v>
      </c>
      <c r="W11" s="1565">
        <f t="shared" si="2"/>
        <v>100</v>
      </c>
      <c r="X11" s="1566"/>
      <c r="Y11" s="3530"/>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75" t="s">
        <v>540</v>
      </c>
      <c r="Q15" s="1568" t="str">
        <f t="shared" si="6"/>
        <v>商业繁华度</v>
      </c>
      <c r="R15" s="1569" t="s">
        <v>8</v>
      </c>
      <c r="S15" s="1570">
        <f t="shared" si="0"/>
        <v>100</v>
      </c>
      <c r="T15" s="1569" t="s">
        <v>8</v>
      </c>
      <c r="U15" s="1570">
        <f t="shared" si="1"/>
        <v>100</v>
      </c>
      <c r="V15" s="1569" t="s">
        <v>8</v>
      </c>
      <c r="W15" s="1570">
        <f t="shared" si="2"/>
        <v>100</v>
      </c>
      <c r="X15" s="1563"/>
      <c r="Y15" s="3575" t="s">
        <v>540</v>
      </c>
      <c r="Z15" s="1571" t="str">
        <f t="shared" si="7"/>
        <v>商业繁华度</v>
      </c>
      <c r="AA15" s="1572">
        <f t="shared" si="3"/>
        <v>1</v>
      </c>
      <c r="AB15" s="1572">
        <f t="shared" si="4"/>
        <v>1</v>
      </c>
      <c r="AC15" s="1572">
        <f t="shared" si="5"/>
        <v>1</v>
      </c>
    </row>
    <row r="16" spans="1:29" ht="15">
      <c r="A16" s="532"/>
      <c r="B16" s="869"/>
      <c r="C16" s="3183" t="s">
        <v>3260</v>
      </c>
      <c r="D16" s="555"/>
      <c r="E16" s="3183" t="s">
        <v>3260</v>
      </c>
      <c r="F16" s="557"/>
      <c r="G16" s="3183" t="s">
        <v>3260</v>
      </c>
      <c r="H16" s="559"/>
      <c r="I16" s="3183" t="s">
        <v>3260</v>
      </c>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3190" t="s">
        <v>3260</v>
      </c>
      <c r="D18" s="559"/>
      <c r="E18" s="3180" t="s">
        <v>3260</v>
      </c>
      <c r="F18" s="563"/>
      <c r="G18" s="3179" t="s">
        <v>3260</v>
      </c>
      <c r="H18" s="555"/>
      <c r="I18" s="3180" t="s">
        <v>3260</v>
      </c>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95"/>
      <c r="C20" s="3183" t="s">
        <v>3260</v>
      </c>
      <c r="D20" s="555"/>
      <c r="E20" s="3178" t="s">
        <v>3260</v>
      </c>
      <c r="F20" s="557"/>
      <c r="G20" s="3177" t="s">
        <v>3260</v>
      </c>
      <c r="H20" s="555"/>
      <c r="I20" s="3178" t="s">
        <v>3260</v>
      </c>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3261</v>
      </c>
      <c r="D22" s="555"/>
      <c r="E22" s="3183" t="s">
        <v>3261</v>
      </c>
      <c r="F22" s="557"/>
      <c r="G22" s="3183" t="s">
        <v>3261</v>
      </c>
      <c r="H22" s="555"/>
      <c r="I22" s="3183" t="s">
        <v>3261</v>
      </c>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76"/>
      <c r="Q23" s="1568" t="str">
        <f>B23</f>
        <v>自然及人文环境</v>
      </c>
      <c r="R23" s="1569" t="s">
        <v>8</v>
      </c>
      <c r="S23" s="1570">
        <f>F23</f>
        <v>100</v>
      </c>
      <c r="T23" s="1569" t="s">
        <v>8</v>
      </c>
      <c r="U23" s="1570">
        <f>H23</f>
        <v>100</v>
      </c>
      <c r="V23" s="1569" t="s">
        <v>8</v>
      </c>
      <c r="W23" s="1570">
        <f>J23</f>
        <v>100</v>
      </c>
      <c r="X23" s="1563"/>
      <c r="Y23" s="3576"/>
      <c r="Z23" s="1571" t="str">
        <f>Q23</f>
        <v>自然及人文环境</v>
      </c>
      <c r="AA23" s="1572">
        <f t="shared" si="3"/>
        <v>1</v>
      </c>
      <c r="AB23" s="1572">
        <f t="shared" si="4"/>
        <v>1</v>
      </c>
      <c r="AC23" s="1572">
        <f t="shared" si="5"/>
        <v>1</v>
      </c>
    </row>
    <row r="24" spans="1:29" ht="15">
      <c r="A24" s="532"/>
      <c r="B24" s="595"/>
      <c r="C24" s="3183" t="s">
        <v>3260</v>
      </c>
      <c r="D24" s="555"/>
      <c r="E24" s="3178" t="s">
        <v>3260</v>
      </c>
      <c r="F24" s="557"/>
      <c r="G24" s="3177" t="s">
        <v>3260</v>
      </c>
      <c r="H24" s="555"/>
      <c r="I24" s="3178" t="s">
        <v>3262</v>
      </c>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527" t="s">
        <v>547</v>
      </c>
      <c r="C25" s="3260" t="s">
        <v>3263</v>
      </c>
      <c r="D25" s="540">
        <v>100</v>
      </c>
      <c r="E25" s="3260" t="s">
        <v>3264</v>
      </c>
      <c r="F25" s="575">
        <f>SUMIF(86:86,E25,87:87)-SUMIF(86:86,C25,87:87)+100</f>
        <v>100</v>
      </c>
      <c r="G25" s="3260" t="s">
        <v>3264</v>
      </c>
      <c r="H25" s="540">
        <f>SUMIF(86:86,G25,87:87)-SUMIF(86:86,C25,87:87)+100</f>
        <v>100</v>
      </c>
      <c r="I25" s="3260" t="s">
        <v>3265</v>
      </c>
      <c r="J25" s="540">
        <f>SUMIF(86:86,I25,87:87)-SUMIF(86:86,C25,87:87)+100</f>
        <v>100</v>
      </c>
      <c r="K25" s="584">
        <v>2</v>
      </c>
      <c r="L25" s="2138"/>
      <c r="M25" s="2130"/>
      <c r="N25" s="2130"/>
      <c r="O25" s="2137"/>
      <c r="P25" s="3576"/>
      <c r="Q25" s="1568" t="str">
        <f t="shared" ref="Q25:Q46" si="11">B25</f>
        <v>临街状况</v>
      </c>
      <c r="R25" s="1569" t="s">
        <v>8</v>
      </c>
      <c r="S25" s="1570">
        <f>F25</f>
        <v>100</v>
      </c>
      <c r="T25" s="1569" t="s">
        <v>8</v>
      </c>
      <c r="U25" s="1570">
        <f>H25</f>
        <v>100</v>
      </c>
      <c r="V25" s="1569" t="s">
        <v>8</v>
      </c>
      <c r="W25" s="1570">
        <f>J25</f>
        <v>100</v>
      </c>
      <c r="X25" s="1563"/>
      <c r="Y25" s="3576"/>
      <c r="Z25" s="1571" t="str">
        <f>Q25</f>
        <v>临街状况</v>
      </c>
      <c r="AA25" s="1572">
        <f t="shared" si="3"/>
        <v>1</v>
      </c>
      <c r="AB25" s="1572">
        <f t="shared" si="4"/>
        <v>1</v>
      </c>
      <c r="AC25" s="1572">
        <f t="shared" si="5"/>
        <v>1</v>
      </c>
    </row>
    <row r="26" spans="1:29" ht="15">
      <c r="A26" s="532"/>
      <c r="B26" s="877" t="s">
        <v>758</v>
      </c>
      <c r="C26" s="3261" t="s">
        <v>3260</v>
      </c>
      <c r="D26" s="540">
        <v>100</v>
      </c>
      <c r="E26" s="3261" t="s">
        <v>3260</v>
      </c>
      <c r="F26" s="575">
        <f>SUMIF(88:88,E26,89:89)-SUMIF(88:88,C26,89:89)+100</f>
        <v>100</v>
      </c>
      <c r="G26" s="3261" t="s">
        <v>3260</v>
      </c>
      <c r="H26" s="540">
        <f>SUMIF(88:88,G26,89:89)-SUMIF(88:88,C26,89:89)+100</f>
        <v>100</v>
      </c>
      <c r="I26" s="3261" t="s">
        <v>3260</v>
      </c>
      <c r="J26" s="540">
        <f>SUMIF(88:88,I26,89:89)-SUMIF(88:88,C26,89:89)+100</f>
        <v>100</v>
      </c>
      <c r="K26" s="581"/>
      <c r="L26" s="2138"/>
      <c r="M26" s="2130"/>
      <c r="N26" s="2130"/>
      <c r="O26" s="2137"/>
      <c r="P26" s="3576"/>
      <c r="Q26" s="1568" t="str">
        <f t="shared" si="11"/>
        <v>平面位置/可视性</v>
      </c>
      <c r="R26" s="1569" t="s">
        <v>8</v>
      </c>
      <c r="S26" s="1570">
        <f>F26</f>
        <v>100</v>
      </c>
      <c r="T26" s="1569" t="s">
        <v>8</v>
      </c>
      <c r="U26" s="1570">
        <f>H26</f>
        <v>100</v>
      </c>
      <c r="V26" s="1569" t="s">
        <v>8</v>
      </c>
      <c r="W26" s="1570">
        <f>J26</f>
        <v>100</v>
      </c>
      <c r="X26" s="1563"/>
      <c r="Y26" s="3576"/>
      <c r="Z26" s="1571" t="str">
        <f>Q26</f>
        <v>平面位置/可视性</v>
      </c>
      <c r="AA26" s="1572">
        <f t="shared" si="3"/>
        <v>1</v>
      </c>
      <c r="AB26" s="1572">
        <f t="shared" si="4"/>
        <v>1</v>
      </c>
      <c r="AC26" s="1572">
        <f t="shared" si="5"/>
        <v>1</v>
      </c>
    </row>
    <row r="27" spans="1:29" s="1216" customFormat="1" ht="15">
      <c r="A27" s="536"/>
      <c r="B27" s="871" t="s">
        <v>759</v>
      </c>
      <c r="C27" s="3262" t="s">
        <v>3266</v>
      </c>
      <c r="D27" s="875">
        <v>100</v>
      </c>
      <c r="E27" s="3262" t="s">
        <v>3266</v>
      </c>
      <c r="F27" s="876">
        <f>SUMIF(90:90,E27,91:91)-SUMIF(90:90,C27,91:91)+100</f>
        <v>100</v>
      </c>
      <c r="G27" s="3262" t="s">
        <v>3266</v>
      </c>
      <c r="H27" s="875">
        <f>SUMIF(90:90,G27,91:91)-SUMIF(90:90,C27,91:91)+100</f>
        <v>100</v>
      </c>
      <c r="I27" s="3262" t="s">
        <v>3266</v>
      </c>
      <c r="J27" s="875">
        <f>SUMIF(90:90,I27,91:91)-SUMIF(90:90,C27,91:91)+100</f>
        <v>100</v>
      </c>
      <c r="K27" s="584">
        <v>2</v>
      </c>
      <c r="L27" s="2131"/>
      <c r="M27" s="2132"/>
      <c r="N27" s="2132"/>
      <c r="O27" s="2133"/>
      <c r="P27" s="3576"/>
      <c r="Q27" s="1147" t="str">
        <f t="shared" si="11"/>
        <v>人流量</v>
      </c>
      <c r="R27" s="1564" t="s">
        <v>8</v>
      </c>
      <c r="S27" s="1565">
        <f>F27</f>
        <v>100</v>
      </c>
      <c r="T27" s="1564" t="s">
        <v>8</v>
      </c>
      <c r="U27" s="1565">
        <f>H27</f>
        <v>100</v>
      </c>
      <c r="V27" s="1564" t="s">
        <v>8</v>
      </c>
      <c r="W27" s="1565">
        <f>J27</f>
        <v>100</v>
      </c>
      <c r="X27" s="1566"/>
      <c r="Y27" s="3576"/>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7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76"/>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76"/>
      <c r="Q29" s="1568">
        <f t="shared" si="11"/>
        <v>111</v>
      </c>
      <c r="R29" s="1569" t="s">
        <v>8</v>
      </c>
      <c r="S29" s="1570">
        <f t="shared" si="12"/>
        <v>100</v>
      </c>
      <c r="T29" s="1569" t="s">
        <v>8</v>
      </c>
      <c r="U29" s="1570">
        <f t="shared" si="13"/>
        <v>100</v>
      </c>
      <c r="V29" s="1569" t="s">
        <v>8</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
      <c r="A32" s="2881" t="s">
        <v>2755</v>
      </c>
      <c r="B32" s="172" t="s">
        <v>762</v>
      </c>
      <c r="C32" s="3191" t="s">
        <v>3267</v>
      </c>
      <c r="D32" s="597">
        <v>100</v>
      </c>
      <c r="E32" s="3191" t="s">
        <v>3268</v>
      </c>
      <c r="F32" s="575">
        <f>SUMIF(100:100,E32,101:101)-SUMIF(100:100,C32,101:101)+100</f>
        <v>100</v>
      </c>
      <c r="G32" s="3191" t="s">
        <v>3268</v>
      </c>
      <c r="H32" s="540">
        <f>SUMIF(100:100,G32,101:101)-SUMIF(100:100,C32,101:101)+100</f>
        <v>100</v>
      </c>
      <c r="I32" s="3191" t="s">
        <v>3268</v>
      </c>
      <c r="J32" s="597">
        <f>SUMIF(100:100,I32,101:101)-SUMIF(100:100,C32,101:101)+100</f>
        <v>100</v>
      </c>
      <c r="K32" s="584">
        <v>2</v>
      </c>
      <c r="L32" s="2138"/>
      <c r="M32" s="2130"/>
      <c r="N32" s="2130"/>
      <c r="O32" s="2137"/>
      <c r="P32" s="3577" t="s">
        <v>550</v>
      </c>
      <c r="Q32" s="1568" t="str">
        <f t="shared" si="11"/>
        <v>商业类型</v>
      </c>
      <c r="R32" s="1569" t="s">
        <v>8</v>
      </c>
      <c r="S32" s="1570">
        <f t="shared" si="12"/>
        <v>100</v>
      </c>
      <c r="T32" s="1569" t="s">
        <v>8</v>
      </c>
      <c r="U32" s="1570">
        <f t="shared" si="13"/>
        <v>100</v>
      </c>
      <c r="V32" s="1569" t="s">
        <v>8</v>
      </c>
      <c r="W32" s="1570">
        <f t="shared" si="14"/>
        <v>100</v>
      </c>
      <c r="X32" s="1563"/>
      <c r="Y32" s="3578"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78"/>
      <c r="Q33" s="1601" t="str">
        <f t="shared" si="11"/>
        <v>项目建筑规模</v>
      </c>
      <c r="R33" s="1573" t="s">
        <v>8</v>
      </c>
      <c r="S33" s="1574">
        <f t="shared" si="12"/>
        <v>100</v>
      </c>
      <c r="T33" s="1573" t="s">
        <v>8</v>
      </c>
      <c r="U33" s="1574">
        <f t="shared" si="13"/>
        <v>100</v>
      </c>
      <c r="V33" s="1573" t="s">
        <v>8</v>
      </c>
      <c r="W33" s="1574">
        <f t="shared" si="14"/>
        <v>100</v>
      </c>
      <c r="X33" s="1575"/>
      <c r="Y33" s="3578"/>
      <c r="Z33" s="1576" t="str">
        <f t="shared" si="15"/>
        <v>项目建筑规模</v>
      </c>
      <c r="AA33" s="1572">
        <f t="shared" si="3"/>
        <v>1</v>
      </c>
      <c r="AB33" s="1572">
        <f t="shared" si="4"/>
        <v>1</v>
      </c>
      <c r="AC33" s="1572">
        <f t="shared" si="5"/>
        <v>1</v>
      </c>
    </row>
    <row r="34" spans="1:29" ht="15">
      <c r="A34" s="594"/>
      <c r="B34" s="527" t="s">
        <v>727</v>
      </c>
      <c r="C34" s="3245" t="s">
        <v>3269</v>
      </c>
      <c r="D34" s="540">
        <v>100</v>
      </c>
      <c r="E34" s="3246" t="s">
        <v>3269</v>
      </c>
      <c r="F34" s="575">
        <f>SUMIF(105:105,E34,106:106)-SUMIF(105:105,C34,106:106)+100</f>
        <v>100</v>
      </c>
      <c r="G34" s="3245" t="s">
        <v>3269</v>
      </c>
      <c r="H34" s="540">
        <f>SUMIF(105:105,G34,106:106)-SUMIF(105:105,C34,106:106)+100</f>
        <v>100</v>
      </c>
      <c r="I34" s="3245" t="s">
        <v>3269</v>
      </c>
      <c r="J34" s="540">
        <f>SUMIF(105:105,I34,106:106)-SUMIF(105:105,C34,106:106)+100</f>
        <v>100</v>
      </c>
      <c r="K34" s="584">
        <v>2</v>
      </c>
      <c r="L34" s="2138"/>
      <c r="M34" s="2130"/>
      <c r="N34" s="2130"/>
      <c r="O34" s="2137"/>
      <c r="P34" s="3578"/>
      <c r="Q34" s="1568" t="str">
        <f t="shared" si="11"/>
        <v>建筑结构</v>
      </c>
      <c r="R34" s="1569" t="s">
        <v>8</v>
      </c>
      <c r="S34" s="1570">
        <f t="shared" si="12"/>
        <v>100</v>
      </c>
      <c r="T34" s="1569" t="s">
        <v>8</v>
      </c>
      <c r="U34" s="1570">
        <f t="shared" si="13"/>
        <v>100</v>
      </c>
      <c r="V34" s="1569" t="s">
        <v>8</v>
      </c>
      <c r="W34" s="1570">
        <f t="shared" si="14"/>
        <v>100</v>
      </c>
      <c r="X34" s="1563"/>
      <c r="Y34" s="3578"/>
      <c r="Z34" s="1571" t="str">
        <f t="shared" si="15"/>
        <v>建筑结构</v>
      </c>
      <c r="AA34" s="1572">
        <f t="shared" si="3"/>
        <v>1</v>
      </c>
      <c r="AB34" s="1572">
        <f t="shared" si="4"/>
        <v>1</v>
      </c>
      <c r="AC34" s="1572">
        <f t="shared" si="5"/>
        <v>1</v>
      </c>
    </row>
    <row r="35" spans="1:29" ht="15">
      <c r="A35" s="594"/>
      <c r="B35" s="527" t="s">
        <v>763</v>
      </c>
      <c r="C35" s="3241" t="s">
        <v>3270</v>
      </c>
      <c r="D35" s="540">
        <v>100</v>
      </c>
      <c r="E35" s="3241" t="s">
        <v>3270</v>
      </c>
      <c r="F35" s="575">
        <f>SUMIF(107:107,E35,108:108)-SUMIF(107:107,C35,108:108)+100</f>
        <v>100</v>
      </c>
      <c r="G35" s="3241" t="s">
        <v>3270</v>
      </c>
      <c r="H35" s="540">
        <f>SUMIF(107:107,G35,108:108)-SUMIF(107:107,C35,108:108)+100</f>
        <v>100</v>
      </c>
      <c r="I35" s="3241" t="s">
        <v>3270</v>
      </c>
      <c r="J35" s="540">
        <f>SUMIF(107:107,I35,108:108)-SUMIF(107:107,C35,108:108)+100</f>
        <v>100</v>
      </c>
      <c r="K35" s="584">
        <v>2</v>
      </c>
      <c r="L35" s="2138"/>
      <c r="M35" s="2130"/>
      <c r="N35" s="2130"/>
      <c r="O35" s="2137"/>
      <c r="P35" s="3578"/>
      <c r="Q35" s="1568" t="str">
        <f t="shared" si="11"/>
        <v>公共部分装修</v>
      </c>
      <c r="R35" s="1569" t="s">
        <v>8</v>
      </c>
      <c r="S35" s="1570">
        <f t="shared" si="12"/>
        <v>100</v>
      </c>
      <c r="T35" s="1569" t="s">
        <v>8</v>
      </c>
      <c r="U35" s="1570">
        <f t="shared" si="13"/>
        <v>100</v>
      </c>
      <c r="V35" s="1569" t="s">
        <v>8</v>
      </c>
      <c r="W35" s="1570">
        <f t="shared" si="14"/>
        <v>100</v>
      </c>
      <c r="X35" s="1563"/>
      <c r="Y35" s="3578"/>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78"/>
      <c r="Q36" s="1568" t="str">
        <f t="shared" si="11"/>
        <v>成新度</v>
      </c>
      <c r="R36" s="1569" t="s">
        <v>8</v>
      </c>
      <c r="S36" s="1570">
        <f t="shared" si="12"/>
        <v>100</v>
      </c>
      <c r="T36" s="1569" t="s">
        <v>8</v>
      </c>
      <c r="U36" s="1570">
        <f t="shared" si="13"/>
        <v>100</v>
      </c>
      <c r="V36" s="1569" t="s">
        <v>8</v>
      </c>
      <c r="W36" s="1570">
        <f t="shared" si="14"/>
        <v>100</v>
      </c>
      <c r="X36" s="1563"/>
      <c r="Y36" s="3578"/>
      <c r="Z36" s="1571" t="str">
        <f t="shared" si="15"/>
        <v>成新度</v>
      </c>
      <c r="AA36" s="1572">
        <f t="shared" si="3"/>
        <v>1</v>
      </c>
      <c r="AB36" s="1572">
        <f t="shared" si="4"/>
        <v>1</v>
      </c>
      <c r="AC36" s="1572">
        <f t="shared" si="5"/>
        <v>1</v>
      </c>
    </row>
    <row r="37" spans="1:29" s="1216" customFormat="1" ht="15">
      <c r="A37" s="600"/>
      <c r="B37" s="1891" t="s">
        <v>2566</v>
      </c>
      <c r="C37" s="3241" t="s">
        <v>3289</v>
      </c>
      <c r="D37" s="255">
        <v>100</v>
      </c>
      <c r="E37" s="3241" t="s">
        <v>3290</v>
      </c>
      <c r="F37" s="575">
        <f>SUMIF(112:112,E37,113:113)-SUMIF(112:112,C37,113:113)+100</f>
        <v>100</v>
      </c>
      <c r="G37" s="3241" t="s">
        <v>3289</v>
      </c>
      <c r="H37" s="540">
        <f>SUMIF(112:112,G37,113:113)-SUMIF(112:112,C37,113:113)+100</f>
        <v>100</v>
      </c>
      <c r="I37" s="3241" t="s">
        <v>3289</v>
      </c>
      <c r="J37" s="540">
        <f>SUMIF(112:112,I37,113:113)-SUMIF(112:112,C37,113:113)+100</f>
        <v>100</v>
      </c>
      <c r="K37" s="584">
        <v>2</v>
      </c>
      <c r="L37" s="2131"/>
      <c r="M37" s="2132"/>
      <c r="N37" s="2132"/>
      <c r="O37" s="2133"/>
      <c r="P37" s="3578"/>
      <c r="Q37" s="1147" t="str">
        <f t="shared" si="11"/>
        <v>市政基础设施</v>
      </c>
      <c r="R37" s="1564" t="s">
        <v>8</v>
      </c>
      <c r="S37" s="1565">
        <f t="shared" si="12"/>
        <v>100</v>
      </c>
      <c r="T37" s="1564" t="s">
        <v>8</v>
      </c>
      <c r="U37" s="1565">
        <f t="shared" si="13"/>
        <v>100</v>
      </c>
      <c r="V37" s="1564" t="s">
        <v>8</v>
      </c>
      <c r="W37" s="1565">
        <f t="shared" si="14"/>
        <v>100</v>
      </c>
      <c r="X37" s="1566"/>
      <c r="Y37" s="3578"/>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78" t="s">
        <v>766</v>
      </c>
      <c r="Q38" s="1568" t="str">
        <f t="shared" si="11"/>
        <v>业态</v>
      </c>
      <c r="R38" s="1569" t="s">
        <v>8</v>
      </c>
      <c r="S38" s="1570">
        <f t="shared" si="12"/>
        <v>100</v>
      </c>
      <c r="T38" s="1569" t="s">
        <v>8</v>
      </c>
      <c r="U38" s="1570">
        <f t="shared" si="13"/>
        <v>100</v>
      </c>
      <c r="V38" s="1569" t="s">
        <v>8</v>
      </c>
      <c r="W38" s="1570">
        <f t="shared" si="14"/>
        <v>100</v>
      </c>
      <c r="X38" s="1563"/>
      <c r="Y38" s="3578"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78"/>
      <c r="Q39" s="1568" t="str">
        <f t="shared" si="11"/>
        <v>层高</v>
      </c>
      <c r="R39" s="1569" t="s">
        <v>8</v>
      </c>
      <c r="S39" s="1570">
        <f t="shared" si="12"/>
        <v>100</v>
      </c>
      <c r="T39" s="1569" t="s">
        <v>8</v>
      </c>
      <c r="U39" s="1570">
        <f t="shared" si="13"/>
        <v>100</v>
      </c>
      <c r="V39" s="1569" t="s">
        <v>8</v>
      </c>
      <c r="W39" s="1570">
        <f t="shared" si="14"/>
        <v>100</v>
      </c>
      <c r="X39" s="1563"/>
      <c r="Y39" s="3578"/>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78"/>
      <c r="Q40" s="1568" t="str">
        <f t="shared" si="11"/>
        <v>单套建筑面积</v>
      </c>
      <c r="R40" s="1569" t="s">
        <v>8</v>
      </c>
      <c r="S40" s="1570">
        <f t="shared" si="12"/>
        <v>100</v>
      </c>
      <c r="T40" s="1569" t="s">
        <v>8</v>
      </c>
      <c r="U40" s="1570">
        <f t="shared" si="13"/>
        <v>100</v>
      </c>
      <c r="V40" s="1569" t="s">
        <v>8</v>
      </c>
      <c r="W40" s="1570">
        <f t="shared" si="14"/>
        <v>100</v>
      </c>
      <c r="X40" s="1563"/>
      <c r="Y40" s="3578"/>
      <c r="Z40" s="1571" t="str">
        <f t="shared" si="15"/>
        <v>单套建筑面积</v>
      </c>
      <c r="AA40" s="1572">
        <f t="shared" si="3"/>
        <v>1</v>
      </c>
      <c r="AB40" s="1572">
        <f t="shared" si="4"/>
        <v>1</v>
      </c>
      <c r="AC40" s="1572">
        <f t="shared" si="5"/>
        <v>1</v>
      </c>
    </row>
    <row r="41" spans="1:29" s="1335" customFormat="1" ht="15">
      <c r="A41" s="603"/>
      <c r="B41" s="900" t="s">
        <v>769</v>
      </c>
      <c r="C41" s="3260" t="s">
        <v>3260</v>
      </c>
      <c r="D41" s="540">
        <v>100</v>
      </c>
      <c r="E41" s="3260" t="s">
        <v>3260</v>
      </c>
      <c r="F41" s="575">
        <f>SUMIF(120:120,E41,121:121)-SUMIF(120:120,C41,121:121)+100</f>
        <v>100</v>
      </c>
      <c r="G41" s="3260" t="s">
        <v>3260</v>
      </c>
      <c r="H41" s="540">
        <f>SUMIF(120:120,G41,121:121)-SUMIF(120:120,C41,121:121)+100</f>
        <v>100</v>
      </c>
      <c r="I41" s="3260" t="s">
        <v>3260</v>
      </c>
      <c r="J41" s="540">
        <f>SUMIF(120:120,I41,121:121)-SUMIF(120:120,C41,121:121)+100</f>
        <v>100</v>
      </c>
      <c r="K41" s="584">
        <v>2</v>
      </c>
      <c r="L41" s="2136"/>
      <c r="M41" s="2167"/>
      <c r="N41" s="2167"/>
      <c r="O41" s="2139"/>
      <c r="P41" s="3578"/>
      <c r="Q41" s="1601" t="str">
        <f t="shared" si="11"/>
        <v>进深比</v>
      </c>
      <c r="R41" s="1573" t="s">
        <v>8</v>
      </c>
      <c r="S41" s="1574">
        <f t="shared" si="12"/>
        <v>100</v>
      </c>
      <c r="T41" s="1573" t="s">
        <v>8</v>
      </c>
      <c r="U41" s="1574">
        <f t="shared" si="13"/>
        <v>100</v>
      </c>
      <c r="V41" s="1573" t="s">
        <v>8</v>
      </c>
      <c r="W41" s="1574">
        <f t="shared" si="14"/>
        <v>100</v>
      </c>
      <c r="X41" s="1575"/>
      <c r="Y41" s="3578"/>
      <c r="Z41" s="1576" t="str">
        <f t="shared" si="15"/>
        <v>进深比</v>
      </c>
      <c r="AA41" s="1572">
        <f t="shared" si="3"/>
        <v>1</v>
      </c>
      <c r="AB41" s="1572">
        <f t="shared" si="4"/>
        <v>1</v>
      </c>
      <c r="AC41" s="1572">
        <f t="shared" si="5"/>
        <v>1</v>
      </c>
    </row>
    <row r="42" spans="1:29" ht="15">
      <c r="A42" s="594"/>
      <c r="B42" s="527" t="s">
        <v>770</v>
      </c>
      <c r="C42" s="3241" t="s">
        <v>3271</v>
      </c>
      <c r="D42" s="540">
        <v>100</v>
      </c>
      <c r="E42" s="3241" t="s">
        <v>3272</v>
      </c>
      <c r="F42" s="575">
        <f>SUMIF(122:122,E42,123:123)-SUMIF(122:122,C42,123:123)+100</f>
        <v>106</v>
      </c>
      <c r="G42" s="3241" t="s">
        <v>3272</v>
      </c>
      <c r="H42" s="540">
        <f>SUMIF(122:122,G42,123:123)-SUMIF(122:122,C42,123:123)+100</f>
        <v>106</v>
      </c>
      <c r="I42" s="3241" t="s">
        <v>3272</v>
      </c>
      <c r="J42" s="540">
        <f>SUMIF(122:122,I42,123:123)-SUMIF(122:122,C42,123:123)+100</f>
        <v>106</v>
      </c>
      <c r="K42" s="584">
        <v>3</v>
      </c>
      <c r="L42" s="2138"/>
      <c r="M42" s="2130"/>
      <c r="N42" s="2130"/>
      <c r="O42" s="2137"/>
      <c r="P42" s="3578"/>
      <c r="Q42" s="1568" t="str">
        <f t="shared" si="11"/>
        <v>内部装修</v>
      </c>
      <c r="R42" s="1569" t="s">
        <v>8</v>
      </c>
      <c r="S42" s="1570">
        <f t="shared" si="12"/>
        <v>106</v>
      </c>
      <c r="T42" s="1569" t="s">
        <v>8</v>
      </c>
      <c r="U42" s="1570">
        <f t="shared" si="13"/>
        <v>106</v>
      </c>
      <c r="V42" s="1569" t="s">
        <v>8</v>
      </c>
      <c r="W42" s="1570">
        <f t="shared" si="14"/>
        <v>106</v>
      </c>
      <c r="X42" s="1563"/>
      <c r="Y42" s="3578"/>
      <c r="Z42" s="1571" t="str">
        <f t="shared" si="15"/>
        <v>内部装修</v>
      </c>
      <c r="AA42" s="1572">
        <f t="shared" si="3"/>
        <v>0.94339622641509435</v>
      </c>
      <c r="AB42" s="1572">
        <f t="shared" si="4"/>
        <v>0.94339622641509435</v>
      </c>
      <c r="AC42" s="1572">
        <f t="shared" si="5"/>
        <v>0.94339622641509435</v>
      </c>
    </row>
    <row r="43" spans="1:29" ht="27">
      <c r="A43" s="594"/>
      <c r="B43" s="527" t="s">
        <v>735</v>
      </c>
      <c r="C43" s="3241" t="s">
        <v>3260</v>
      </c>
      <c r="D43" s="540">
        <v>100</v>
      </c>
      <c r="E43" s="3241" t="s">
        <v>3260</v>
      </c>
      <c r="F43" s="575">
        <f>SUMIF(124:124,E43,125:125)-SUMIF(124:124,C43,125:125)+100</f>
        <v>100</v>
      </c>
      <c r="G43" s="3241" t="s">
        <v>3260</v>
      </c>
      <c r="H43" s="540">
        <f>SUMIF(124:124,G43,125:125)-SUMIF(124:124,C43,125:125)+100</f>
        <v>100</v>
      </c>
      <c r="I43" s="3241" t="s">
        <v>3260</v>
      </c>
      <c r="J43" s="540">
        <f>SUMIF(124:124,I43,125:125)-SUMIF(124:124,C43,125:125)+100</f>
        <v>100</v>
      </c>
      <c r="K43" s="584">
        <v>2</v>
      </c>
      <c r="L43" s="2138"/>
      <c r="M43" s="2130"/>
      <c r="N43" s="2130"/>
      <c r="O43" s="2137"/>
      <c r="P43" s="3578"/>
      <c r="Q43" s="1568" t="str">
        <f t="shared" si="11"/>
        <v>内部装修维护情况</v>
      </c>
      <c r="R43" s="1569" t="s">
        <v>8</v>
      </c>
      <c r="S43" s="1570">
        <f t="shared" si="12"/>
        <v>100</v>
      </c>
      <c r="T43" s="1569" t="s">
        <v>8</v>
      </c>
      <c r="U43" s="1570">
        <f t="shared" si="13"/>
        <v>100</v>
      </c>
      <c r="V43" s="1569" t="s">
        <v>8</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78"/>
      <c r="Q44" s="1147">
        <f t="shared" si="11"/>
        <v>111</v>
      </c>
      <c r="R44" s="1564" t="s">
        <v>8</v>
      </c>
      <c r="S44" s="1565">
        <f t="shared" si="12"/>
        <v>100</v>
      </c>
      <c r="T44" s="1564" t="s">
        <v>8</v>
      </c>
      <c r="U44" s="1565">
        <f t="shared" si="13"/>
        <v>100</v>
      </c>
      <c r="V44" s="1564" t="s">
        <v>8</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78"/>
      <c r="Q45" s="1568">
        <f t="shared" si="11"/>
        <v>111</v>
      </c>
      <c r="R45" s="1569" t="s">
        <v>8</v>
      </c>
      <c r="S45" s="1570">
        <f t="shared" si="12"/>
        <v>100</v>
      </c>
      <c r="T45" s="1569" t="s">
        <v>8</v>
      </c>
      <c r="U45" s="1570">
        <f t="shared" si="13"/>
        <v>100</v>
      </c>
      <c r="V45" s="1569" t="s">
        <v>8</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5"/>
      <c r="Q46" s="1568">
        <f t="shared" si="11"/>
        <v>111</v>
      </c>
      <c r="R46" s="1569" t="s">
        <v>8</v>
      </c>
      <c r="S46" s="1570">
        <f t="shared" si="12"/>
        <v>100</v>
      </c>
      <c r="T46" s="1569" t="s">
        <v>8</v>
      </c>
      <c r="U46" s="1570">
        <f t="shared" si="13"/>
        <v>100</v>
      </c>
      <c r="V46" s="1569" t="s">
        <v>8</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73" t="str">
        <f>A47</f>
        <v>成交单价（元/平方米）</v>
      </c>
      <c r="Q47" s="3573"/>
      <c r="R47" s="3674">
        <f>E47</f>
        <v>25269</v>
      </c>
      <c r="S47" s="3674"/>
      <c r="T47" s="3674">
        <f>G47</f>
        <v>26261</v>
      </c>
      <c r="U47" s="3674"/>
      <c r="V47" s="3674">
        <f>I47</f>
        <v>24500</v>
      </c>
      <c r="W47" s="3674"/>
      <c r="X47" s="1555"/>
      <c r="Y47" s="1577"/>
      <c r="Z47" s="1555"/>
      <c r="AA47" s="1555"/>
      <c r="AB47" s="1555"/>
      <c r="AC47" s="1555"/>
    </row>
    <row r="48" spans="1:29" ht="15.75" thickBot="1">
      <c r="A48" s="615" t="s">
        <v>2760</v>
      </c>
      <c r="B48" s="884"/>
      <c r="C48" s="2608">
        <f>R49</f>
        <v>23909</v>
      </c>
      <c r="D48" s="2609"/>
      <c r="E48" s="2610">
        <f>R48</f>
        <v>23839</v>
      </c>
      <c r="F48" s="2610"/>
      <c r="G48" s="2608">
        <f>T48</f>
        <v>24775</v>
      </c>
      <c r="H48" s="2609"/>
      <c r="I48" s="2610">
        <f>V48</f>
        <v>23113</v>
      </c>
      <c r="J48" s="2609"/>
      <c r="K48" s="1608"/>
      <c r="L48" s="2140"/>
      <c r="M48" s="2141"/>
      <c r="N48" s="2130"/>
      <c r="O48" s="2141"/>
      <c r="P48" s="3573" t="str">
        <f>A48</f>
        <v>比较价格（元/平方米）</v>
      </c>
      <c r="Q48" s="3573"/>
      <c r="R48" s="3674">
        <f>IF(F1="售价",ROUND(PRODUCT(R47,AA7:AA46),0),ROUND(PRODUCT(R47,AA7:AA46),1))</f>
        <v>23839</v>
      </c>
      <c r="S48" s="3674"/>
      <c r="T48" s="3674">
        <f>IF(F1="售价",ROUND(PRODUCT(T47,AB7:AB46),0),ROUND(PRODUCT(T47,AB7:AB46),1))</f>
        <v>24775</v>
      </c>
      <c r="U48" s="3674"/>
      <c r="V48" s="3674">
        <f>IF(F1="售价",ROUND(PRODUCT(V47,AC7:AC46),0),ROUND(PRODUCT(V47,AC7:AC46),1))</f>
        <v>23113</v>
      </c>
      <c r="W48" s="3674"/>
      <c r="X48" s="1555"/>
      <c r="Y48" s="1555"/>
      <c r="Z48" s="1555"/>
      <c r="AA48" s="1555"/>
      <c r="AB48" s="1555"/>
      <c r="AC48" s="1555"/>
    </row>
    <row r="49" spans="1:29" ht="15.75" thickBot="1">
      <c r="A49" s="621" t="s">
        <v>2937</v>
      </c>
      <c r="B49" s="622"/>
      <c r="C49" s="2611">
        <f>R49</f>
        <v>23909</v>
      </c>
      <c r="D49" s="2611"/>
      <c r="E49" s="2611"/>
      <c r="F49" s="2611"/>
      <c r="G49" s="2611"/>
      <c r="H49" s="2611"/>
      <c r="I49" s="2611"/>
      <c r="J49" s="2611"/>
      <c r="K49" s="1609"/>
      <c r="L49" s="2140"/>
      <c r="M49" s="2141"/>
      <c r="N49" s="2130"/>
      <c r="O49" s="2141"/>
      <c r="P49" s="3594" t="str">
        <f>A49</f>
        <v>估价对象XX用房的比较价格（楼面单价，元/平方米）</v>
      </c>
      <c r="Q49" s="3595"/>
      <c r="R49" s="3673">
        <f>IF(F1="售价",ROUND(AVERAGE(R48:V48),0),ROUND(AVERAGE(R48:V48),1))</f>
        <v>23909</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5.9985737656780946E-2</v>
      </c>
      <c r="F52" s="627" t="str">
        <f>IF(OR(E52&gt;=0.3,E52&lt;=-0.3),"超过30%","")</f>
        <v/>
      </c>
      <c r="G52" s="626">
        <f>IF(G47&lt;G48,G48/G47-1,G47/G48-1)</f>
        <v>5.9979818365287541E-2</v>
      </c>
      <c r="H52" s="627" t="str">
        <f>IF(OR(G52&gt;=0.3,G52&lt;=-0.3),"超过30%","")</f>
        <v/>
      </c>
      <c r="I52" s="626">
        <f>IF(I47&lt;I48,I48/I47-1,I47/I48-1)</f>
        <v>6.0009518452818655E-2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3.9263391920802082E-2</v>
      </c>
      <c r="F53" s="627" t="str">
        <f>IF(OR(E53&gt;=0.2,E53&lt;=-0.2),"超过20%","")</f>
        <v/>
      </c>
      <c r="G53" s="626">
        <f>IF(G48&lt;I48,I48/G48-1,G48/I48-1)</f>
        <v>7.190758447626866E-2</v>
      </c>
      <c r="H53" s="627" t="str">
        <f>IF(OR(G53&gt;=0.2,G53&lt;=-0.2),"超过20%","")</f>
        <v/>
      </c>
      <c r="I53" s="626">
        <f>IF(I48&lt;E48,E48/I48-1,I48/E48-1)</f>
        <v>3.1410894301908021E-2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3285</v>
      </c>
      <c r="D122" s="3243" t="s">
        <v>3286</v>
      </c>
      <c r="E122" s="3243" t="s">
        <v>3287</v>
      </c>
      <c r="F122" s="3244" t="s">
        <v>3288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9" zoomScale="80" zoomScaleNormal="80" workbookViewId="0">
      <selection activeCell="C14" sqref="C1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3227</v>
      </c>
      <c r="E1" s="2362" t="s">
        <v>2375</v>
      </c>
      <c r="F1" s="2363">
        <f ca="1">J53</f>
        <v>35.06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870</v>
      </c>
      <c r="C2" s="2053"/>
      <c r="D2" s="2051"/>
      <c r="E2" s="2052"/>
      <c r="F2" s="2052"/>
      <c r="G2" s="1586"/>
      <c r="H2" s="2053"/>
      <c r="I2" s="2053"/>
      <c r="J2" s="2053"/>
      <c r="K2" s="2054"/>
      <c r="L2" s="2053"/>
      <c r="M2" s="2053"/>
    </row>
    <row r="3" spans="1:33" ht="18" customHeight="1" thickBot="1">
      <c r="A3" s="833" t="s">
        <v>1728</v>
      </c>
      <c r="B3" s="834">
        <f ca="1">IF(ISERROR(B2*10000/F43),0,ROUND(B2*10000/F43,0))</f>
        <v>624</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2978</v>
      </c>
      <c r="E10" s="2473" t="s">
        <v>2465</v>
      </c>
      <c r="F10" s="2596"/>
      <c r="G10" s="1588"/>
      <c r="H10" s="2536" t="s">
        <v>2470</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3752</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2794</v>
      </c>
      <c r="D14" s="1975" t="s">
        <v>1746</v>
      </c>
      <c r="E14" s="1976"/>
      <c r="F14" s="805"/>
      <c r="G14" s="1588"/>
      <c r="H14" s="1645" t="s">
        <v>1831</v>
      </c>
      <c r="I14" s="2227" t="s">
        <v>2826</v>
      </c>
      <c r="J14" s="53">
        <f ca="1">C29</f>
        <v>3752</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3158</v>
      </c>
      <c r="D19" s="261" t="s">
        <v>1758</v>
      </c>
      <c r="E19" s="1978"/>
      <c r="F19" s="56"/>
      <c r="G19" s="1588"/>
      <c r="H19" s="1644" t="s">
        <v>1886</v>
      </c>
      <c r="I19" s="784" t="s">
        <v>1759</v>
      </c>
      <c r="J19" s="53">
        <f ca="1">IF(K19="按租金收入计税",ROUND(J5*M19,1),ROUND(C29*F33*0.7,1))</f>
        <v>315.2</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97</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3752</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3228</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56.3</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870</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4.3129999999999997</v>
      </c>
      <c r="K42" s="2078"/>
      <c r="L42" s="1984"/>
      <c r="M42" s="1984"/>
    </row>
    <row r="43" spans="1:18" ht="18" customHeight="1" thickBot="1">
      <c r="A43" s="823" t="s">
        <v>1788</v>
      </c>
      <c r="B43" s="824" t="s">
        <v>1811</v>
      </c>
      <c r="C43" s="825">
        <f ca="1">ROUND(C40*10000/F43,0)</f>
        <v>624</v>
      </c>
      <c r="D43" s="826" t="s">
        <v>1812</v>
      </c>
      <c r="E43" s="827" t="s">
        <v>1813</v>
      </c>
      <c r="F43" s="828">
        <f ca="1">INDIRECT("'数据-取费表'!k"&amp;$G$1)</f>
        <v>13938</v>
      </c>
      <c r="G43" s="2058"/>
      <c r="H43" s="1984"/>
      <c r="I43" s="847" t="s">
        <v>1823</v>
      </c>
      <c r="J43" s="848">
        <f ca="1">1-J42</f>
        <v>-3.3129999999999997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-2041</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870</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3752</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-5022</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2979</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870</v>
      </c>
      <c r="R54" s="2378" t="s">
        <v>2393</v>
      </c>
    </row>
    <row r="55" spans="1:18" s="2055" customFormat="1" ht="18" customHeight="1" thickTop="1" thickBot="1">
      <c r="A55" s="797">
        <v>2</v>
      </c>
      <c r="B55" s="798" t="s">
        <v>644</v>
      </c>
      <c r="C55" s="799">
        <f ca="1">C13</f>
        <v>3752</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3752</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67</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870</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56.3</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870</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-67</v>
      </c>
      <c r="D66" s="2613" t="s">
        <v>700</v>
      </c>
      <c r="E66" s="2612"/>
      <c r="F66" s="820"/>
      <c r="K66" s="2082"/>
      <c r="O66" s="2373" t="s">
        <v>2380</v>
      </c>
      <c r="P66" s="2374" t="s">
        <v>2410</v>
      </c>
      <c r="Q66" s="2375">
        <f ca="1">C40+J29</f>
        <v>870</v>
      </c>
      <c r="R66" s="2374" t="s">
        <v>2381</v>
      </c>
    </row>
    <row r="67" spans="1:18" s="2055" customFormat="1" ht="20.25" thickBot="1">
      <c r="A67" s="781" t="s">
        <v>1781</v>
      </c>
      <c r="B67" s="2228" t="s">
        <v>2302</v>
      </c>
      <c r="C67" s="783">
        <f ca="1">ROUND(C66*(1-((1+F69)/(1+F67))^F68)/(F67-F69),0)</f>
        <v>-1171</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35.06</v>
      </c>
      <c r="O68" s="2376" t="s">
        <v>2384</v>
      </c>
      <c r="P68" s="2374" t="s">
        <v>2414</v>
      </c>
      <c r="Q68" s="2380">
        <f ca="1">L51</f>
        <v>-5022</v>
      </c>
      <c r="R68" s="2381" t="s">
        <v>2417</v>
      </c>
    </row>
    <row r="69" spans="1:18" ht="20.25" thickBot="1">
      <c r="A69" s="790"/>
      <c r="B69" s="791"/>
      <c r="C69" s="792"/>
      <c r="D69" s="816"/>
      <c r="E69" s="784" t="s">
        <v>710</v>
      </c>
      <c r="F69" s="2346"/>
      <c r="O69" s="2376" t="s">
        <v>2385</v>
      </c>
      <c r="P69" s="2382" t="s">
        <v>2399</v>
      </c>
      <c r="Q69" s="2375">
        <f ca="1">ROUND(Q70-Q71*Q72,0)</f>
        <v>-262</v>
      </c>
      <c r="R69" s="2378"/>
    </row>
    <row r="70" spans="1:18" ht="15.75" thickBot="1">
      <c r="A70" s="823" t="s">
        <v>1788</v>
      </c>
      <c r="B70" s="824" t="s">
        <v>1811</v>
      </c>
      <c r="C70" s="825">
        <f ca="1">ROUND(C67*10000/F70,0)</f>
        <v>-840</v>
      </c>
      <c r="D70" s="826" t="s">
        <v>1812</v>
      </c>
      <c r="E70" s="827" t="s">
        <v>1813</v>
      </c>
      <c r="F70" s="828">
        <f ca="1">F43</f>
        <v>13938</v>
      </c>
      <c r="O70" s="2376" t="s">
        <v>2400</v>
      </c>
      <c r="P70" s="2382" t="s">
        <v>2401</v>
      </c>
      <c r="Q70" s="2375">
        <f ca="1">C39</f>
        <v>38</v>
      </c>
      <c r="R70" s="2374" t="s">
        <v>2381</v>
      </c>
    </row>
    <row r="71" spans="1:18" ht="15.75" thickBot="1">
      <c r="O71" s="2376" t="s">
        <v>2402</v>
      </c>
      <c r="P71" s="2382" t="s">
        <v>2403</v>
      </c>
      <c r="Q71" s="2375">
        <f ca="1">C13</f>
        <v>3752</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870</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3215</v>
      </c>
      <c r="D1" s="3096" t="s">
        <v>3227</v>
      </c>
      <c r="E1" s="2362" t="s">
        <v>870</v>
      </c>
      <c r="F1" s="2363">
        <f ca="1">J53</f>
        <v>35.06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37584</v>
      </c>
      <c r="C2" s="2053"/>
      <c r="D2" s="2051"/>
      <c r="E2" s="2052"/>
      <c r="F2" s="2052"/>
      <c r="G2" s="1586"/>
      <c r="H2" s="2053"/>
      <c r="I2" s="2053"/>
      <c r="J2" s="2053"/>
      <c r="K2" s="2054"/>
      <c r="L2" s="2053"/>
      <c r="M2" s="2053"/>
    </row>
    <row r="3" spans="1:33" ht="18" customHeight="1" thickBot="1">
      <c r="A3" s="833" t="s">
        <v>519</v>
      </c>
      <c r="B3" s="834">
        <f ca="1">IF(ISERROR(B2*10000/F43),0,ROUND(B2*10000/F43,0))</f>
        <v>15377</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2978</v>
      </c>
      <c r="E10" s="2473" t="s">
        <v>2465</v>
      </c>
      <c r="F10" s="2596" t="s">
        <v>3277</v>
      </c>
      <c r="G10" s="1588"/>
      <c r="H10" s="2536" t="s">
        <v>1826</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10059</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6854</v>
      </c>
      <c r="D14" s="3250" t="s">
        <v>1746</v>
      </c>
      <c r="E14" s="3249"/>
      <c r="F14" s="805"/>
      <c r="G14" s="1588"/>
      <c r="H14" s="1645" t="s">
        <v>1825</v>
      </c>
      <c r="I14" s="2227" t="s">
        <v>2825</v>
      </c>
      <c r="J14" s="53">
        <f ca="1">C29</f>
        <v>10059</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1004</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853</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7598</v>
      </c>
      <c r="D19" s="261" t="s">
        <v>663</v>
      </c>
      <c r="E19" s="3258"/>
      <c r="F19" s="56"/>
      <c r="G19" s="1588"/>
      <c r="H19" s="1644" t="s">
        <v>1833</v>
      </c>
      <c r="I19" s="784" t="s">
        <v>664</v>
      </c>
      <c r="J19" s="53">
        <f ca="1">IF(K19="按租金收入计税",ROUND(J5*M19,1),ROUND(C29*F33*0.7,1))</f>
        <v>845</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-1004</v>
      </c>
      <c r="K25" s="2523" t="s">
        <v>1778</v>
      </c>
      <c r="L25" s="2524"/>
      <c r="M25" s="2525"/>
    </row>
    <row r="26" spans="1:33" ht="18" customHeight="1">
      <c r="A26" s="1644" t="s">
        <v>1832</v>
      </c>
      <c r="B26" s="784" t="s">
        <v>2439</v>
      </c>
      <c r="C26" s="53">
        <f ca="1">ROUND((C19+C20)*F26,0)</f>
        <v>1163</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10059</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3228</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805</v>
      </c>
      <c r="K35" s="2074"/>
      <c r="L35" s="2073"/>
      <c r="M35" s="2073"/>
    </row>
    <row r="36" spans="1:18" ht="18" customHeight="1">
      <c r="A36" s="1645" t="s">
        <v>1890</v>
      </c>
      <c r="B36" s="784" t="s">
        <v>676</v>
      </c>
      <c r="C36" s="53">
        <f ca="1">ROUND(C29*F36,1)</f>
        <v>150.9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37584</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0.26800000000000002</v>
      </c>
      <c r="K42" s="2078"/>
      <c r="L42" s="1984"/>
      <c r="M42" s="1984"/>
    </row>
    <row r="43" spans="1:18" ht="18" customHeight="1" thickBot="1">
      <c r="A43" s="823" t="s">
        <v>1788</v>
      </c>
      <c r="B43" s="824" t="s">
        <v>1811</v>
      </c>
      <c r="C43" s="825">
        <f ca="1">ROUND(C40*10000/F43,0)</f>
        <v>15377</v>
      </c>
      <c r="D43" s="826" t="s">
        <v>1812</v>
      </c>
      <c r="E43" s="827" t="s">
        <v>1813</v>
      </c>
      <c r="F43" s="828">
        <f ca="1">INDIRECT("'数据-取费表'!k"&amp;$G$1)</f>
        <v>24442.12</v>
      </c>
      <c r="G43" s="2058"/>
      <c r="H43" s="1984"/>
      <c r="I43" s="847" t="s">
        <v>1823</v>
      </c>
      <c r="J43" s="848">
        <f ca="1">1-J42</f>
        <v>0.73199999999999998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-40264</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37584</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10059</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16174</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37584</v>
      </c>
      <c r="R54" s="2378" t="s">
        <v>2393</v>
      </c>
    </row>
    <row r="55" spans="1:18" s="2055" customFormat="1" ht="18" customHeight="1" thickTop="1" thickBot="1">
      <c r="A55" s="797">
        <v>2</v>
      </c>
      <c r="B55" s="798" t="s">
        <v>644</v>
      </c>
      <c r="C55" s="799">
        <f ca="1">C13</f>
        <v>10059</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10059</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37584</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150.9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37584</v>
      </c>
      <c r="R63" s="2378" t="s">
        <v>2393</v>
      </c>
    </row>
    <row r="64" spans="1:18" s="2055" customFormat="1" ht="16.5"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-174</v>
      </c>
      <c r="D66" s="3250" t="s">
        <v>700</v>
      </c>
      <c r="E66" s="3248"/>
      <c r="F66" s="820"/>
      <c r="K66" s="2082"/>
      <c r="O66" s="2373" t="s">
        <v>2380</v>
      </c>
      <c r="P66" s="2374" t="s">
        <v>2406</v>
      </c>
      <c r="Q66" s="2375">
        <f ca="1">C40+J29</f>
        <v>37584</v>
      </c>
      <c r="R66" s="2374" t="s">
        <v>2381</v>
      </c>
    </row>
    <row r="67" spans="1:18" s="2055" customFormat="1" ht="20.25" thickBot="1">
      <c r="A67" s="781" t="s">
        <v>1781</v>
      </c>
      <c r="B67" s="2228" t="s">
        <v>2302</v>
      </c>
      <c r="C67" s="783">
        <f ca="1">ROUND(C66*(1-((1+F69)/(1+F67))^F68)/(F67-F69),0)</f>
        <v>-2680</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35.06</v>
      </c>
      <c r="O68" s="2376" t="s">
        <v>2384</v>
      </c>
      <c r="P68" s="2374" t="s">
        <v>2414</v>
      </c>
      <c r="Q68" s="2380">
        <f ca="1">L51</f>
        <v>16174</v>
      </c>
      <c r="R68" s="2381" t="s">
        <v>2417</v>
      </c>
    </row>
    <row r="69" spans="1:18" ht="20.25" thickBot="1">
      <c r="A69" s="790"/>
      <c r="B69" s="791"/>
      <c r="C69" s="792"/>
      <c r="D69" s="816"/>
      <c r="E69" s="784" t="s">
        <v>710</v>
      </c>
      <c r="F69" s="2346"/>
      <c r="O69" s="2376" t="s">
        <v>2385</v>
      </c>
      <c r="P69" s="2382" t="s">
        <v>2399</v>
      </c>
      <c r="Q69" s="2375">
        <f ca="1">ROUND(Q70-Q71*Q72,0)</f>
        <v>967</v>
      </c>
      <c r="R69" s="2378"/>
    </row>
    <row r="70" spans="1:18" ht="15.75" thickBot="1">
      <c r="A70" s="823" t="s">
        <v>1788</v>
      </c>
      <c r="B70" s="824" t="s">
        <v>1811</v>
      </c>
      <c r="C70" s="825">
        <f ca="1">ROUND(C67*10000/F70,0)</f>
        <v>-1096</v>
      </c>
      <c r="D70" s="826" t="s">
        <v>1812</v>
      </c>
      <c r="E70" s="827" t="s">
        <v>1813</v>
      </c>
      <c r="F70" s="828">
        <f ca="1">F43</f>
        <v>24442.12</v>
      </c>
      <c r="O70" s="2376" t="s">
        <v>2400</v>
      </c>
      <c r="P70" s="2382" t="s">
        <v>2401</v>
      </c>
      <c r="Q70" s="2375">
        <f ca="1">C39</f>
        <v>1772</v>
      </c>
      <c r="R70" s="2374" t="s">
        <v>2381</v>
      </c>
    </row>
    <row r="71" spans="1:18" ht="15.75" thickBot="1">
      <c r="O71" s="2376" t="s">
        <v>2402</v>
      </c>
      <c r="P71" s="2382" t="s">
        <v>2403</v>
      </c>
      <c r="Q71" s="2375">
        <f ca="1">C13</f>
        <v>10059</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37584</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M49" sqref="M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3215</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31767</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12997</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3256"/>
      <c r="Y4" s="3567" t="s">
        <v>527</v>
      </c>
      <c r="Z4" s="3568"/>
      <c r="AA4" s="3562" t="s">
        <v>523</v>
      </c>
      <c r="AB4" s="3562" t="s">
        <v>524</v>
      </c>
      <c r="AC4" s="3562" t="s">
        <v>525</v>
      </c>
    </row>
    <row r="5" spans="1:29" ht="15">
      <c r="A5" s="515"/>
      <c r="B5" s="516"/>
      <c r="C5" s="3590" t="s">
        <v>2931</v>
      </c>
      <c r="D5" s="3591"/>
      <c r="E5" s="3671" t="s">
        <v>3278</v>
      </c>
      <c r="F5" s="3606"/>
      <c r="G5" s="3672" t="s">
        <v>3279</v>
      </c>
      <c r="H5" s="3591"/>
      <c r="I5" s="3672" t="s">
        <v>3280</v>
      </c>
      <c r="J5" s="3591"/>
      <c r="K5" s="854"/>
      <c r="L5" s="2129"/>
      <c r="M5" s="2130"/>
      <c r="N5" s="2130"/>
      <c r="O5" s="2130"/>
      <c r="P5" s="3583"/>
      <c r="Q5" s="3584"/>
      <c r="R5" s="3569"/>
      <c r="S5" s="3570"/>
      <c r="T5" s="3569"/>
      <c r="U5" s="3570"/>
      <c r="V5" s="3587"/>
      <c r="W5" s="3587"/>
      <c r="X5" s="3256"/>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3256"/>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3116</v>
      </c>
      <c r="H8" s="520">
        <f>SUMIF(61:61,G8,62:62)-SUMIF(61:61,C8,62:62)+100</f>
        <v>100</v>
      </c>
      <c r="I8" s="3186" t="s">
        <v>3116</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3291</v>
      </c>
      <c r="D9" s="254">
        <v>100</v>
      </c>
      <c r="E9" s="3188" t="s">
        <v>3291</v>
      </c>
      <c r="F9" s="859">
        <f>SUMIF(63:63,E9,64:64)-SUMIF(63:63,C9,64:64)+100</f>
        <v>100</v>
      </c>
      <c r="G9" s="3189" t="s">
        <v>3291</v>
      </c>
      <c r="H9" s="254">
        <f>SUMIF(63:63,G9,64:64)-SUMIF(63:63,C9,64:64)+100</f>
        <v>100</v>
      </c>
      <c r="I9" s="3189" t="s">
        <v>3291</v>
      </c>
      <c r="J9" s="254">
        <f>SUMIF(63:63,I9,64:64)-SUMIF(63:63,C9,64:64)+100</f>
        <v>100</v>
      </c>
      <c r="K9" s="855"/>
      <c r="L9" s="2131"/>
      <c r="M9" s="2132"/>
      <c r="N9" s="2132"/>
      <c r="O9" s="2133"/>
      <c r="P9" s="3573" t="s">
        <v>535</v>
      </c>
      <c r="Q9" s="3252" t="str">
        <f t="shared" ref="Q9:Q15" si="6">B9</f>
        <v>用途</v>
      </c>
      <c r="R9" s="1564" t="s">
        <v>8</v>
      </c>
      <c r="S9" s="1565">
        <f t="shared" si="0"/>
        <v>100</v>
      </c>
      <c r="T9" s="1564" t="s">
        <v>8</v>
      </c>
      <c r="U9" s="1565">
        <f t="shared" si="1"/>
        <v>100</v>
      </c>
      <c r="V9" s="1564" t="s">
        <v>8</v>
      </c>
      <c r="W9" s="1565">
        <f t="shared" si="2"/>
        <v>100</v>
      </c>
      <c r="X9" s="1566"/>
      <c r="Y9" s="3530" t="s">
        <v>536</v>
      </c>
      <c r="Z9" s="3247" t="str">
        <f t="shared" ref="Z9:Z15" si="7">Q9</f>
        <v>用途</v>
      </c>
      <c r="AA9" s="1567">
        <f t="shared" si="3"/>
        <v>1</v>
      </c>
      <c r="AB9" s="1567">
        <f t="shared" si="4"/>
        <v>1</v>
      </c>
      <c r="AC9" s="1567">
        <f t="shared" si="5"/>
        <v>1</v>
      </c>
    </row>
    <row r="10" spans="1:29" s="1334" customFormat="1" ht="27">
      <c r="A10" s="2888"/>
      <c r="B10" s="2893" t="s">
        <v>2757</v>
      </c>
      <c r="C10" s="861" t="s">
        <v>3281</v>
      </c>
      <c r="D10" s="255">
        <v>100</v>
      </c>
      <c r="E10" s="862" t="s">
        <v>3281</v>
      </c>
      <c r="F10" s="863">
        <f>SUMIF(65:65,E10,66:66)-SUMIF(65:65,C10,66:66)+100</f>
        <v>100</v>
      </c>
      <c r="G10" s="861" t="s">
        <v>3281</v>
      </c>
      <c r="H10" s="255">
        <f>SUMIF(65:65,G10,66:66)-SUMIF(65:65,C10,66:66)+100</f>
        <v>100</v>
      </c>
      <c r="I10" s="861" t="s">
        <v>3281</v>
      </c>
      <c r="J10" s="255">
        <f>SUMIF(65:65,I10,66:66)-SUMIF(65:65,C10,66:66)+100</f>
        <v>100</v>
      </c>
      <c r="K10" s="864">
        <v>2</v>
      </c>
      <c r="L10" s="2134"/>
      <c r="M10" s="2174"/>
      <c r="N10" s="2174"/>
      <c r="O10" s="2135"/>
      <c r="P10" s="3573"/>
      <c r="Q10" s="3252" t="str">
        <f t="shared" si="6"/>
        <v>土地使用年限（年）</v>
      </c>
      <c r="R10" s="1564" t="s">
        <v>8</v>
      </c>
      <c r="S10" s="1565">
        <f t="shared" si="0"/>
        <v>100</v>
      </c>
      <c r="T10" s="1564" t="s">
        <v>8</v>
      </c>
      <c r="U10" s="1565">
        <f t="shared" si="1"/>
        <v>100</v>
      </c>
      <c r="V10" s="1564" t="s">
        <v>8</v>
      </c>
      <c r="W10" s="1565">
        <f t="shared" si="2"/>
        <v>100</v>
      </c>
      <c r="X10" s="1566"/>
      <c r="Y10" s="3530"/>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96</v>
      </c>
      <c r="I11" s="533">
        <v>5.61</v>
      </c>
      <c r="J11" s="255">
        <f>LOOKUP(I11,68:68,69:69)-LOOKUP(C11,68:68,69:69)+100</f>
        <v>96</v>
      </c>
      <c r="K11" s="864">
        <v>2</v>
      </c>
      <c r="L11" s="2136"/>
      <c r="M11" s="2130"/>
      <c r="N11" s="2130"/>
      <c r="O11" s="2137"/>
      <c r="P11" s="3573"/>
      <c r="Q11" s="3252" t="str">
        <f t="shared" si="6"/>
        <v>容积率</v>
      </c>
      <c r="R11" s="1564" t="s">
        <v>11</v>
      </c>
      <c r="S11" s="1565">
        <f t="shared" si="0"/>
        <v>100</v>
      </c>
      <c r="T11" s="1564" t="s">
        <v>11</v>
      </c>
      <c r="U11" s="1565">
        <f t="shared" si="1"/>
        <v>96</v>
      </c>
      <c r="V11" s="1564" t="s">
        <v>11</v>
      </c>
      <c r="W11" s="1565">
        <f t="shared" si="2"/>
        <v>96</v>
      </c>
      <c r="X11" s="1566"/>
      <c r="Y11" s="3530"/>
      <c r="Z11" s="3247" t="str">
        <f t="shared" si="7"/>
        <v>容积率</v>
      </c>
      <c r="AA11" s="1567">
        <f t="shared" si="3"/>
        <v>1</v>
      </c>
      <c r="AB11" s="1567">
        <f t="shared" si="4"/>
        <v>1.0416666666666667</v>
      </c>
      <c r="AC11" s="1567">
        <f t="shared" si="5"/>
        <v>1.0416666666666667</v>
      </c>
    </row>
    <row r="12" spans="1:29" s="1216" customFormat="1" ht="15">
      <c r="A12" s="2890"/>
      <c r="B12" s="3263" t="s">
        <v>3282</v>
      </c>
      <c r="C12" s="3264" t="s">
        <v>3283</v>
      </c>
      <c r="D12" s="538">
        <v>100</v>
      </c>
      <c r="E12" s="3264" t="s">
        <v>3284</v>
      </c>
      <c r="F12" s="863">
        <f>SUMIF(70:70,E12,71:71)-SUMIF(70:70,C12,71:71)+100</f>
        <v>90</v>
      </c>
      <c r="G12" s="3264" t="s">
        <v>3284</v>
      </c>
      <c r="H12" s="255">
        <f>SUMIF(70:70,G12,71:71)-SUMIF(70:70,C12,71:71)+100</f>
        <v>90</v>
      </c>
      <c r="I12" s="3264" t="s">
        <v>3284</v>
      </c>
      <c r="J12" s="255">
        <f>SUMIF(70:70,I12,71:71)-SUMIF(70:70,C12,71:71)+100</f>
        <v>90</v>
      </c>
      <c r="K12" s="865"/>
      <c r="L12" s="2131"/>
      <c r="M12" s="2132"/>
      <c r="N12" s="2132"/>
      <c r="O12" s="2133"/>
      <c r="P12" s="3573"/>
      <c r="Q12" s="3252" t="str">
        <f t="shared" si="6"/>
        <v>用途</v>
      </c>
      <c r="R12" s="1564" t="s">
        <v>11</v>
      </c>
      <c r="S12" s="1565">
        <f t="shared" si="0"/>
        <v>90</v>
      </c>
      <c r="T12" s="1564" t="s">
        <v>11</v>
      </c>
      <c r="U12" s="1565">
        <f t="shared" si="1"/>
        <v>90</v>
      </c>
      <c r="V12" s="1564" t="s">
        <v>11</v>
      </c>
      <c r="W12" s="1565">
        <f t="shared" si="2"/>
        <v>90</v>
      </c>
      <c r="X12" s="1566"/>
      <c r="Y12" s="3530"/>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3252">
        <f t="shared" si="6"/>
        <v>111</v>
      </c>
      <c r="R13" s="1564" t="s">
        <v>11</v>
      </c>
      <c r="S13" s="1565">
        <f t="shared" si="0"/>
        <v>100</v>
      </c>
      <c r="T13" s="1564" t="s">
        <v>11</v>
      </c>
      <c r="U13" s="1565">
        <f t="shared" si="1"/>
        <v>100</v>
      </c>
      <c r="V13" s="1564" t="s">
        <v>11</v>
      </c>
      <c r="W13" s="1565">
        <f t="shared" si="2"/>
        <v>100</v>
      </c>
      <c r="X13" s="1566"/>
      <c r="Y13" s="3530"/>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3252">
        <f t="shared" si="6"/>
        <v>111</v>
      </c>
      <c r="R14" s="1564" t="s">
        <v>11</v>
      </c>
      <c r="S14" s="1565">
        <f t="shared" si="0"/>
        <v>100</v>
      </c>
      <c r="T14" s="1564" t="s">
        <v>11</v>
      </c>
      <c r="U14" s="1565">
        <f t="shared" si="1"/>
        <v>100</v>
      </c>
      <c r="V14" s="1564" t="s">
        <v>11</v>
      </c>
      <c r="W14" s="1565">
        <f t="shared" si="2"/>
        <v>100</v>
      </c>
      <c r="X14" s="1566"/>
      <c r="Y14" s="3530"/>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3254" t="str">
        <f t="shared" si="6"/>
        <v>居住社区成熟度</v>
      </c>
      <c r="R15" s="1569" t="s">
        <v>11</v>
      </c>
      <c r="S15" s="1570">
        <f t="shared" si="0"/>
        <v>100</v>
      </c>
      <c r="T15" s="1569" t="s">
        <v>11</v>
      </c>
      <c r="U15" s="1570">
        <f t="shared" si="1"/>
        <v>100</v>
      </c>
      <c r="V15" s="1569" t="s">
        <v>11</v>
      </c>
      <c r="W15" s="1570">
        <f t="shared" si="2"/>
        <v>100</v>
      </c>
      <c r="X15" s="3256"/>
      <c r="Y15" s="3575" t="s">
        <v>540</v>
      </c>
      <c r="Z15" s="3255" t="str">
        <f t="shared" si="7"/>
        <v>居住社区成熟度</v>
      </c>
      <c r="AA15" s="3257">
        <f t="shared" si="3"/>
        <v>1</v>
      </c>
      <c r="AB15" s="3257">
        <f t="shared" si="4"/>
        <v>1</v>
      </c>
      <c r="AC15" s="3257">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76"/>
      <c r="Q16" s="3254"/>
      <c r="R16" s="1569"/>
      <c r="S16" s="1570"/>
      <c r="T16" s="1569"/>
      <c r="U16" s="1570"/>
      <c r="V16" s="1569"/>
      <c r="W16" s="1570"/>
      <c r="X16" s="3256"/>
      <c r="Y16" s="3576"/>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3254" t="str">
        <f>B17</f>
        <v>交通便捷度</v>
      </c>
      <c r="R17" s="1569" t="s">
        <v>11</v>
      </c>
      <c r="S17" s="1570">
        <f>F17</f>
        <v>100</v>
      </c>
      <c r="T17" s="1569" t="s">
        <v>11</v>
      </c>
      <c r="U17" s="1570">
        <f>H17</f>
        <v>100</v>
      </c>
      <c r="V17" s="1569" t="s">
        <v>11</v>
      </c>
      <c r="W17" s="1570">
        <f>J17</f>
        <v>100</v>
      </c>
      <c r="X17" s="3256"/>
      <c r="Y17" s="3576"/>
      <c r="Z17" s="3255" t="str">
        <f>Q17</f>
        <v>交通便捷度</v>
      </c>
      <c r="AA17" s="3257">
        <f t="shared" si="3"/>
        <v>1</v>
      </c>
      <c r="AB17" s="3257">
        <f t="shared" si="4"/>
        <v>1</v>
      </c>
      <c r="AC17" s="3257">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76"/>
      <c r="Q18" s="3254"/>
      <c r="R18" s="1569"/>
      <c r="S18" s="1570"/>
      <c r="T18" s="1569"/>
      <c r="U18" s="1570"/>
      <c r="V18" s="1569"/>
      <c r="W18" s="1570"/>
      <c r="X18" s="3256"/>
      <c r="Y18" s="3576"/>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3254" t="str">
        <f>B19</f>
        <v>公共配套设施</v>
      </c>
      <c r="R19" s="1569" t="s">
        <v>11</v>
      </c>
      <c r="S19" s="1570">
        <f>F19</f>
        <v>100</v>
      </c>
      <c r="T19" s="1569" t="s">
        <v>11</v>
      </c>
      <c r="U19" s="1570">
        <f>H19</f>
        <v>100</v>
      </c>
      <c r="V19" s="1569" t="s">
        <v>11</v>
      </c>
      <c r="W19" s="1570">
        <f>J19</f>
        <v>100</v>
      </c>
      <c r="X19" s="3256"/>
      <c r="Y19" s="3576"/>
      <c r="Z19" s="3255" t="str">
        <f>Q19</f>
        <v>公共配套设施</v>
      </c>
      <c r="AA19" s="3257">
        <f t="shared" si="3"/>
        <v>1</v>
      </c>
      <c r="AB19" s="3257">
        <f t="shared" si="4"/>
        <v>1</v>
      </c>
      <c r="AC19" s="3257">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76"/>
      <c r="Q20" s="3254"/>
      <c r="R20" s="1569"/>
      <c r="S20" s="1570"/>
      <c r="T20" s="1569"/>
      <c r="U20" s="1570"/>
      <c r="V20" s="1569"/>
      <c r="W20" s="1570"/>
      <c r="X20" s="3256"/>
      <c r="Y20" s="3576"/>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3254" t="str">
        <f>B21</f>
        <v>基础设施水平</v>
      </c>
      <c r="R21" s="1569" t="s">
        <v>11</v>
      </c>
      <c r="S21" s="1570">
        <f>F21</f>
        <v>100</v>
      </c>
      <c r="T21" s="1569" t="s">
        <v>11</v>
      </c>
      <c r="U21" s="1570">
        <f>H21</f>
        <v>100</v>
      </c>
      <c r="V21" s="1569" t="s">
        <v>11</v>
      </c>
      <c r="W21" s="1570">
        <f>J21</f>
        <v>100</v>
      </c>
      <c r="X21" s="3256"/>
      <c r="Y21" s="3576"/>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76"/>
      <c r="Q22" s="3254"/>
      <c r="R22" s="1569"/>
      <c r="S22" s="1570"/>
      <c r="T22" s="1569"/>
      <c r="U22" s="1570"/>
      <c r="V22" s="1569"/>
      <c r="W22" s="1570"/>
      <c r="X22" s="3256"/>
      <c r="Y22" s="3576"/>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3254" t="str">
        <f>B23</f>
        <v>自然及人文环境</v>
      </c>
      <c r="R23" s="1569" t="s">
        <v>11</v>
      </c>
      <c r="S23" s="1570">
        <f>F23</f>
        <v>100</v>
      </c>
      <c r="T23" s="1569" t="s">
        <v>11</v>
      </c>
      <c r="U23" s="1570">
        <f>H23</f>
        <v>100</v>
      </c>
      <c r="V23" s="1569" t="s">
        <v>11</v>
      </c>
      <c r="W23" s="1570">
        <f>J23</f>
        <v>100</v>
      </c>
      <c r="X23" s="3256"/>
      <c r="Y23" s="3576"/>
      <c r="Z23" s="3255" t="str">
        <f>Q23</f>
        <v>自然及人文环境</v>
      </c>
      <c r="AA23" s="3257">
        <f t="shared" si="3"/>
        <v>1</v>
      </c>
      <c r="AB23" s="3257">
        <f t="shared" si="4"/>
        <v>1</v>
      </c>
      <c r="AC23" s="3257">
        <f t="shared" si="5"/>
        <v>1</v>
      </c>
    </row>
    <row r="24" spans="1:29" ht="15">
      <c r="A24" s="532"/>
      <c r="B24" s="595"/>
      <c r="C24" s="3183" t="s">
        <v>3122</v>
      </c>
      <c r="D24" s="555"/>
      <c r="E24" s="3178" t="s">
        <v>3122</v>
      </c>
      <c r="F24" s="557"/>
      <c r="G24" s="3177" t="s">
        <v>3122</v>
      </c>
      <c r="H24" s="555"/>
      <c r="I24" s="3178" t="s">
        <v>3122</v>
      </c>
      <c r="J24" s="555"/>
      <c r="K24" s="870"/>
      <c r="L24" s="2138"/>
      <c r="M24" s="2130"/>
      <c r="N24" s="2130"/>
      <c r="O24" s="2137"/>
      <c r="P24" s="3576"/>
      <c r="Q24" s="3254"/>
      <c r="R24" s="1569"/>
      <c r="S24" s="1570"/>
      <c r="T24" s="1569"/>
      <c r="U24" s="1570"/>
      <c r="V24" s="1569"/>
      <c r="W24" s="1570"/>
      <c r="X24" s="3256"/>
      <c r="Y24" s="3576"/>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3254" t="str">
        <f t="shared" ref="Q25:Q46" si="11">B25</f>
        <v>楼层-1</v>
      </c>
      <c r="R25" s="1569" t="s">
        <v>11</v>
      </c>
      <c r="S25" s="1570">
        <f>F25</f>
        <v>100</v>
      </c>
      <c r="T25" s="1569" t="s">
        <v>11</v>
      </c>
      <c r="U25" s="1570">
        <f>H25</f>
        <v>100</v>
      </c>
      <c r="V25" s="1569" t="s">
        <v>11</v>
      </c>
      <c r="W25" s="1570">
        <f>J25</f>
        <v>100</v>
      </c>
      <c r="X25" s="3256"/>
      <c r="Y25" s="3576"/>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3254" t="str">
        <f t="shared" si="11"/>
        <v>朝向</v>
      </c>
      <c r="R26" s="1569" t="s">
        <v>11</v>
      </c>
      <c r="S26" s="1570">
        <f>F26</f>
        <v>100</v>
      </c>
      <c r="T26" s="1569" t="s">
        <v>11</v>
      </c>
      <c r="U26" s="1570">
        <f>H26</f>
        <v>100</v>
      </c>
      <c r="V26" s="1569" t="s">
        <v>11</v>
      </c>
      <c r="W26" s="1570">
        <f>J26</f>
        <v>100</v>
      </c>
      <c r="X26" s="3256"/>
      <c r="Y26" s="3576"/>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3252" t="str">
        <f t="shared" si="11"/>
        <v>道路级别</v>
      </c>
      <c r="R27" s="1564" t="s">
        <v>11</v>
      </c>
      <c r="S27" s="1565">
        <f>F27</f>
        <v>100</v>
      </c>
      <c r="T27" s="1564" t="s">
        <v>11</v>
      </c>
      <c r="U27" s="1565">
        <f>H27</f>
        <v>100</v>
      </c>
      <c r="V27" s="1564" t="s">
        <v>11</v>
      </c>
      <c r="W27" s="1565">
        <f>J27</f>
        <v>100</v>
      </c>
      <c r="X27" s="1566"/>
      <c r="Y27" s="3576"/>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3254">
        <f t="shared" si="11"/>
        <v>111</v>
      </c>
      <c r="R28" s="1569" t="s">
        <v>11</v>
      </c>
      <c r="S28" s="1570">
        <f t="shared" ref="S28:S46" si="12">F28</f>
        <v>100</v>
      </c>
      <c r="T28" s="1569" t="s">
        <v>11</v>
      </c>
      <c r="U28" s="1570">
        <f t="shared" ref="U28:U46" si="13">H28</f>
        <v>100</v>
      </c>
      <c r="V28" s="1569" t="s">
        <v>11</v>
      </c>
      <c r="W28" s="1570">
        <f t="shared" ref="W28:W46" si="14">J28</f>
        <v>100</v>
      </c>
      <c r="X28" s="3256"/>
      <c r="Y28" s="3576"/>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3254">
        <f t="shared" si="11"/>
        <v>111</v>
      </c>
      <c r="R29" s="1569" t="s">
        <v>11</v>
      </c>
      <c r="S29" s="1570">
        <f t="shared" si="12"/>
        <v>100</v>
      </c>
      <c r="T29" s="1569" t="s">
        <v>11</v>
      </c>
      <c r="U29" s="1570">
        <f t="shared" si="13"/>
        <v>100</v>
      </c>
      <c r="V29" s="1569" t="s">
        <v>11</v>
      </c>
      <c r="W29" s="1570">
        <f t="shared" si="14"/>
        <v>100</v>
      </c>
      <c r="X29" s="3256"/>
      <c r="Y29" s="3576"/>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3254">
        <f t="shared" si="11"/>
        <v>111</v>
      </c>
      <c r="R30" s="1569" t="s">
        <v>11</v>
      </c>
      <c r="S30" s="1570">
        <f t="shared" si="12"/>
        <v>100</v>
      </c>
      <c r="T30" s="1569" t="s">
        <v>11</v>
      </c>
      <c r="U30" s="1570">
        <f t="shared" si="13"/>
        <v>100</v>
      </c>
      <c r="V30" s="1569" t="s">
        <v>11</v>
      </c>
      <c r="W30" s="1570">
        <f t="shared" si="14"/>
        <v>100</v>
      </c>
      <c r="X30" s="3256"/>
      <c r="Y30" s="3576"/>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3254">
        <f t="shared" si="11"/>
        <v>111</v>
      </c>
      <c r="R31" s="1569" t="s">
        <v>11</v>
      </c>
      <c r="S31" s="1570">
        <f t="shared" si="12"/>
        <v>100</v>
      </c>
      <c r="T31" s="1569" t="s">
        <v>11</v>
      </c>
      <c r="U31" s="1570">
        <f t="shared" si="13"/>
        <v>100</v>
      </c>
      <c r="V31" s="1569" t="s">
        <v>11</v>
      </c>
      <c r="W31" s="1570">
        <f t="shared" si="14"/>
        <v>100</v>
      </c>
      <c r="X31" s="3256"/>
      <c r="Y31" s="3576"/>
      <c r="Z31" s="3255">
        <f t="shared" si="15"/>
        <v>111</v>
      </c>
      <c r="AA31" s="3257">
        <f t="shared" si="3"/>
        <v>1</v>
      </c>
      <c r="AB31" s="3257">
        <f t="shared" si="4"/>
        <v>1</v>
      </c>
      <c r="AC31" s="3257">
        <f t="shared" si="5"/>
        <v>1</v>
      </c>
    </row>
    <row r="32" spans="1:29" ht="15">
      <c r="A32" s="2881" t="s">
        <v>2755</v>
      </c>
      <c r="B32" s="172" t="s">
        <v>725</v>
      </c>
      <c r="C32" s="3191" t="s">
        <v>3127</v>
      </c>
      <c r="D32" s="597">
        <v>100</v>
      </c>
      <c r="E32" s="3192" t="s">
        <v>3127</v>
      </c>
      <c r="F32" s="575">
        <f>SUMIF(100:100,E32,101:101)-SUMIF(100:100,C32,101:101)+100</f>
        <v>100</v>
      </c>
      <c r="G32" s="3191" t="s">
        <v>3127</v>
      </c>
      <c r="H32" s="597">
        <f>SUMIF(100:100,G32,101:101)-SUMIF(100:100,C32,101:101)+100</f>
        <v>100</v>
      </c>
      <c r="I32" s="3192" t="s">
        <v>3127</v>
      </c>
      <c r="J32" s="540">
        <f>SUMIF(100:100,I32,101:101)-SUMIF(100:100,C32,101:101)+100</f>
        <v>100</v>
      </c>
      <c r="K32" s="864">
        <v>2</v>
      </c>
      <c r="L32" s="2138"/>
      <c r="M32" s="2130"/>
      <c r="N32" s="2130"/>
      <c r="O32" s="2137"/>
      <c r="P32" s="3577" t="s">
        <v>550</v>
      </c>
      <c r="Q32" s="3254" t="str">
        <f t="shared" si="11"/>
        <v>建筑类型</v>
      </c>
      <c r="R32" s="1569" t="s">
        <v>11</v>
      </c>
      <c r="S32" s="1570">
        <f t="shared" si="12"/>
        <v>100</v>
      </c>
      <c r="T32" s="1569" t="s">
        <v>11</v>
      </c>
      <c r="U32" s="1570">
        <f t="shared" si="13"/>
        <v>100</v>
      </c>
      <c r="V32" s="1569" t="s">
        <v>11</v>
      </c>
      <c r="W32" s="1570">
        <f t="shared" si="14"/>
        <v>100</v>
      </c>
      <c r="X32" s="3256"/>
      <c r="Y32" s="3578"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78"/>
      <c r="Q33" s="1601" t="str">
        <f t="shared" si="11"/>
        <v>项目建筑规模</v>
      </c>
      <c r="R33" s="1573" t="s">
        <v>11</v>
      </c>
      <c r="S33" s="1574">
        <f t="shared" si="12"/>
        <v>102</v>
      </c>
      <c r="T33" s="1573" t="s">
        <v>11</v>
      </c>
      <c r="U33" s="1574">
        <f t="shared" si="13"/>
        <v>100</v>
      </c>
      <c r="V33" s="1573" t="s">
        <v>11</v>
      </c>
      <c r="W33" s="1574">
        <f t="shared" si="14"/>
        <v>100</v>
      </c>
      <c r="X33" s="1575"/>
      <c r="Y33" s="3578"/>
      <c r="Z33" s="1576" t="str">
        <f t="shared" si="15"/>
        <v>项目建筑规模</v>
      </c>
      <c r="AA33" s="3257">
        <f t="shared" si="3"/>
        <v>0.98039215686274506</v>
      </c>
      <c r="AB33" s="3257">
        <f t="shared" si="4"/>
        <v>1</v>
      </c>
      <c r="AC33" s="3257">
        <f t="shared" si="5"/>
        <v>1</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78"/>
      <c r="Q34" s="3254" t="str">
        <f t="shared" si="11"/>
        <v>建筑结构</v>
      </c>
      <c r="R34" s="1569" t="s">
        <v>11</v>
      </c>
      <c r="S34" s="1570">
        <f t="shared" si="12"/>
        <v>100</v>
      </c>
      <c r="T34" s="1569" t="s">
        <v>11</v>
      </c>
      <c r="U34" s="1570">
        <f t="shared" si="13"/>
        <v>100</v>
      </c>
      <c r="V34" s="1569" t="s">
        <v>11</v>
      </c>
      <c r="W34" s="1570">
        <f t="shared" si="14"/>
        <v>100</v>
      </c>
      <c r="X34" s="3256"/>
      <c r="Y34" s="3578"/>
      <c r="Z34" s="3255" t="str">
        <f t="shared" si="15"/>
        <v>建筑结构</v>
      </c>
      <c r="AA34" s="3257">
        <f t="shared" si="3"/>
        <v>1</v>
      </c>
      <c r="AB34" s="3257">
        <f t="shared" si="4"/>
        <v>1</v>
      </c>
      <c r="AC34" s="3257">
        <f t="shared" si="5"/>
        <v>1</v>
      </c>
    </row>
    <row r="35" spans="1:29" ht="15">
      <c r="A35" s="594"/>
      <c r="B35" s="527" t="s">
        <v>728</v>
      </c>
      <c r="C35" s="3241" t="s">
        <v>3122</v>
      </c>
      <c r="D35" s="540">
        <v>100</v>
      </c>
      <c r="E35" s="3242" t="s">
        <v>3122</v>
      </c>
      <c r="F35" s="575">
        <f>SUMIF(107:107,E35,108:108)-SUMIF(107:107,C35,108:108)+100</f>
        <v>100</v>
      </c>
      <c r="G35" s="3241" t="s">
        <v>3122</v>
      </c>
      <c r="H35" s="540">
        <f>SUMIF(107:107,G35,108:108)-SUMIF(107:107,C35,108:108)+100</f>
        <v>100</v>
      </c>
      <c r="I35" s="3242" t="s">
        <v>3122</v>
      </c>
      <c r="J35" s="540">
        <f>SUMIF(107:107,I35,108:108)-SUMIF(107:107,C35,108:108)+100</f>
        <v>100</v>
      </c>
      <c r="K35" s="864">
        <v>2</v>
      </c>
      <c r="L35" s="2138"/>
      <c r="M35" s="2130"/>
      <c r="N35" s="2130"/>
      <c r="O35" s="2137"/>
      <c r="P35" s="3578"/>
      <c r="Q35" s="3254" t="str">
        <f t="shared" si="11"/>
        <v>建筑品质</v>
      </c>
      <c r="R35" s="1569" t="s">
        <v>11</v>
      </c>
      <c r="S35" s="1570">
        <f t="shared" si="12"/>
        <v>100</v>
      </c>
      <c r="T35" s="1569" t="s">
        <v>11</v>
      </c>
      <c r="U35" s="1570">
        <f t="shared" si="13"/>
        <v>100</v>
      </c>
      <c r="V35" s="1569" t="s">
        <v>11</v>
      </c>
      <c r="W35" s="1570">
        <f t="shared" si="14"/>
        <v>100</v>
      </c>
      <c r="X35" s="3256"/>
      <c r="Y35" s="3578"/>
      <c r="Z35" s="3255" t="str">
        <f t="shared" si="15"/>
        <v>建筑品质</v>
      </c>
      <c r="AA35" s="3257">
        <f t="shared" si="3"/>
        <v>1</v>
      </c>
      <c r="AB35" s="3257">
        <f t="shared" si="4"/>
        <v>1</v>
      </c>
      <c r="AC35" s="3257">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78"/>
      <c r="Q36" s="3254" t="str">
        <f t="shared" si="11"/>
        <v>公共部分装修</v>
      </c>
      <c r="R36" s="1569" t="s">
        <v>11</v>
      </c>
      <c r="S36" s="1570">
        <f t="shared" si="12"/>
        <v>100</v>
      </c>
      <c r="T36" s="1569" t="s">
        <v>11</v>
      </c>
      <c r="U36" s="1570">
        <f t="shared" si="13"/>
        <v>100</v>
      </c>
      <c r="V36" s="1569" t="s">
        <v>11</v>
      </c>
      <c r="W36" s="1570">
        <f t="shared" si="14"/>
        <v>100</v>
      </c>
      <c r="X36" s="3256"/>
      <c r="Y36" s="3578"/>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3252" t="str">
        <f t="shared" si="11"/>
        <v>成新度</v>
      </c>
      <c r="R37" s="1564" t="s">
        <v>11</v>
      </c>
      <c r="S37" s="1565">
        <f t="shared" si="12"/>
        <v>100</v>
      </c>
      <c r="T37" s="1564" t="s">
        <v>11</v>
      </c>
      <c r="U37" s="1565">
        <f t="shared" si="13"/>
        <v>100</v>
      </c>
      <c r="V37" s="1564" t="s">
        <v>11</v>
      </c>
      <c r="W37" s="1565">
        <f t="shared" si="14"/>
        <v>100</v>
      </c>
      <c r="X37" s="1566"/>
      <c r="Y37" s="3578"/>
      <c r="Z37" s="3247"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78" t="s">
        <v>550</v>
      </c>
      <c r="Q38" s="3254" t="str">
        <f t="shared" si="11"/>
        <v>物业管理</v>
      </c>
      <c r="R38" s="1569" t="s">
        <v>11</v>
      </c>
      <c r="S38" s="1570">
        <f t="shared" si="12"/>
        <v>100</v>
      </c>
      <c r="T38" s="1569" t="s">
        <v>11</v>
      </c>
      <c r="U38" s="1570">
        <f t="shared" si="13"/>
        <v>100</v>
      </c>
      <c r="V38" s="1569" t="s">
        <v>11</v>
      </c>
      <c r="W38" s="1570">
        <f t="shared" si="14"/>
        <v>100</v>
      </c>
      <c r="X38" s="3256"/>
      <c r="Y38" s="3578"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78"/>
      <c r="Q39" s="3254" t="str">
        <f t="shared" si="11"/>
        <v>市政基础设施</v>
      </c>
      <c r="R39" s="1569" t="s">
        <v>11</v>
      </c>
      <c r="S39" s="1570">
        <f t="shared" si="12"/>
        <v>100</v>
      </c>
      <c r="T39" s="1569" t="s">
        <v>11</v>
      </c>
      <c r="U39" s="1570">
        <f t="shared" si="13"/>
        <v>100</v>
      </c>
      <c r="V39" s="1569" t="s">
        <v>11</v>
      </c>
      <c r="W39" s="1570">
        <f t="shared" si="14"/>
        <v>100</v>
      </c>
      <c r="X39" s="3256"/>
      <c r="Y39" s="3578"/>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3254" t="str">
        <f t="shared" si="11"/>
        <v>房型</v>
      </c>
      <c r="R40" s="1569" t="s">
        <v>11</v>
      </c>
      <c r="S40" s="1570">
        <f t="shared" si="12"/>
        <v>100</v>
      </c>
      <c r="T40" s="1569" t="s">
        <v>11</v>
      </c>
      <c r="U40" s="1570">
        <f t="shared" si="13"/>
        <v>100</v>
      </c>
      <c r="V40" s="1569" t="s">
        <v>11</v>
      </c>
      <c r="W40" s="1570">
        <f t="shared" si="14"/>
        <v>100</v>
      </c>
      <c r="X40" s="3256"/>
      <c r="Y40" s="3578"/>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3257">
        <f t="shared" si="3"/>
        <v>1</v>
      </c>
      <c r="AB41" s="3257">
        <f t="shared" si="4"/>
        <v>1</v>
      </c>
      <c r="AC41" s="3257">
        <f t="shared" si="5"/>
        <v>1</v>
      </c>
    </row>
    <row r="42" spans="1:29" ht="15">
      <c r="A42" s="594"/>
      <c r="B42" s="527" t="s">
        <v>734</v>
      </c>
      <c r="C42" s="3241" t="s">
        <v>3237</v>
      </c>
      <c r="D42" s="540">
        <v>100</v>
      </c>
      <c r="E42" s="3242" t="s">
        <v>3248</v>
      </c>
      <c r="F42" s="575">
        <f>SUMIF(122:122,E42,123:123)-SUMIF(122:122,C42,123:123)+100</f>
        <v>91</v>
      </c>
      <c r="G42" s="3241" t="s">
        <v>3248</v>
      </c>
      <c r="H42" s="540">
        <f>SUMIF(122:122,G42,123:123)-SUMIF(122:122,C42,123:123)+100</f>
        <v>91</v>
      </c>
      <c r="I42" s="3242" t="s">
        <v>3248</v>
      </c>
      <c r="J42" s="540">
        <f>SUMIF(122:122,I42,123:123)-SUMIF(122:122,C42,123:123)+100</f>
        <v>91</v>
      </c>
      <c r="K42" s="864">
        <v>3</v>
      </c>
      <c r="L42" s="2138"/>
      <c r="M42" s="2130"/>
      <c r="N42" s="2130"/>
      <c r="O42" s="2137"/>
      <c r="P42" s="3578"/>
      <c r="Q42" s="3254" t="str">
        <f t="shared" si="11"/>
        <v>内部装修</v>
      </c>
      <c r="R42" s="1569" t="s">
        <v>11</v>
      </c>
      <c r="S42" s="1570">
        <f t="shared" si="12"/>
        <v>91</v>
      </c>
      <c r="T42" s="1569" t="s">
        <v>11</v>
      </c>
      <c r="U42" s="1570">
        <f t="shared" si="13"/>
        <v>91</v>
      </c>
      <c r="V42" s="1569" t="s">
        <v>11</v>
      </c>
      <c r="W42" s="1570">
        <f t="shared" si="14"/>
        <v>91</v>
      </c>
      <c r="X42" s="3256"/>
      <c r="Y42" s="3578"/>
      <c r="Z42" s="3255" t="str">
        <f t="shared" si="15"/>
        <v>内部装修</v>
      </c>
      <c r="AA42" s="3257">
        <f t="shared" si="3"/>
        <v>1.098901098901099</v>
      </c>
      <c r="AB42" s="3257">
        <f t="shared" si="4"/>
        <v>1.098901098901099</v>
      </c>
      <c r="AC42" s="3257">
        <f t="shared" si="5"/>
        <v>1.098901098901099</v>
      </c>
    </row>
    <row r="43" spans="1:29" ht="27">
      <c r="A43" s="594"/>
      <c r="B43" s="527" t="s">
        <v>735</v>
      </c>
      <c r="C43" s="3241" t="s">
        <v>3122</v>
      </c>
      <c r="D43" s="540">
        <v>100</v>
      </c>
      <c r="E43" s="3242" t="s">
        <v>3122</v>
      </c>
      <c r="F43" s="575">
        <f>SUMIF(124:124,E43,125:125)-SUMIF(124:124,C43,125:125)+100</f>
        <v>100</v>
      </c>
      <c r="G43" s="3241" t="s">
        <v>3122</v>
      </c>
      <c r="H43" s="540">
        <f>SUMIF(124:124,G43,125:125)-SUMIF(124:124,C43,125:125)+100</f>
        <v>100</v>
      </c>
      <c r="I43" s="3242" t="s">
        <v>3122</v>
      </c>
      <c r="J43" s="540">
        <f>SUMIF(124:124,I43,125:125)-SUMIF(124:124,C43,125:125)+100</f>
        <v>100</v>
      </c>
      <c r="K43" s="864">
        <v>2</v>
      </c>
      <c r="L43" s="2138"/>
      <c r="M43" s="2130"/>
      <c r="N43" s="2130"/>
      <c r="O43" s="2137"/>
      <c r="P43" s="3578"/>
      <c r="Q43" s="3254" t="str">
        <f t="shared" si="11"/>
        <v>内部装修维护情况</v>
      </c>
      <c r="R43" s="1569" t="s">
        <v>11</v>
      </c>
      <c r="S43" s="1570">
        <f t="shared" si="12"/>
        <v>100</v>
      </c>
      <c r="T43" s="1569" t="s">
        <v>11</v>
      </c>
      <c r="U43" s="1570">
        <f t="shared" si="13"/>
        <v>100</v>
      </c>
      <c r="V43" s="1569" t="s">
        <v>11</v>
      </c>
      <c r="W43" s="1570">
        <f t="shared" si="14"/>
        <v>100</v>
      </c>
      <c r="X43" s="3256"/>
      <c r="Y43" s="3578"/>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3252">
        <f t="shared" si="11"/>
        <v>111</v>
      </c>
      <c r="R44" s="1564" t="s">
        <v>11</v>
      </c>
      <c r="S44" s="1565">
        <f t="shared" si="12"/>
        <v>100</v>
      </c>
      <c r="T44" s="1564" t="s">
        <v>11</v>
      </c>
      <c r="U44" s="1565">
        <f t="shared" si="13"/>
        <v>100</v>
      </c>
      <c r="V44" s="1564" t="s">
        <v>11</v>
      </c>
      <c r="W44" s="1565">
        <f t="shared" si="14"/>
        <v>100</v>
      </c>
      <c r="X44" s="1566"/>
      <c r="Y44" s="3578"/>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3254">
        <f t="shared" si="11"/>
        <v>111</v>
      </c>
      <c r="R45" s="1569" t="s">
        <v>11</v>
      </c>
      <c r="S45" s="1570">
        <f t="shared" si="12"/>
        <v>100</v>
      </c>
      <c r="T45" s="1569" t="s">
        <v>11</v>
      </c>
      <c r="U45" s="1570">
        <f t="shared" si="13"/>
        <v>100</v>
      </c>
      <c r="V45" s="1569" t="s">
        <v>11</v>
      </c>
      <c r="W45" s="1570">
        <f t="shared" si="14"/>
        <v>100</v>
      </c>
      <c r="X45" s="3256"/>
      <c r="Y45" s="3578"/>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3254">
        <f t="shared" si="11"/>
        <v>111</v>
      </c>
      <c r="R46" s="1569" t="s">
        <v>10</v>
      </c>
      <c r="S46" s="1570">
        <f t="shared" si="12"/>
        <v>100</v>
      </c>
      <c r="T46" s="1569" t="s">
        <v>10</v>
      </c>
      <c r="U46" s="1570">
        <f t="shared" si="13"/>
        <v>100</v>
      </c>
      <c r="V46" s="1569" t="s">
        <v>10</v>
      </c>
      <c r="W46" s="1570">
        <f t="shared" si="14"/>
        <v>100</v>
      </c>
      <c r="X46" s="3256"/>
      <c r="Y46" s="3675"/>
      <c r="Z46" s="3255">
        <f t="shared" si="15"/>
        <v>111</v>
      </c>
      <c r="AA46" s="3257">
        <f t="shared" si="3"/>
        <v>1</v>
      </c>
      <c r="AB46" s="3257">
        <f t="shared" si="4"/>
        <v>1</v>
      </c>
      <c r="AC46" s="3257">
        <f t="shared" si="5"/>
        <v>1</v>
      </c>
    </row>
    <row r="47" spans="1:29" ht="15">
      <c r="A47" s="607" t="s">
        <v>736</v>
      </c>
      <c r="B47" s="883"/>
      <c r="C47" s="2602" t="s">
        <v>9</v>
      </c>
      <c r="D47" s="2603"/>
      <c r="E47" s="2604">
        <f>ROUND(11500*L47,0)</f>
        <v>10580</v>
      </c>
      <c r="F47" s="2605"/>
      <c r="G47" s="2606">
        <f>11000*L47</f>
        <v>10120</v>
      </c>
      <c r="H47" s="2607"/>
      <c r="I47" s="2604">
        <f>ROUND(11500*L47,0)</f>
        <v>10580</v>
      </c>
      <c r="J47" s="2607"/>
      <c r="K47" s="1602"/>
      <c r="L47" s="2140">
        <v>0.92</v>
      </c>
      <c r="M47" s="2141"/>
      <c r="N47" s="2130"/>
      <c r="O47" s="2141"/>
      <c r="P47" s="3573" t="str">
        <f>A47</f>
        <v>成交单价（元/平方米）</v>
      </c>
      <c r="Q47" s="3573"/>
      <c r="R47" s="3674">
        <f>E47</f>
        <v>10580</v>
      </c>
      <c r="S47" s="3674"/>
      <c r="T47" s="3674">
        <f>G47</f>
        <v>10120</v>
      </c>
      <c r="U47" s="3674"/>
      <c r="V47" s="3674">
        <f>I47</f>
        <v>10580</v>
      </c>
      <c r="W47" s="3674"/>
      <c r="X47" s="1555"/>
      <c r="Y47" s="1577"/>
      <c r="Z47" s="1555"/>
      <c r="AA47" s="1555"/>
      <c r="AB47" s="1555"/>
      <c r="AC47" s="1555"/>
    </row>
    <row r="48" spans="1:29" ht="15.75" thickBot="1">
      <c r="A48" s="615" t="s">
        <v>2693</v>
      </c>
      <c r="B48" s="884"/>
      <c r="C48" s="2608">
        <f>R49</f>
        <v>12997</v>
      </c>
      <c r="D48" s="2609"/>
      <c r="E48" s="2610">
        <f>R48</f>
        <v>12665</v>
      </c>
      <c r="F48" s="2610"/>
      <c r="G48" s="2608">
        <f>T48</f>
        <v>12871</v>
      </c>
      <c r="H48" s="2609"/>
      <c r="I48" s="2610">
        <f>V48</f>
        <v>13456</v>
      </c>
      <c r="J48" s="2609"/>
      <c r="K48" s="1603"/>
      <c r="L48" s="2140"/>
      <c r="M48" s="2141"/>
      <c r="N48" s="2141"/>
      <c r="O48" s="2141"/>
      <c r="P48" s="3573" t="str">
        <f>A48</f>
        <v>比较价格（元/平方米）</v>
      </c>
      <c r="Q48" s="3573"/>
      <c r="R48" s="3674">
        <f>IF(F1="售价",ROUND(PRODUCT(R47,AA7:AA46),0),ROUND(PRODUCT(R47,AA7:AA46),1))</f>
        <v>12665</v>
      </c>
      <c r="S48" s="3674"/>
      <c r="T48" s="3674">
        <f>IF(F1="售价",ROUND(PRODUCT(T47,AB7:AB46),0),ROUND(PRODUCT(T47,AB7:AB46),1))</f>
        <v>12871</v>
      </c>
      <c r="U48" s="3674"/>
      <c r="V48" s="3674">
        <f>IF(F1="售价",ROUND(PRODUCT(V47,AC7:AC46),0),ROUND(PRODUCT(V47,AC7:AC46),1))</f>
        <v>13456</v>
      </c>
      <c r="W48" s="3674"/>
      <c r="X48" s="1555"/>
      <c r="Y48" s="1555"/>
      <c r="Z48" s="1555"/>
      <c r="AA48" s="1555"/>
      <c r="AB48" s="1555"/>
      <c r="AC48" s="1555"/>
    </row>
    <row r="49" spans="1:29" ht="15.75" thickBot="1">
      <c r="A49" s="621" t="s">
        <v>2937</v>
      </c>
      <c r="B49" s="622"/>
      <c r="C49" s="2611">
        <f>R49</f>
        <v>12997</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12997</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0.19706994328922489</v>
      </c>
      <c r="F52" s="627" t="str">
        <f>IF(OR(E52&gt;=0.3,E52&lt;=-0.3),"超过30%","")</f>
        <v/>
      </c>
      <c r="G52" s="626">
        <f>IF(G47&lt;G48,G48/G47-1,G47/G48-1)</f>
        <v>0.27183794466403155</v>
      </c>
      <c r="H52" s="627" t="str">
        <f>IF(OR(G52&gt;=0.3,G52&lt;=-0.3),"超过30%","")</f>
        <v/>
      </c>
      <c r="I52" s="626">
        <f>IF(I47&lt;I48,I48/I47-1,I47/I48-1)</f>
        <v>0.27183364839319468</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1.6265298065534894E-2</v>
      </c>
      <c r="F53" s="627" t="str">
        <f>IF(OR(E53&gt;=0.2,E53&lt;=-0.2),"超过20%","")</f>
        <v/>
      </c>
      <c r="G53" s="626">
        <f>IF(G48&lt;I48,I48/G48-1,G48/I48-1)</f>
        <v>4.5451013907233273E-2</v>
      </c>
      <c r="H53" s="627" t="str">
        <f>IF(OR(G53&gt;=0.2,G53&lt;=-0.2),"超过20%","")</f>
        <v/>
      </c>
      <c r="I53" s="626">
        <f>IF(I48&lt;E48,E48/I48-1,I48/E48-1)</f>
        <v>6.2455586261350282E-2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3283</v>
      </c>
      <c r="D70" s="3243" t="s">
        <v>3284</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79" t="s">
        <v>522</v>
      </c>
      <c r="D4" s="3580"/>
      <c r="E4" s="3603" t="s">
        <v>523</v>
      </c>
      <c r="F4" s="3604"/>
      <c r="G4" s="3579" t="s">
        <v>524</v>
      </c>
      <c r="H4" s="3580"/>
      <c r="I4" s="3579" t="s">
        <v>525</v>
      </c>
      <c r="J4" s="3580"/>
      <c r="K4" s="514" t="s">
        <v>526</v>
      </c>
      <c r="L4" s="2129"/>
      <c r="M4" s="2130"/>
      <c r="N4" s="2130"/>
      <c r="O4" s="2130"/>
      <c r="P4" s="3678"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679"/>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680"/>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74"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74" t="s">
        <v>533</v>
      </c>
      <c r="Q8" s="3566"/>
      <c r="R8" s="1564" t="s">
        <v>8</v>
      </c>
      <c r="S8" s="1565">
        <f t="shared" si="0"/>
        <v>0</v>
      </c>
      <c r="T8" s="1564" t="s">
        <v>8</v>
      </c>
      <c r="U8" s="1565">
        <f t="shared" si="1"/>
        <v>0</v>
      </c>
      <c r="V8" s="1564" t="s">
        <v>8</v>
      </c>
      <c r="W8" s="1565">
        <f t="shared" si="2"/>
        <v>0</v>
      </c>
      <c r="X8" s="1566"/>
      <c r="Y8" s="3565" t="s">
        <v>533</v>
      </c>
      <c r="Z8" s="3566"/>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75" t="s">
        <v>540</v>
      </c>
      <c r="Q15" s="1568" t="str">
        <f t="shared" si="6"/>
        <v>办公集聚程度</v>
      </c>
      <c r="R15" s="1569" t="s">
        <v>8</v>
      </c>
      <c r="S15" s="1570">
        <f t="shared" si="0"/>
        <v>100</v>
      </c>
      <c r="T15" s="1569" t="s">
        <v>8</v>
      </c>
      <c r="U15" s="1570">
        <f t="shared" si="1"/>
        <v>100</v>
      </c>
      <c r="V15" s="1569" t="s">
        <v>8</v>
      </c>
      <c r="W15" s="1570">
        <f t="shared" si="2"/>
        <v>100</v>
      </c>
      <c r="X15" s="1563"/>
      <c r="Y15" s="3575"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76"/>
      <c r="Q16" s="1568"/>
      <c r="R16" s="1569"/>
      <c r="S16" s="1570"/>
      <c r="T16" s="1569"/>
      <c r="U16" s="1570"/>
      <c r="V16" s="1569"/>
      <c r="W16" s="1570"/>
      <c r="X16" s="1563"/>
      <c r="Y16" s="3576"/>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76"/>
      <c r="Q18" s="1568"/>
      <c r="R18" s="1569"/>
      <c r="S18" s="1570"/>
      <c r="T18" s="1569"/>
      <c r="U18" s="1570"/>
      <c r="V18" s="1569"/>
      <c r="W18" s="1570"/>
      <c r="X18" s="1563"/>
      <c r="Y18" s="3576"/>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76"/>
      <c r="Q20" s="1568"/>
      <c r="R20" s="1569"/>
      <c r="S20" s="1570"/>
      <c r="T20" s="1569"/>
      <c r="U20" s="1570"/>
      <c r="V20" s="1569"/>
      <c r="W20" s="1570"/>
      <c r="X20" s="1563"/>
      <c r="Y20" s="3576"/>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76"/>
      <c r="Q22" s="2554"/>
      <c r="R22" s="1569"/>
      <c r="S22" s="1570"/>
      <c r="T22" s="1569"/>
      <c r="U22" s="1570"/>
      <c r="V22" s="1569"/>
      <c r="W22" s="1570"/>
      <c r="X22" s="2556"/>
      <c r="Y22" s="3576"/>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76"/>
      <c r="Q24" s="1568"/>
      <c r="R24" s="1569"/>
      <c r="S24" s="1570"/>
      <c r="T24" s="1569"/>
      <c r="U24" s="1570"/>
      <c r="V24" s="1569"/>
      <c r="W24" s="1570"/>
      <c r="X24" s="1563"/>
      <c r="Y24" s="3576"/>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76"/>
      <c r="Q25" s="1568" t="str">
        <f>B25</f>
        <v>毗邻道路的类型与等级</v>
      </c>
      <c r="R25" s="1569" t="s">
        <v>8</v>
      </c>
      <c r="S25" s="1570">
        <f>F25</f>
        <v>100</v>
      </c>
      <c r="T25" s="1569" t="s">
        <v>8</v>
      </c>
      <c r="U25" s="1570">
        <f>H25</f>
        <v>100</v>
      </c>
      <c r="V25" s="1569" t="s">
        <v>8</v>
      </c>
      <c r="W25" s="1570">
        <f>J25</f>
        <v>100</v>
      </c>
      <c r="X25" s="1563"/>
      <c r="Y25" s="3576"/>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76"/>
      <c r="Q26" s="1568"/>
      <c r="R26" s="1569"/>
      <c r="S26" s="1570"/>
      <c r="T26" s="1569"/>
      <c r="U26" s="1570"/>
      <c r="V26" s="1569"/>
      <c r="W26" s="1570"/>
      <c r="X26" s="1563"/>
      <c r="Y26" s="3576"/>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76"/>
      <c r="Q27" s="1568" t="str">
        <f t="shared" ref="Q27:Q47" si="11">B27</f>
        <v>楼层</v>
      </c>
      <c r="R27" s="1569" t="s">
        <v>8</v>
      </c>
      <c r="S27" s="1570">
        <f>F27</f>
        <v>100</v>
      </c>
      <c r="T27" s="1569" t="s">
        <v>8</v>
      </c>
      <c r="U27" s="1570">
        <f>H27</f>
        <v>100</v>
      </c>
      <c r="V27" s="1569" t="s">
        <v>8</v>
      </c>
      <c r="W27" s="1570">
        <f>J27</f>
        <v>100</v>
      </c>
      <c r="X27" s="1563"/>
      <c r="Y27" s="3576"/>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76"/>
      <c r="Q28" s="1147" t="str">
        <f t="shared" si="11"/>
        <v>朝向</v>
      </c>
      <c r="R28" s="1564" t="s">
        <v>8</v>
      </c>
      <c r="S28" s="1565">
        <f>F28</f>
        <v>100</v>
      </c>
      <c r="T28" s="1564" t="s">
        <v>8</v>
      </c>
      <c r="U28" s="1565">
        <f>H28</f>
        <v>100</v>
      </c>
      <c r="V28" s="1564" t="s">
        <v>8</v>
      </c>
      <c r="W28" s="1565">
        <f>J28</f>
        <v>100</v>
      </c>
      <c r="X28" s="1566"/>
      <c r="Y28" s="3576"/>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76"/>
      <c r="Q29" s="1568">
        <f t="shared" si="11"/>
        <v>111</v>
      </c>
      <c r="R29" s="1569" t="s">
        <v>8</v>
      </c>
      <c r="S29" s="1570">
        <f t="shared" ref="S29:S47" si="12">F29</f>
        <v>100</v>
      </c>
      <c r="T29" s="1569" t="s">
        <v>8</v>
      </c>
      <c r="U29" s="1570">
        <f t="shared" ref="U29:U47" si="13">H29</f>
        <v>100</v>
      </c>
      <c r="V29" s="1569" t="s">
        <v>8</v>
      </c>
      <c r="W29" s="1570">
        <f t="shared" ref="W29:W47" si="14">J29</f>
        <v>100</v>
      </c>
      <c r="X29" s="1563"/>
      <c r="Y29" s="3576"/>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76"/>
      <c r="Q32" s="1568">
        <f t="shared" si="11"/>
        <v>111</v>
      </c>
      <c r="R32" s="1569" t="s">
        <v>8</v>
      </c>
      <c r="S32" s="1570">
        <f t="shared" si="12"/>
        <v>100</v>
      </c>
      <c r="T32" s="1569" t="s">
        <v>8</v>
      </c>
      <c r="U32" s="1570">
        <f t="shared" si="13"/>
        <v>100</v>
      </c>
      <c r="V32" s="1569" t="s">
        <v>8</v>
      </c>
      <c r="W32" s="1570">
        <f t="shared" si="14"/>
        <v>100</v>
      </c>
      <c r="X32" s="1563"/>
      <c r="Y32" s="3576"/>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77" t="s">
        <v>550</v>
      </c>
      <c r="Q33" s="1568" t="str">
        <f t="shared" si="11"/>
        <v>建筑类型</v>
      </c>
      <c r="R33" s="1569" t="s">
        <v>8</v>
      </c>
      <c r="S33" s="1570">
        <f t="shared" si="12"/>
        <v>100</v>
      </c>
      <c r="T33" s="1569" t="s">
        <v>8</v>
      </c>
      <c r="U33" s="1570">
        <f t="shared" si="13"/>
        <v>100</v>
      </c>
      <c r="V33" s="1569" t="s">
        <v>8</v>
      </c>
      <c r="W33" s="1570">
        <f t="shared" si="14"/>
        <v>100</v>
      </c>
      <c r="X33" s="1563"/>
      <c r="Y33" s="3578"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78"/>
      <c r="Q34" s="1601" t="str">
        <f t="shared" si="11"/>
        <v>项目建筑规模</v>
      </c>
      <c r="R34" s="1573" t="s">
        <v>8</v>
      </c>
      <c r="S34" s="1574" t="e">
        <f t="shared" si="12"/>
        <v>#N/A</v>
      </c>
      <c r="T34" s="1573" t="s">
        <v>8</v>
      </c>
      <c r="U34" s="1574" t="e">
        <f t="shared" si="13"/>
        <v>#N/A</v>
      </c>
      <c r="V34" s="1573" t="s">
        <v>8</v>
      </c>
      <c r="W34" s="1574" t="e">
        <f t="shared" si="14"/>
        <v>#N/A</v>
      </c>
      <c r="X34" s="1575"/>
      <c r="Y34" s="3578"/>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78"/>
      <c r="Q35" s="1568" t="str">
        <f t="shared" si="11"/>
        <v>建筑结构</v>
      </c>
      <c r="R35" s="1569" t="s">
        <v>8</v>
      </c>
      <c r="S35" s="1570">
        <f t="shared" si="12"/>
        <v>100</v>
      </c>
      <c r="T35" s="1569" t="s">
        <v>8</v>
      </c>
      <c r="U35" s="1570">
        <f t="shared" si="13"/>
        <v>100</v>
      </c>
      <c r="V35" s="1569" t="s">
        <v>8</v>
      </c>
      <c r="W35" s="1570">
        <f t="shared" si="14"/>
        <v>100</v>
      </c>
      <c r="X35" s="1563"/>
      <c r="Y35" s="3578"/>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78"/>
      <c r="Q36" s="1568" t="str">
        <f t="shared" si="11"/>
        <v>公共部分装修</v>
      </c>
      <c r="R36" s="1569" t="s">
        <v>8</v>
      </c>
      <c r="S36" s="1570">
        <f t="shared" si="12"/>
        <v>100</v>
      </c>
      <c r="T36" s="1569" t="s">
        <v>8</v>
      </c>
      <c r="U36" s="1570">
        <f t="shared" si="13"/>
        <v>100</v>
      </c>
      <c r="V36" s="1569" t="s">
        <v>8</v>
      </c>
      <c r="W36" s="1570">
        <f t="shared" si="14"/>
        <v>100</v>
      </c>
      <c r="X36" s="1563"/>
      <c r="Y36" s="3578"/>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78"/>
      <c r="Q37" s="1568" t="str">
        <f t="shared" si="11"/>
        <v>成新度</v>
      </c>
      <c r="R37" s="1569" t="s">
        <v>8</v>
      </c>
      <c r="S37" s="1570" t="e">
        <f t="shared" si="12"/>
        <v>#N/A</v>
      </c>
      <c r="T37" s="1569" t="s">
        <v>8</v>
      </c>
      <c r="U37" s="1570" t="e">
        <f t="shared" si="13"/>
        <v>#N/A</v>
      </c>
      <c r="V37" s="1569" t="s">
        <v>8</v>
      </c>
      <c r="W37" s="1570" t="e">
        <f t="shared" si="14"/>
        <v>#N/A</v>
      </c>
      <c r="X37" s="1563"/>
      <c r="Y37" s="3578"/>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78"/>
      <c r="Q38" s="1147" t="str">
        <f t="shared" si="11"/>
        <v>写字楼等级</v>
      </c>
      <c r="R38" s="1564" t="s">
        <v>8</v>
      </c>
      <c r="S38" s="1565">
        <f t="shared" si="12"/>
        <v>100</v>
      </c>
      <c r="T38" s="1564" t="s">
        <v>8</v>
      </c>
      <c r="U38" s="1565">
        <f t="shared" si="13"/>
        <v>100</v>
      </c>
      <c r="V38" s="1564" t="s">
        <v>8</v>
      </c>
      <c r="W38" s="1565">
        <f t="shared" si="14"/>
        <v>100</v>
      </c>
      <c r="X38" s="1566"/>
      <c r="Y38" s="3578"/>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78" t="s">
        <v>550</v>
      </c>
      <c r="Q39" s="1568" t="str">
        <f t="shared" si="11"/>
        <v>物业管理</v>
      </c>
      <c r="R39" s="1569" t="s">
        <v>8</v>
      </c>
      <c r="S39" s="1570">
        <f t="shared" si="12"/>
        <v>100</v>
      </c>
      <c r="T39" s="1569" t="s">
        <v>8</v>
      </c>
      <c r="U39" s="1570">
        <f t="shared" si="13"/>
        <v>100</v>
      </c>
      <c r="V39" s="1569" t="s">
        <v>8</v>
      </c>
      <c r="W39" s="1570">
        <f t="shared" si="14"/>
        <v>100</v>
      </c>
      <c r="X39" s="1563"/>
      <c r="Y39" s="3578"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78"/>
      <c r="Q40" s="1568" t="str">
        <f t="shared" si="11"/>
        <v>市政基础设施</v>
      </c>
      <c r="R40" s="1569" t="s">
        <v>8</v>
      </c>
      <c r="S40" s="1570">
        <f t="shared" si="12"/>
        <v>100</v>
      </c>
      <c r="T40" s="1569" t="s">
        <v>8</v>
      </c>
      <c r="U40" s="1570">
        <f t="shared" si="13"/>
        <v>100</v>
      </c>
      <c r="V40" s="1569" t="s">
        <v>8</v>
      </c>
      <c r="W40" s="1570">
        <f t="shared" si="14"/>
        <v>100</v>
      </c>
      <c r="X40" s="1563"/>
      <c r="Y40" s="3578"/>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78"/>
      <c r="Q41" s="1568" t="str">
        <f t="shared" si="11"/>
        <v>层高</v>
      </c>
      <c r="R41" s="1569" t="s">
        <v>8</v>
      </c>
      <c r="S41" s="1570">
        <f t="shared" si="12"/>
        <v>100</v>
      </c>
      <c r="T41" s="1569" t="s">
        <v>8</v>
      </c>
      <c r="U41" s="1570">
        <f t="shared" si="13"/>
        <v>100</v>
      </c>
      <c r="V41" s="1569" t="s">
        <v>8</v>
      </c>
      <c r="W41" s="1570">
        <f t="shared" si="14"/>
        <v>100</v>
      </c>
      <c r="X41" s="1563"/>
      <c r="Y41" s="3578"/>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78"/>
      <c r="Q42" s="1601" t="str">
        <f t="shared" si="11"/>
        <v>单套建筑面积</v>
      </c>
      <c r="R42" s="1573" t="s">
        <v>8</v>
      </c>
      <c r="S42" s="1574">
        <f t="shared" si="12"/>
        <v>100</v>
      </c>
      <c r="T42" s="1573" t="s">
        <v>8</v>
      </c>
      <c r="U42" s="1574">
        <f t="shared" si="13"/>
        <v>100</v>
      </c>
      <c r="V42" s="1573" t="s">
        <v>8</v>
      </c>
      <c r="W42" s="1574">
        <f t="shared" si="14"/>
        <v>100</v>
      </c>
      <c r="X42" s="1575"/>
      <c r="Y42" s="3578"/>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78"/>
      <c r="Q43" s="1568" t="str">
        <f t="shared" si="11"/>
        <v>内部装修</v>
      </c>
      <c r="R43" s="1569" t="s">
        <v>8</v>
      </c>
      <c r="S43" s="1570">
        <f t="shared" si="12"/>
        <v>100</v>
      </c>
      <c r="T43" s="1569" t="s">
        <v>8</v>
      </c>
      <c r="U43" s="1570">
        <f t="shared" si="13"/>
        <v>100</v>
      </c>
      <c r="V43" s="1569" t="s">
        <v>8</v>
      </c>
      <c r="W43" s="1570">
        <f t="shared" si="14"/>
        <v>100</v>
      </c>
      <c r="X43" s="1563"/>
      <c r="Y43" s="3578"/>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78"/>
      <c r="Q44" s="1568" t="str">
        <f t="shared" si="11"/>
        <v>内部装修维护情况</v>
      </c>
      <c r="R44" s="1569" t="s">
        <v>8</v>
      </c>
      <c r="S44" s="1570">
        <f t="shared" si="12"/>
        <v>100</v>
      </c>
      <c r="T44" s="1569" t="s">
        <v>8</v>
      </c>
      <c r="U44" s="1570">
        <f t="shared" si="13"/>
        <v>100</v>
      </c>
      <c r="V44" s="1569" t="s">
        <v>8</v>
      </c>
      <c r="W44" s="1570">
        <f t="shared" si="14"/>
        <v>100</v>
      </c>
      <c r="X44" s="1563"/>
      <c r="Y44" s="3578"/>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78"/>
      <c r="Q45" s="1147">
        <f t="shared" si="11"/>
        <v>111</v>
      </c>
      <c r="R45" s="1564" t="s">
        <v>8</v>
      </c>
      <c r="S45" s="1565">
        <f t="shared" si="12"/>
        <v>100</v>
      </c>
      <c r="T45" s="1564" t="s">
        <v>8</v>
      </c>
      <c r="U45" s="1565">
        <f t="shared" si="13"/>
        <v>100</v>
      </c>
      <c r="V45" s="1564" t="s">
        <v>8</v>
      </c>
      <c r="W45" s="1565">
        <f t="shared" si="14"/>
        <v>100</v>
      </c>
      <c r="X45" s="1566"/>
      <c r="Y45" s="3578"/>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78"/>
      <c r="Q46" s="1568">
        <f t="shared" si="11"/>
        <v>111</v>
      </c>
      <c r="R46" s="1569" t="s">
        <v>8</v>
      </c>
      <c r="S46" s="1570">
        <f t="shared" si="12"/>
        <v>100</v>
      </c>
      <c r="T46" s="1569" t="s">
        <v>8</v>
      </c>
      <c r="U46" s="1570">
        <f t="shared" si="13"/>
        <v>100</v>
      </c>
      <c r="V46" s="1569" t="s">
        <v>8</v>
      </c>
      <c r="W46" s="1570">
        <f t="shared" si="14"/>
        <v>100</v>
      </c>
      <c r="X46" s="1563"/>
      <c r="Y46" s="3578"/>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5"/>
      <c r="Q47" s="1568">
        <f t="shared" si="11"/>
        <v>111</v>
      </c>
      <c r="R47" s="1569" t="s">
        <v>8</v>
      </c>
      <c r="S47" s="1570">
        <f t="shared" si="12"/>
        <v>100</v>
      </c>
      <c r="T47" s="1569" t="s">
        <v>8</v>
      </c>
      <c r="U47" s="1570">
        <f t="shared" si="13"/>
        <v>100</v>
      </c>
      <c r="V47" s="1569" t="s">
        <v>8</v>
      </c>
      <c r="W47" s="1570">
        <f t="shared" si="14"/>
        <v>100</v>
      </c>
      <c r="X47" s="1563"/>
      <c r="Y47" s="3675"/>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95" t="str">
        <f>A48</f>
        <v>成交单价（元/平方米）</v>
      </c>
      <c r="Q48" s="3573"/>
      <c r="R48" s="3674">
        <f>E48</f>
        <v>0</v>
      </c>
      <c r="S48" s="3674"/>
      <c r="T48" s="3674">
        <f>G48</f>
        <v>0</v>
      </c>
      <c r="U48" s="3674"/>
      <c r="V48" s="3674">
        <f>I48</f>
        <v>0</v>
      </c>
      <c r="W48" s="3674"/>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95" t="str">
        <f>A49</f>
        <v>比较价格（元/平方米）</v>
      </c>
      <c r="Q49" s="35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55"/>
      <c r="Y49" s="1555"/>
      <c r="Z49" s="1555"/>
      <c r="AA49" s="1555"/>
      <c r="AB49" s="1555"/>
      <c r="AC49" s="1555"/>
    </row>
    <row r="50" spans="1:29" ht="15.75" thickBot="1">
      <c r="A50" s="621" t="s">
        <v>2937</v>
      </c>
      <c r="B50" s="622"/>
      <c r="C50" s="2611" t="e">
        <f>R50</f>
        <v>#DIV/0!</v>
      </c>
      <c r="D50" s="2611"/>
      <c r="E50" s="2611"/>
      <c r="F50" s="2611"/>
      <c r="G50" s="2611"/>
      <c r="H50" s="2611"/>
      <c r="I50" s="2611"/>
      <c r="J50" s="2611"/>
      <c r="K50" s="1609"/>
      <c r="L50" s="2140"/>
      <c r="M50" s="2130"/>
      <c r="N50" s="2130"/>
      <c r="O50" s="2130"/>
      <c r="P50" s="3681" t="str">
        <f>A50</f>
        <v>估价对象XX用房的比较价格（楼面单价，元/平方米）</v>
      </c>
      <c r="Q50" s="3595"/>
      <c r="R50" s="3673" t="e">
        <f>IF(F1="售价",ROUND(AVERAGE(R49:V49),0),ROUND(AVERAGE(R49:V49),1))</f>
        <v>#DIV/0!</v>
      </c>
      <c r="S50" s="3673"/>
      <c r="T50" s="3673"/>
      <c r="U50" s="3673"/>
      <c r="V50" s="3673"/>
      <c r="W50" s="367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2019-5</v>
      </c>
      <c r="D59" s="2778">
        <f>EDATE(C59,-1)</f>
        <v>43556</v>
      </c>
      <c r="E59" s="2778">
        <f t="shared" ref="E59:O59" si="16">EDATE(D59,-1)</f>
        <v>43525</v>
      </c>
      <c r="F59" s="2778">
        <f t="shared" si="16"/>
        <v>43497</v>
      </c>
      <c r="G59" s="2778">
        <f t="shared" si="16"/>
        <v>43466</v>
      </c>
      <c r="H59" s="2778">
        <f t="shared" si="16"/>
        <v>43435</v>
      </c>
      <c r="I59" s="2778">
        <f t="shared" si="16"/>
        <v>43405</v>
      </c>
      <c r="J59" s="2778">
        <f t="shared" si="16"/>
        <v>43374</v>
      </c>
      <c r="K59" s="2778">
        <f t="shared" si="16"/>
        <v>43344</v>
      </c>
      <c r="L59" s="2778">
        <f t="shared" si="16"/>
        <v>43313</v>
      </c>
      <c r="M59" s="2778">
        <f t="shared" si="16"/>
        <v>43282</v>
      </c>
      <c r="N59" s="2778">
        <f t="shared" si="16"/>
        <v>43252</v>
      </c>
      <c r="O59" s="2778">
        <f t="shared" si="16"/>
        <v>43221</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3"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65"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75" t="s">
        <v>540</v>
      </c>
      <c r="Q15" s="1568" t="str">
        <f t="shared" si="6"/>
        <v>产业集聚程度</v>
      </c>
      <c r="R15" s="1569" t="s">
        <v>8</v>
      </c>
      <c r="S15" s="1570">
        <f t="shared" si="0"/>
        <v>100</v>
      </c>
      <c r="T15" s="1569" t="s">
        <v>8</v>
      </c>
      <c r="U15" s="1570">
        <f t="shared" si="1"/>
        <v>100</v>
      </c>
      <c r="V15" s="1569" t="s">
        <v>8</v>
      </c>
      <c r="W15" s="1570">
        <f t="shared" si="2"/>
        <v>100</v>
      </c>
      <c r="X15" s="1563"/>
      <c r="Y15" s="3575"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76"/>
      <c r="Q25" s="1568">
        <f>B25</f>
        <v>111</v>
      </c>
      <c r="R25" s="1569" t="s">
        <v>8</v>
      </c>
      <c r="S25" s="1570">
        <f>F25</f>
        <v>100</v>
      </c>
      <c r="T25" s="1569" t="s">
        <v>8</v>
      </c>
      <c r="U25" s="1570">
        <f>H25</f>
        <v>100</v>
      </c>
      <c r="V25" s="1569" t="s">
        <v>8</v>
      </c>
      <c r="W25" s="1570">
        <f>J25</f>
        <v>100</v>
      </c>
      <c r="X25" s="1563"/>
      <c r="Y25" s="3576"/>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76"/>
      <c r="Q26" s="1568">
        <f t="shared" ref="Q26:Q40" si="11">B26</f>
        <v>111</v>
      </c>
      <c r="R26" s="1569" t="s">
        <v>8</v>
      </c>
      <c r="S26" s="1570">
        <f>F26</f>
        <v>100</v>
      </c>
      <c r="T26" s="1569" t="s">
        <v>8</v>
      </c>
      <c r="U26" s="1570">
        <f>H26</f>
        <v>100</v>
      </c>
      <c r="V26" s="1569" t="s">
        <v>8</v>
      </c>
      <c r="W26" s="1570">
        <f>J26</f>
        <v>100</v>
      </c>
      <c r="X26" s="1563"/>
      <c r="Y26" s="3576"/>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76"/>
      <c r="Q27" s="1147">
        <f t="shared" si="11"/>
        <v>111</v>
      </c>
      <c r="R27" s="1564" t="s">
        <v>8</v>
      </c>
      <c r="S27" s="1565">
        <f>F27</f>
        <v>100</v>
      </c>
      <c r="T27" s="1564" t="s">
        <v>8</v>
      </c>
      <c r="U27" s="1565">
        <f>H27</f>
        <v>100</v>
      </c>
      <c r="V27" s="1564" t="s">
        <v>8</v>
      </c>
      <c r="W27" s="1565">
        <f>J27</f>
        <v>100</v>
      </c>
      <c r="X27" s="1566"/>
      <c r="Y27" s="3576"/>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76"/>
      <c r="Q28" s="1568">
        <f t="shared" si="11"/>
        <v>111</v>
      </c>
      <c r="R28" s="1569" t="s">
        <v>8</v>
      </c>
      <c r="S28" s="1570">
        <f t="shared" ref="S28:S40" si="12">F28</f>
        <v>100</v>
      </c>
      <c r="T28" s="1569" t="s">
        <v>8</v>
      </c>
      <c r="U28" s="1570">
        <f t="shared" ref="U28:U40" si="13">H28</f>
        <v>100</v>
      </c>
      <c r="V28" s="1569" t="s">
        <v>8</v>
      </c>
      <c r="W28" s="1570">
        <f t="shared" ref="W28:W40" si="14">J28</f>
        <v>100</v>
      </c>
      <c r="X28" s="1563"/>
      <c r="Y28" s="3576"/>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77" t="s">
        <v>550</v>
      </c>
      <c r="Q29" s="1568" t="str">
        <f t="shared" si="11"/>
        <v>建筑类型</v>
      </c>
      <c r="R29" s="1569" t="s">
        <v>8</v>
      </c>
      <c r="S29" s="1570">
        <f t="shared" si="12"/>
        <v>100</v>
      </c>
      <c r="T29" s="1569" t="s">
        <v>8</v>
      </c>
      <c r="U29" s="1570">
        <f t="shared" si="13"/>
        <v>100</v>
      </c>
      <c r="V29" s="1569" t="s">
        <v>8</v>
      </c>
      <c r="W29" s="1570">
        <f t="shared" si="14"/>
        <v>100</v>
      </c>
      <c r="X29" s="1563"/>
      <c r="Y29" s="3578"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78"/>
      <c r="Q30" s="1601" t="str">
        <f t="shared" si="11"/>
        <v>项目建筑规模</v>
      </c>
      <c r="R30" s="1573" t="s">
        <v>8</v>
      </c>
      <c r="S30" s="1574" t="e">
        <f t="shared" si="12"/>
        <v>#N/A</v>
      </c>
      <c r="T30" s="1573" t="s">
        <v>8</v>
      </c>
      <c r="U30" s="1574" t="e">
        <f t="shared" si="13"/>
        <v>#N/A</v>
      </c>
      <c r="V30" s="1573" t="s">
        <v>8</v>
      </c>
      <c r="W30" s="1574" t="e">
        <f t="shared" si="14"/>
        <v>#N/A</v>
      </c>
      <c r="X30" s="1575"/>
      <c r="Y30" s="3578"/>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78"/>
      <c r="Q31" s="1568" t="str">
        <f t="shared" si="11"/>
        <v>建筑结构</v>
      </c>
      <c r="R31" s="1569" t="s">
        <v>8</v>
      </c>
      <c r="S31" s="1570">
        <f t="shared" si="12"/>
        <v>100</v>
      </c>
      <c r="T31" s="1569" t="s">
        <v>8</v>
      </c>
      <c r="U31" s="1570">
        <f t="shared" si="13"/>
        <v>100</v>
      </c>
      <c r="V31" s="1569" t="s">
        <v>8</v>
      </c>
      <c r="W31" s="1570">
        <f t="shared" si="14"/>
        <v>100</v>
      </c>
      <c r="X31" s="1563"/>
      <c r="Y31" s="3578"/>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78"/>
      <c r="Q32" s="1568" t="str">
        <f t="shared" si="11"/>
        <v>公共部分装修</v>
      </c>
      <c r="R32" s="1569" t="s">
        <v>8</v>
      </c>
      <c r="S32" s="1570">
        <f t="shared" si="12"/>
        <v>100</v>
      </c>
      <c r="T32" s="1569" t="s">
        <v>8</v>
      </c>
      <c r="U32" s="1570">
        <f t="shared" si="13"/>
        <v>100</v>
      </c>
      <c r="V32" s="1569" t="s">
        <v>8</v>
      </c>
      <c r="W32" s="1570">
        <f t="shared" si="14"/>
        <v>100</v>
      </c>
      <c r="X32" s="1563"/>
      <c r="Y32" s="3578"/>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78"/>
      <c r="Q33" s="1568" t="str">
        <f t="shared" si="11"/>
        <v>成新度</v>
      </c>
      <c r="R33" s="1569" t="s">
        <v>8</v>
      </c>
      <c r="S33" s="1570" t="e">
        <f t="shared" si="12"/>
        <v>#N/A</v>
      </c>
      <c r="T33" s="1569" t="s">
        <v>8</v>
      </c>
      <c r="U33" s="1570" t="e">
        <f t="shared" si="13"/>
        <v>#N/A</v>
      </c>
      <c r="V33" s="1569" t="s">
        <v>8</v>
      </c>
      <c r="W33" s="1570" t="e">
        <f t="shared" si="14"/>
        <v>#N/A</v>
      </c>
      <c r="X33" s="1563"/>
      <c r="Y33" s="3578"/>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78"/>
      <c r="Q34" s="1147" t="str">
        <f t="shared" si="11"/>
        <v>物业管理</v>
      </c>
      <c r="R34" s="1564" t="s">
        <v>8</v>
      </c>
      <c r="S34" s="1565">
        <f t="shared" si="12"/>
        <v>100</v>
      </c>
      <c r="T34" s="1564" t="s">
        <v>8</v>
      </c>
      <c r="U34" s="1565">
        <f t="shared" si="13"/>
        <v>100</v>
      </c>
      <c r="V34" s="1564" t="s">
        <v>8</v>
      </c>
      <c r="W34" s="1565">
        <f t="shared" si="14"/>
        <v>100</v>
      </c>
      <c r="X34" s="1566"/>
      <c r="Y34" s="3578"/>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78" t="s">
        <v>550</v>
      </c>
      <c r="Q35" s="1568" t="str">
        <f t="shared" si="11"/>
        <v>市政基础设施</v>
      </c>
      <c r="R35" s="1569" t="s">
        <v>8</v>
      </c>
      <c r="S35" s="1570">
        <f t="shared" si="12"/>
        <v>100</v>
      </c>
      <c r="T35" s="1569" t="s">
        <v>8</v>
      </c>
      <c r="U35" s="1570">
        <f t="shared" si="13"/>
        <v>100</v>
      </c>
      <c r="V35" s="1569" t="s">
        <v>8</v>
      </c>
      <c r="W35" s="1570">
        <f t="shared" si="14"/>
        <v>100</v>
      </c>
      <c r="X35" s="1563"/>
      <c r="Y35" s="3578"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78"/>
      <c r="Q36" s="1568" t="str">
        <f t="shared" si="11"/>
        <v>内部装修</v>
      </c>
      <c r="R36" s="1569" t="s">
        <v>8</v>
      </c>
      <c r="S36" s="1570">
        <f t="shared" si="12"/>
        <v>100</v>
      </c>
      <c r="T36" s="1569" t="s">
        <v>8</v>
      </c>
      <c r="U36" s="1570">
        <f t="shared" si="13"/>
        <v>100</v>
      </c>
      <c r="V36" s="1569" t="s">
        <v>8</v>
      </c>
      <c r="W36" s="1570">
        <f t="shared" si="14"/>
        <v>100</v>
      </c>
      <c r="X36" s="1563"/>
      <c r="Y36" s="3578"/>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78"/>
      <c r="Q37" s="1568" t="str">
        <f t="shared" si="11"/>
        <v>内部装修状况</v>
      </c>
      <c r="R37" s="1569" t="s">
        <v>8</v>
      </c>
      <c r="S37" s="1570">
        <f t="shared" si="12"/>
        <v>100</v>
      </c>
      <c r="T37" s="1569" t="s">
        <v>8</v>
      </c>
      <c r="U37" s="1570">
        <f t="shared" si="13"/>
        <v>100</v>
      </c>
      <c r="V37" s="1569" t="s">
        <v>8</v>
      </c>
      <c r="W37" s="1570">
        <f t="shared" si="14"/>
        <v>100</v>
      </c>
      <c r="X37" s="1563"/>
      <c r="Y37" s="3578"/>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78"/>
      <c r="Q38" s="1601">
        <f t="shared" si="11"/>
        <v>111</v>
      </c>
      <c r="R38" s="1573" t="s">
        <v>8</v>
      </c>
      <c r="S38" s="1574">
        <f t="shared" si="12"/>
        <v>100</v>
      </c>
      <c r="T38" s="1573" t="s">
        <v>8</v>
      </c>
      <c r="U38" s="1574">
        <f t="shared" si="13"/>
        <v>100</v>
      </c>
      <c r="V38" s="1573" t="s">
        <v>8</v>
      </c>
      <c r="W38" s="1574">
        <f t="shared" si="14"/>
        <v>100</v>
      </c>
      <c r="X38" s="1575"/>
      <c r="Y38" s="3578"/>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78"/>
      <c r="Q39" s="1568">
        <f t="shared" si="11"/>
        <v>111</v>
      </c>
      <c r="R39" s="1569" t="s">
        <v>8</v>
      </c>
      <c r="S39" s="1570">
        <f t="shared" si="12"/>
        <v>100</v>
      </c>
      <c r="T39" s="1569" t="s">
        <v>8</v>
      </c>
      <c r="U39" s="1570">
        <f t="shared" si="13"/>
        <v>100</v>
      </c>
      <c r="V39" s="1569" t="s">
        <v>8</v>
      </c>
      <c r="W39" s="1570">
        <f t="shared" si="14"/>
        <v>100</v>
      </c>
      <c r="X39" s="1563"/>
      <c r="Y39" s="3578"/>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5"/>
      <c r="Q40" s="1568">
        <f t="shared" si="11"/>
        <v>111</v>
      </c>
      <c r="R40" s="1569" t="s">
        <v>8</v>
      </c>
      <c r="S40" s="1570">
        <f t="shared" si="12"/>
        <v>100</v>
      </c>
      <c r="T40" s="1569" t="s">
        <v>8</v>
      </c>
      <c r="U40" s="1570">
        <f t="shared" si="13"/>
        <v>100</v>
      </c>
      <c r="V40" s="1569" t="s">
        <v>8</v>
      </c>
      <c r="W40" s="1570">
        <f t="shared" si="14"/>
        <v>100</v>
      </c>
      <c r="X40" s="1563"/>
      <c r="Y40" s="3675"/>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73" t="str">
        <f>A41</f>
        <v>成交单价（元/平方米）</v>
      </c>
      <c r="Q41" s="3573"/>
      <c r="R41" s="3674">
        <f>E41</f>
        <v>0</v>
      </c>
      <c r="S41" s="3674"/>
      <c r="T41" s="3674">
        <f>G41</f>
        <v>0</v>
      </c>
      <c r="U41" s="3674"/>
      <c r="V41" s="3674">
        <f>I41</f>
        <v>0</v>
      </c>
      <c r="W41" s="3674"/>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73" t="str">
        <f>A42</f>
        <v>比较价格（元/平方米）</v>
      </c>
      <c r="Q42" s="35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55"/>
      <c r="Y42" s="1555"/>
      <c r="Z42" s="1555"/>
      <c r="AA42" s="1555"/>
      <c r="AB42" s="1555"/>
      <c r="AC42" s="1555"/>
    </row>
    <row r="43" spans="1:29" ht="15.75" thickBot="1">
      <c r="A43" s="621" t="s">
        <v>2937</v>
      </c>
      <c r="B43" s="622"/>
      <c r="C43" s="2611" t="e">
        <f>R43</f>
        <v>#DIV/0!</v>
      </c>
      <c r="D43" s="2611"/>
      <c r="E43" s="2611"/>
      <c r="F43" s="2611"/>
      <c r="G43" s="2611"/>
      <c r="H43" s="2611"/>
      <c r="I43" s="2611"/>
      <c r="J43" s="2611"/>
      <c r="K43" s="1609"/>
      <c r="L43" s="2140"/>
      <c r="M43" s="2141"/>
      <c r="N43" s="2141"/>
      <c r="O43" s="2141"/>
      <c r="P43" s="3594" t="str">
        <f>A43</f>
        <v>估价对象XX用房的比较价格（楼面单价，元/平方米）</v>
      </c>
      <c r="Q43" s="3595"/>
      <c r="R43" s="3673" t="e">
        <f>IF(F1="售价",ROUND(AVERAGE(R42:V42),0),ROUND(AVERAGE(R42:V42),1))</f>
        <v>#DIV/0!</v>
      </c>
      <c r="S43" s="3673"/>
      <c r="T43" s="3673"/>
      <c r="U43" s="3673"/>
      <c r="V43" s="3673"/>
      <c r="W43" s="367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2019-5</v>
      </c>
      <c r="D52" s="2778">
        <f>EDATE(C52,-1)</f>
        <v>43556</v>
      </c>
      <c r="E52" s="2778">
        <f t="shared" ref="E52:O52" si="16">EDATE(D52,-1)</f>
        <v>43525</v>
      </c>
      <c r="F52" s="2778">
        <f t="shared" si="16"/>
        <v>43497</v>
      </c>
      <c r="G52" s="2778">
        <f t="shared" si="16"/>
        <v>43466</v>
      </c>
      <c r="H52" s="2778">
        <f t="shared" si="16"/>
        <v>43435</v>
      </c>
      <c r="I52" s="2778">
        <f t="shared" si="16"/>
        <v>43405</v>
      </c>
      <c r="J52" s="2778">
        <f t="shared" si="16"/>
        <v>43374</v>
      </c>
      <c r="K52" s="2778">
        <f t="shared" si="16"/>
        <v>43344</v>
      </c>
      <c r="L52" s="2778">
        <f t="shared" si="16"/>
        <v>43313</v>
      </c>
      <c r="M52" s="2778">
        <f t="shared" si="16"/>
        <v>43282</v>
      </c>
      <c r="N52" s="2778">
        <f t="shared" si="16"/>
        <v>43252</v>
      </c>
      <c r="O52" s="2778">
        <f t="shared" si="16"/>
        <v>43221</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579" t="s">
        <v>799</v>
      </c>
      <c r="F4" s="3580"/>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590" t="s">
        <v>2932</v>
      </c>
      <c r="F5" s="3591"/>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592" t="s">
        <v>2935</v>
      </c>
      <c r="F6" s="3593"/>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76"/>
      <c r="Q24" s="1568">
        <f t="shared" ref="Q24:Q36"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77"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78"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78"/>
      <c r="Q27" s="1601" t="str">
        <f t="shared" si="11"/>
        <v>项目停车位配比</v>
      </c>
      <c r="R27" s="1573" t="s">
        <v>8</v>
      </c>
      <c r="S27" s="1574">
        <f t="shared" si="12"/>
        <v>100</v>
      </c>
      <c r="T27" s="1573" t="s">
        <v>8</v>
      </c>
      <c r="U27" s="1574">
        <f t="shared" si="13"/>
        <v>100</v>
      </c>
      <c r="V27" s="1573" t="s">
        <v>8</v>
      </c>
      <c r="W27" s="1574">
        <f t="shared" si="14"/>
        <v>100</v>
      </c>
      <c r="X27" s="1575"/>
      <c r="Y27" s="3578"/>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78"/>
      <c r="Q28" s="1568" t="str">
        <f t="shared" si="11"/>
        <v>公共部分装修</v>
      </c>
      <c r="R28" s="1569" t="s">
        <v>8</v>
      </c>
      <c r="S28" s="1570">
        <f t="shared" si="12"/>
        <v>100</v>
      </c>
      <c r="T28" s="1569" t="s">
        <v>8</v>
      </c>
      <c r="U28" s="1570">
        <f t="shared" si="13"/>
        <v>100</v>
      </c>
      <c r="V28" s="1569" t="s">
        <v>8</v>
      </c>
      <c r="W28" s="1570">
        <f t="shared" si="14"/>
        <v>100</v>
      </c>
      <c r="X28" s="1563"/>
      <c r="Y28" s="3578"/>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78"/>
      <c r="Q29" s="1568" t="str">
        <f t="shared" si="11"/>
        <v>成新率</v>
      </c>
      <c r="R29" s="1569" t="s">
        <v>8</v>
      </c>
      <c r="S29" s="1570" t="e">
        <f t="shared" si="12"/>
        <v>#N/A</v>
      </c>
      <c r="T29" s="1569" t="s">
        <v>8</v>
      </c>
      <c r="U29" s="1570" t="e">
        <f t="shared" si="13"/>
        <v>#N/A</v>
      </c>
      <c r="V29" s="1569" t="s">
        <v>8</v>
      </c>
      <c r="W29" s="1570" t="e">
        <f t="shared" si="14"/>
        <v>#N/A</v>
      </c>
      <c r="X29" s="1563"/>
      <c r="Y29" s="3578"/>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78"/>
      <c r="Q30" s="1568" t="str">
        <f t="shared" si="11"/>
        <v>物业等级</v>
      </c>
      <c r="R30" s="1569" t="s">
        <v>8</v>
      </c>
      <c r="S30" s="1570">
        <f t="shared" si="12"/>
        <v>100</v>
      </c>
      <c r="T30" s="1569" t="s">
        <v>8</v>
      </c>
      <c r="U30" s="1570">
        <f t="shared" si="13"/>
        <v>100</v>
      </c>
      <c r="V30" s="1569" t="s">
        <v>8</v>
      </c>
      <c r="W30" s="1570">
        <f t="shared" si="14"/>
        <v>100</v>
      </c>
      <c r="X30" s="1563"/>
      <c r="Y30" s="3578"/>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78"/>
      <c r="Q31" s="1147" t="str">
        <f t="shared" si="11"/>
        <v>停车位面积</v>
      </c>
      <c r="R31" s="1564" t="s">
        <v>8</v>
      </c>
      <c r="S31" s="1565" t="e">
        <f t="shared" si="12"/>
        <v>#N/A</v>
      </c>
      <c r="T31" s="1564" t="s">
        <v>8</v>
      </c>
      <c r="U31" s="1565" t="e">
        <f t="shared" si="13"/>
        <v>#N/A</v>
      </c>
      <c r="V31" s="1564" t="s">
        <v>8</v>
      </c>
      <c r="W31" s="1565" t="e">
        <f t="shared" si="14"/>
        <v>#N/A</v>
      </c>
      <c r="X31" s="1566"/>
      <c r="Y31" s="3578"/>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78" t="s">
        <v>550</v>
      </c>
      <c r="Q32" s="1568" t="str">
        <f t="shared" si="11"/>
        <v>车位类型</v>
      </c>
      <c r="R32" s="1569" t="s">
        <v>8</v>
      </c>
      <c r="S32" s="1570">
        <f t="shared" si="12"/>
        <v>100</v>
      </c>
      <c r="T32" s="1569" t="s">
        <v>8</v>
      </c>
      <c r="U32" s="1570">
        <f t="shared" si="13"/>
        <v>100</v>
      </c>
      <c r="V32" s="1569" t="s">
        <v>8</v>
      </c>
      <c r="W32" s="1570">
        <f t="shared" si="14"/>
        <v>100</v>
      </c>
      <c r="X32" s="1563"/>
      <c r="Y32" s="3578"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78"/>
      <c r="Q33" s="1568" t="str">
        <f t="shared" si="11"/>
        <v>是否直接入户</v>
      </c>
      <c r="R33" s="1569" t="s">
        <v>8</v>
      </c>
      <c r="S33" s="1570">
        <f t="shared" si="12"/>
        <v>100</v>
      </c>
      <c r="T33" s="1569" t="s">
        <v>8</v>
      </c>
      <c r="U33" s="1570">
        <f t="shared" si="13"/>
        <v>100</v>
      </c>
      <c r="V33" s="1569" t="s">
        <v>8</v>
      </c>
      <c r="W33" s="1570">
        <f t="shared" si="14"/>
        <v>100</v>
      </c>
      <c r="X33" s="1563"/>
      <c r="Y33" s="3578"/>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78"/>
      <c r="Q35" s="1601">
        <f t="shared" si="11"/>
        <v>111</v>
      </c>
      <c r="R35" s="1573" t="s">
        <v>8</v>
      </c>
      <c r="S35" s="1574">
        <f t="shared" si="12"/>
        <v>100</v>
      </c>
      <c r="T35" s="1573" t="s">
        <v>8</v>
      </c>
      <c r="U35" s="1574">
        <f t="shared" si="13"/>
        <v>100</v>
      </c>
      <c r="V35" s="1573" t="s">
        <v>8</v>
      </c>
      <c r="W35" s="1574">
        <f t="shared" si="14"/>
        <v>100</v>
      </c>
      <c r="X35" s="1575"/>
      <c r="Y35" s="3578"/>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78"/>
      <c r="Q36" s="1568">
        <f t="shared" si="11"/>
        <v>111</v>
      </c>
      <c r="R36" s="1569" t="s">
        <v>8</v>
      </c>
      <c r="S36" s="1570">
        <f t="shared" si="12"/>
        <v>100</v>
      </c>
      <c r="T36" s="1569" t="s">
        <v>8</v>
      </c>
      <c r="U36" s="1570">
        <f t="shared" si="13"/>
        <v>100</v>
      </c>
      <c r="V36" s="1569" t="s">
        <v>8</v>
      </c>
      <c r="W36" s="1570">
        <f t="shared" si="14"/>
        <v>100</v>
      </c>
      <c r="X36" s="1563"/>
      <c r="Y36" s="3578"/>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73" t="str">
        <f>A37</f>
        <v>成交单价</v>
      </c>
      <c r="Q37" s="3573"/>
      <c r="R37" s="3674">
        <f>E37</f>
        <v>0</v>
      </c>
      <c r="S37" s="3674"/>
      <c r="T37" s="3674">
        <f>G37</f>
        <v>0</v>
      </c>
      <c r="U37" s="3674"/>
      <c r="V37" s="3674">
        <f>I37</f>
        <v>0</v>
      </c>
      <c r="W37" s="3674"/>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73" t="str">
        <f>A38</f>
        <v>比较价格（元/平方米）</v>
      </c>
      <c r="Q38" s="35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55"/>
      <c r="Y38" s="1555"/>
      <c r="Z38" s="1555"/>
      <c r="AA38" s="1555"/>
      <c r="AB38" s="1555"/>
      <c r="AC38" s="1555"/>
    </row>
    <row r="39" spans="1:29" ht="15.75" thickBot="1">
      <c r="A39" s="621" t="s">
        <v>2937</v>
      </c>
      <c r="B39" s="622"/>
      <c r="C39" s="2611" t="e">
        <f>R39</f>
        <v>#DIV/0!</v>
      </c>
      <c r="D39" s="2611"/>
      <c r="E39" s="2611"/>
      <c r="F39" s="2611"/>
      <c r="G39" s="2611"/>
      <c r="H39" s="2611"/>
      <c r="I39" s="2611"/>
      <c r="J39" s="2611"/>
      <c r="K39" s="1609"/>
      <c r="L39" s="2140"/>
      <c r="M39" s="2141"/>
      <c r="N39" s="2141"/>
      <c r="O39" s="2141"/>
      <c r="P39" s="3594" t="str">
        <f>A39</f>
        <v>估价对象XX用房的比较价格（楼面单价，元/平方米）</v>
      </c>
      <c r="Q39" s="3595"/>
      <c r="R39" s="3673" t="e">
        <f>IF(F1="售价",ROUND(AVERAGE(R38:V38),0),ROUND(AVERAGE(R38:V38),1))</f>
        <v>#DIV/0!</v>
      </c>
      <c r="S39" s="3673"/>
      <c r="T39" s="3673"/>
      <c r="U39" s="3673"/>
      <c r="V39" s="3673"/>
      <c r="W39" s="367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2019-5</v>
      </c>
      <c r="D48" s="2778">
        <f>EDATE(C48,-1)</f>
        <v>43556</v>
      </c>
      <c r="E48" s="2778">
        <f t="shared" ref="E48:O48" si="16">EDATE(D48,-1)</f>
        <v>43525</v>
      </c>
      <c r="F48" s="2778">
        <f t="shared" si="16"/>
        <v>43497</v>
      </c>
      <c r="G48" s="2778">
        <f t="shared" si="16"/>
        <v>43466</v>
      </c>
      <c r="H48" s="2778">
        <f t="shared" si="16"/>
        <v>43435</v>
      </c>
      <c r="I48" s="2778">
        <f t="shared" si="16"/>
        <v>43405</v>
      </c>
      <c r="J48" s="2778">
        <f t="shared" si="16"/>
        <v>43374</v>
      </c>
      <c r="K48" s="2778">
        <f t="shared" si="16"/>
        <v>43344</v>
      </c>
      <c r="L48" s="2778">
        <f t="shared" si="16"/>
        <v>43313</v>
      </c>
      <c r="M48" s="2778">
        <f t="shared" si="16"/>
        <v>43282</v>
      </c>
      <c r="N48" s="2778">
        <f t="shared" si="16"/>
        <v>43252</v>
      </c>
      <c r="O48" s="2778">
        <f t="shared" si="16"/>
        <v>43221</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603" t="s">
        <v>799</v>
      </c>
      <c r="F4" s="3604"/>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76"/>
      <c r="Q24" s="1568">
        <f t="shared" ref="Q24:Q34"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77"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78"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78"/>
      <c r="Q27" s="1601" t="str">
        <f t="shared" si="11"/>
        <v>成新率</v>
      </c>
      <c r="R27" s="1573" t="s">
        <v>8</v>
      </c>
      <c r="S27" s="1574" t="e">
        <f t="shared" si="12"/>
        <v>#N/A</v>
      </c>
      <c r="T27" s="1573" t="s">
        <v>8</v>
      </c>
      <c r="U27" s="1574" t="e">
        <f t="shared" si="13"/>
        <v>#N/A</v>
      </c>
      <c r="V27" s="1573" t="s">
        <v>8</v>
      </c>
      <c r="W27" s="1574" t="e">
        <f t="shared" si="14"/>
        <v>#N/A</v>
      </c>
      <c r="X27" s="1575"/>
      <c r="Y27" s="3578"/>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78"/>
      <c r="Q28" s="1568" t="str">
        <f t="shared" si="11"/>
        <v>物业等级</v>
      </c>
      <c r="R28" s="1569" t="s">
        <v>8</v>
      </c>
      <c r="S28" s="1570">
        <f t="shared" si="12"/>
        <v>100</v>
      </c>
      <c r="T28" s="1569" t="s">
        <v>8</v>
      </c>
      <c r="U28" s="1570">
        <f t="shared" si="13"/>
        <v>100</v>
      </c>
      <c r="V28" s="1569" t="s">
        <v>8</v>
      </c>
      <c r="W28" s="1570">
        <f t="shared" si="14"/>
        <v>100</v>
      </c>
      <c r="X28" s="1563"/>
      <c r="Y28" s="3578"/>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78"/>
      <c r="Q29" s="1568" t="str">
        <f t="shared" si="11"/>
        <v>有无电梯</v>
      </c>
      <c r="R29" s="1569" t="s">
        <v>8</v>
      </c>
      <c r="S29" s="1570">
        <f t="shared" si="12"/>
        <v>100</v>
      </c>
      <c r="T29" s="1569" t="s">
        <v>8</v>
      </c>
      <c r="U29" s="1570">
        <f t="shared" si="13"/>
        <v>100</v>
      </c>
      <c r="V29" s="1569" t="s">
        <v>8</v>
      </c>
      <c r="W29" s="1570">
        <f t="shared" si="14"/>
        <v>100</v>
      </c>
      <c r="X29" s="1563"/>
      <c r="Y29" s="3578"/>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78"/>
      <c r="Q30" s="1568" t="str">
        <f t="shared" si="11"/>
        <v>建筑面积</v>
      </c>
      <c r="R30" s="1569" t="s">
        <v>8</v>
      </c>
      <c r="S30" s="1570" t="e">
        <f t="shared" si="12"/>
        <v>#N/A</v>
      </c>
      <c r="T30" s="1569" t="s">
        <v>8</v>
      </c>
      <c r="U30" s="1570" t="e">
        <f t="shared" si="13"/>
        <v>#N/A</v>
      </c>
      <c r="V30" s="1569" t="s">
        <v>8</v>
      </c>
      <c r="W30" s="1570" t="e">
        <f t="shared" si="14"/>
        <v>#N/A</v>
      </c>
      <c r="X30" s="1563"/>
      <c r="Y30" s="3578"/>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78"/>
      <c r="Q31" s="1147" t="str">
        <f t="shared" si="11"/>
        <v>是否封闭</v>
      </c>
      <c r="R31" s="1564" t="s">
        <v>8</v>
      </c>
      <c r="S31" s="1565">
        <f t="shared" si="12"/>
        <v>100</v>
      </c>
      <c r="T31" s="1564" t="s">
        <v>8</v>
      </c>
      <c r="U31" s="1565">
        <f t="shared" si="13"/>
        <v>100</v>
      </c>
      <c r="V31" s="1564" t="s">
        <v>8</v>
      </c>
      <c r="W31" s="1565">
        <f t="shared" si="14"/>
        <v>100</v>
      </c>
      <c r="X31" s="1566"/>
      <c r="Y31" s="3578"/>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78" t="s">
        <v>550</v>
      </c>
      <c r="Q32" s="1568">
        <f t="shared" si="11"/>
        <v>111</v>
      </c>
      <c r="R32" s="1569" t="s">
        <v>8</v>
      </c>
      <c r="S32" s="1570">
        <f t="shared" si="12"/>
        <v>100</v>
      </c>
      <c r="T32" s="1569" t="s">
        <v>8</v>
      </c>
      <c r="U32" s="1570">
        <f t="shared" si="13"/>
        <v>100</v>
      </c>
      <c r="V32" s="1569" t="s">
        <v>8</v>
      </c>
      <c r="W32" s="1570">
        <f t="shared" si="14"/>
        <v>100</v>
      </c>
      <c r="X32" s="1563"/>
      <c r="Y32" s="3578"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78"/>
      <c r="Q33" s="1568">
        <f t="shared" si="11"/>
        <v>111</v>
      </c>
      <c r="R33" s="1569" t="s">
        <v>8</v>
      </c>
      <c r="S33" s="1570">
        <f t="shared" si="12"/>
        <v>100</v>
      </c>
      <c r="T33" s="1569" t="s">
        <v>8</v>
      </c>
      <c r="U33" s="1570">
        <f t="shared" si="13"/>
        <v>100</v>
      </c>
      <c r="V33" s="1569" t="s">
        <v>8</v>
      </c>
      <c r="W33" s="1570">
        <f t="shared" si="14"/>
        <v>100</v>
      </c>
      <c r="X33" s="1563"/>
      <c r="Y33" s="3578"/>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73" t="str">
        <f>A35</f>
        <v>成交单价（元/平方米）</v>
      </c>
      <c r="Q35" s="3573"/>
      <c r="R35" s="3674">
        <f>E35</f>
        <v>0</v>
      </c>
      <c r="S35" s="3674"/>
      <c r="T35" s="3674">
        <f>G35</f>
        <v>0</v>
      </c>
      <c r="U35" s="3674"/>
      <c r="V35" s="3674">
        <f>I35</f>
        <v>0</v>
      </c>
      <c r="W35" s="3674"/>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73" t="str">
        <f>A36</f>
        <v>比较价格（元/平方米）</v>
      </c>
      <c r="Q36" s="35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55"/>
      <c r="Y36" s="1555"/>
      <c r="Z36" s="1555"/>
      <c r="AA36" s="1555"/>
      <c r="AB36" s="1555"/>
      <c r="AC36" s="1555"/>
    </row>
    <row r="37" spans="1:29" ht="15.75" thickBot="1">
      <c r="A37" s="621" t="s">
        <v>2937</v>
      </c>
      <c r="B37" s="622"/>
      <c r="C37" s="2611" t="e">
        <f>R37</f>
        <v>#DIV/0!</v>
      </c>
      <c r="D37" s="2611"/>
      <c r="E37" s="2611"/>
      <c r="F37" s="2611"/>
      <c r="G37" s="2611"/>
      <c r="H37" s="2611"/>
      <c r="I37" s="2611"/>
      <c r="J37" s="2611"/>
      <c r="K37" s="1609"/>
      <c r="L37" s="2140"/>
      <c r="M37" s="2141"/>
      <c r="N37" s="2141"/>
      <c r="O37" s="2141"/>
      <c r="P37" s="3594" t="str">
        <f>A37</f>
        <v>估价对象XX用房的比较价格（楼面单价，元/平方米）</v>
      </c>
      <c r="Q37" s="3595"/>
      <c r="R37" s="3673" t="e">
        <f>IF(F1="售价",ROUND(AVERAGE(R36:V36),0),ROUND(AVERAGE(R36:V36),1))</f>
        <v>#DIV/0!</v>
      </c>
      <c r="S37" s="3673"/>
      <c r="T37" s="3673"/>
      <c r="U37" s="3673"/>
      <c r="V37" s="3673"/>
      <c r="W37" s="367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2019-5</v>
      </c>
      <c r="D46" s="2778">
        <f>EDATE(C46,-1)</f>
        <v>43556</v>
      </c>
      <c r="E46" s="2778">
        <f t="shared" ref="E46:O46" si="16">EDATE(D46,-1)</f>
        <v>43525</v>
      </c>
      <c r="F46" s="2778">
        <f t="shared" si="16"/>
        <v>43497</v>
      </c>
      <c r="G46" s="2778">
        <f t="shared" si="16"/>
        <v>43466</v>
      </c>
      <c r="H46" s="2778">
        <f t="shared" si="16"/>
        <v>43435</v>
      </c>
      <c r="I46" s="2778">
        <f t="shared" si="16"/>
        <v>43405</v>
      </c>
      <c r="J46" s="2778">
        <f t="shared" si="16"/>
        <v>43374</v>
      </c>
      <c r="K46" s="2778">
        <f t="shared" si="16"/>
        <v>43344</v>
      </c>
      <c r="L46" s="2778">
        <f t="shared" si="16"/>
        <v>43313</v>
      </c>
      <c r="M46" s="2778">
        <f t="shared" si="16"/>
        <v>43282</v>
      </c>
      <c r="N46" s="2778">
        <f t="shared" si="16"/>
        <v>43252</v>
      </c>
      <c r="O46" s="2778">
        <f t="shared" si="16"/>
        <v>43221</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2930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43592</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6" t="s">
        <v>2039</v>
      </c>
      <c r="B1" s="3266"/>
      <c r="C1" s="3266"/>
      <c r="D1" s="3266"/>
      <c r="E1" s="3266"/>
      <c r="F1" s="3266"/>
      <c r="G1" s="3266"/>
      <c r="H1" s="3266"/>
      <c r="I1" s="3266"/>
      <c r="J1" s="3266"/>
      <c r="K1" s="3266"/>
      <c r="L1" s="3266"/>
      <c r="M1" s="3266"/>
      <c r="N1" s="3266"/>
      <c r="O1" s="3266"/>
      <c r="P1" s="3266"/>
      <c r="Q1" s="3266"/>
      <c r="R1" s="3266"/>
    </row>
    <row r="2" spans="1:18">
      <c r="A2" s="1803" t="s">
        <v>2041</v>
      </c>
      <c r="B2" s="1803"/>
      <c r="C2" s="1803"/>
      <c r="D2" s="1803"/>
      <c r="E2" s="1803"/>
      <c r="F2" s="1803"/>
      <c r="G2" s="1803"/>
      <c r="H2" s="1803"/>
      <c r="I2" s="1804"/>
      <c r="J2" s="1804"/>
      <c r="K2" s="1805" t="str">
        <f>"估价期日："&amp;TEXT(项目基本情况!D3,"yyyy年m月d日;;")</f>
        <v>估价期日：2019年5月7日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7" t="s">
        <v>2030</v>
      </c>
      <c r="B3" s="3267" t="s">
        <v>2731</v>
      </c>
      <c r="C3" s="3268" t="s">
        <v>2031</v>
      </c>
      <c r="D3" s="3267" t="s">
        <v>2735</v>
      </c>
      <c r="E3" s="3270" t="s">
        <v>2032</v>
      </c>
      <c r="F3" s="3270"/>
      <c r="G3" s="3270"/>
      <c r="H3" s="3270" t="s">
        <v>2033</v>
      </c>
      <c r="I3" s="3270"/>
      <c r="J3" s="3270"/>
      <c r="K3" s="3268" t="s">
        <v>2034</v>
      </c>
      <c r="L3" s="3268" t="s">
        <v>2035</v>
      </c>
      <c r="M3" s="3267" t="s">
        <v>2732</v>
      </c>
      <c r="N3" s="3269" t="str">
        <f>"（分摊）"&amp;项目基本情况!B16&amp;"国有建设用地使用权面积/㎡"</f>
        <v>（分摊）出让国有建设用地使用权面积/㎡</v>
      </c>
      <c r="O3" s="3267" t="s">
        <v>2064</v>
      </c>
      <c r="P3" s="3268" t="s">
        <v>2044</v>
      </c>
      <c r="Q3" s="3268" t="s">
        <v>2065</v>
      </c>
      <c r="R3" s="3268" t="s">
        <v>2036</v>
      </c>
    </row>
    <row r="4" spans="1:18" ht="36.75" customHeight="1">
      <c r="A4" s="3267"/>
      <c r="B4" s="3267"/>
      <c r="C4" s="3268"/>
      <c r="D4" s="3267"/>
      <c r="E4" s="2624" t="s">
        <v>2043</v>
      </c>
      <c r="F4" s="2624" t="s">
        <v>2744</v>
      </c>
      <c r="G4" s="2624" t="s">
        <v>2037</v>
      </c>
      <c r="H4" s="2624" t="s">
        <v>2038</v>
      </c>
      <c r="I4" s="2624" t="s">
        <v>2745</v>
      </c>
      <c r="J4" s="2624" t="s">
        <v>2037</v>
      </c>
      <c r="K4" s="3268"/>
      <c r="L4" s="3268"/>
      <c r="M4" s="3267"/>
      <c r="N4" s="3269"/>
      <c r="O4" s="3267"/>
      <c r="P4" s="3268"/>
      <c r="Q4" s="3268"/>
      <c r="R4" s="3268"/>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19976</v>
      </c>
      <c r="Q5" s="1806">
        <f ca="1">结果表!D42</f>
        <v>4400</v>
      </c>
      <c r="R5" s="1807">
        <f ca="1">结果表!C42</f>
        <v>22311</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808">
        <f ca="1">结果表!O39</f>
        <v>22311</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808"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4" t="s">
        <v>2066</v>
      </c>
      <c r="B1" s="3274"/>
      <c r="C1" s="3274"/>
      <c r="D1" s="3274"/>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7" t="s">
        <v>2067</v>
      </c>
      <c r="B5" s="3277"/>
      <c r="C5" s="3277"/>
      <c r="D5" s="3277"/>
    </row>
    <row r="6" spans="1:4">
      <c r="A6" s="3274" t="s">
        <v>2045</v>
      </c>
      <c r="B6" s="3274"/>
      <c r="C6" s="3274"/>
      <c r="D6" s="3274"/>
    </row>
    <row r="7" spans="1:4" ht="33" customHeight="1">
      <c r="A7" s="3274" t="s">
        <v>2576</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7" t="s">
        <v>2069</v>
      </c>
      <c r="B12" s="3277"/>
      <c r="C12" s="3277"/>
      <c r="D12" s="3277"/>
    </row>
    <row r="13" spans="1:4">
      <c r="A13" s="3275" t="s">
        <v>2746</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2702</v>
      </c>
      <c r="B17" s="3274"/>
      <c r="C17" s="3274"/>
      <c r="D17" s="3274"/>
    </row>
    <row r="18" spans="1:4">
      <c r="A18" s="3274" t="s">
        <v>2694</v>
      </c>
      <c r="B18" s="3274"/>
      <c r="C18" s="3274"/>
      <c r="D18" s="3274"/>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74" t="s">
        <v>2699</v>
      </c>
      <c r="B23" s="3274"/>
      <c r="C23" s="3274"/>
      <c r="D23" s="3274"/>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43634</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t="str">
        <f ca="1">IF(C11&lt;B2,"已过期",1120100036)</f>
        <v>已过期</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2985</v>
      </c>
      <c r="B14" s="3151">
        <f ca="1">IF(C14&lt;B2,"已过期",1120040230)</f>
        <v>1120040230</v>
      </c>
      <c r="C14" s="3155">
        <v>43835</v>
      </c>
      <c r="D14" s="3156" t="s">
        <v>2986</v>
      </c>
      <c r="E14" s="3151">
        <f ca="1">IF(F14&lt;B2,"已过期",98030020)</f>
        <v>98030020</v>
      </c>
      <c r="F14" s="3154">
        <v>47118</v>
      </c>
    </row>
    <row r="15" spans="1:6" ht="20.25" customHeight="1">
      <c r="A15" s="3151" t="s">
        <v>2575</v>
      </c>
      <c r="B15" s="3151">
        <f ca="1">IF(C15&lt;B2,"已过期",1120070085)</f>
        <v>1120070085</v>
      </c>
      <c r="C15" s="3155">
        <v>43814</v>
      </c>
      <c r="D15" s="3151" t="s">
        <v>2987</v>
      </c>
      <c r="E15" s="3151">
        <f ca="1">IF(F15&lt;B2,"已过期",2004110128)</f>
        <v>2004110128</v>
      </c>
      <c r="F15" s="3157">
        <v>47118</v>
      </c>
    </row>
    <row r="16" spans="1:6" ht="20.25" customHeight="1">
      <c r="A16" s="3151" t="s">
        <v>1924</v>
      </c>
      <c r="B16" s="3151">
        <f ca="1">IF(C16&lt;B2,"已过期",1120140022)</f>
        <v>1120140022</v>
      </c>
      <c r="C16" s="3153">
        <v>44029</v>
      </c>
      <c r="D16" s="3151" t="s">
        <v>2988</v>
      </c>
      <c r="E16" s="3151">
        <f ca="1">IF(F16&lt;B2,"已过期",2008110059)</f>
        <v>2008110059</v>
      </c>
      <c r="F16" s="3154">
        <v>47177</v>
      </c>
    </row>
    <row r="17" spans="1:7" ht="20.25" customHeight="1">
      <c r="A17" s="3151"/>
      <c r="B17" s="3151"/>
      <c r="C17" s="3153"/>
      <c r="D17" s="3156" t="s">
        <v>2989</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2947</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2959</v>
      </c>
      <c r="C18" s="1550"/>
    </row>
    <row r="19" spans="1:3">
      <c r="A19" s="8" t="s">
        <v>120</v>
      </c>
      <c r="B19" s="3083" t="s">
        <v>2967</v>
      </c>
      <c r="C19" s="1550"/>
    </row>
    <row r="20" spans="1:3">
      <c r="A20" s="8" t="s">
        <v>121</v>
      </c>
      <c r="B20" s="8" t="s">
        <v>3273</v>
      </c>
      <c r="C20" s="1550"/>
    </row>
    <row r="21" spans="1:3">
      <c r="A21" s="8" t="s">
        <v>122</v>
      </c>
      <c r="B21" s="8" t="s">
        <v>3274</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2019-06-18T07:00:50Z</dcterms:modified>
</cp:coreProperties>
</file>