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2"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V27" i="31" l="1"/>
  <c r="U27" i="31"/>
  <c r="V26" i="31"/>
  <c r="T27" i="31"/>
  <c r="T26" i="31"/>
  <c r="U26" i="31"/>
  <c r="R24" i="31" l="1"/>
  <c r="D17" i="31"/>
  <c r="E17" i="31"/>
  <c r="F17" i="31"/>
  <c r="G17" i="31"/>
  <c r="D18" i="31"/>
  <c r="E18" i="31"/>
  <c r="F18" i="31"/>
  <c r="G18" i="31"/>
  <c r="C18" i="31"/>
  <c r="C17" i="31"/>
  <c r="D3" i="31"/>
  <c r="E3" i="31"/>
  <c r="F3" i="31"/>
  <c r="G3" i="31"/>
  <c r="H3" i="31"/>
  <c r="D4" i="31"/>
  <c r="E4" i="31"/>
  <c r="F4" i="31"/>
  <c r="G4" i="31"/>
  <c r="H4" i="31"/>
  <c r="C4" i="31"/>
  <c r="C3" i="31"/>
  <c r="B26" i="31"/>
  <c r="B27" i="31"/>
  <c r="B25" i="31"/>
  <c r="B24" i="31"/>
  <c r="I47" i="33" l="1"/>
  <c r="G47" i="33"/>
  <c r="E47" i="33"/>
  <c r="I33" i="33"/>
  <c r="G33" i="33"/>
  <c r="E33" i="33"/>
  <c r="N6" i="1"/>
  <c r="G93" i="33"/>
  <c r="I5" i="33"/>
  <c r="G5" i="33"/>
  <c r="E5" i="33"/>
  <c r="H40" i="81" l="1"/>
  <c r="I4" i="81"/>
  <c r="H29" i="81"/>
  <c r="E29" i="81" s="1"/>
  <c r="H28" i="81"/>
  <c r="H27" i="81"/>
  <c r="H26" i="81"/>
  <c r="H22" i="81"/>
  <c r="I17" i="81"/>
  <c r="H15" i="81"/>
  <c r="H14" i="81"/>
  <c r="H12" i="81"/>
  <c r="I11" i="81"/>
  <c r="H9" i="81"/>
  <c r="I8" i="81"/>
  <c r="I7" i="81"/>
  <c r="C51" i="43"/>
  <c r="C50" i="43"/>
  <c r="C37" i="81"/>
  <c r="E26" i="81"/>
  <c r="E25" i="81"/>
  <c r="E24" i="81"/>
  <c r="C22" i="81"/>
  <c r="F19" i="81"/>
  <c r="F16" i="81"/>
  <c r="C21" i="81"/>
  <c r="E19" i="81" s="1"/>
  <c r="E15" i="81"/>
  <c r="C15" i="81"/>
  <c r="M10" i="81"/>
  <c r="P9" i="81"/>
  <c r="O10" i="81" s="1"/>
  <c r="M4" i="81"/>
  <c r="F93" i="33"/>
  <c r="I7" i="33"/>
  <c r="G7" i="33"/>
  <c r="E7" i="33"/>
  <c r="I7" i="21"/>
  <c r="G7" i="21"/>
  <c r="E7" i="21"/>
  <c r="I5" i="21"/>
  <c r="G5" i="21"/>
  <c r="E5" i="21"/>
  <c r="N11" i="81" l="1"/>
  <c r="G19" i="6" l="1"/>
  <c r="D37" i="43" s="1"/>
  <c r="F19" i="6" l="1"/>
  <c r="C19" i="6"/>
  <c r="D33" i="43" l="1"/>
  <c r="U2" i="4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329" i="3" s="1"/>
  <c r="BA13" i="3"/>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F17" i="33"/>
  <c r="S17" i="33" s="1"/>
  <c r="S37" i="21"/>
  <c r="AA23" i="21"/>
  <c r="AB15" i="21"/>
  <c r="J23" i="21"/>
  <c r="F85" i="21"/>
  <c r="G85" i="21"/>
  <c r="H23" i="21"/>
  <c r="S13" i="21"/>
  <c r="D6" i="52"/>
  <c r="E534" i="3"/>
  <c r="E360" i="3"/>
  <c r="E26" i="3"/>
  <c r="E243" i="3"/>
  <c r="E428" i="3"/>
  <c r="E46" i="3"/>
  <c r="E190" i="3"/>
  <c r="E220" i="3"/>
  <c r="E235" i="3"/>
  <c r="E383" i="3"/>
  <c r="E522" i="3"/>
  <c r="E86" i="3"/>
  <c r="E49" i="3"/>
  <c r="E232" i="3"/>
  <c r="E370" i="3"/>
  <c r="E102" i="3"/>
  <c r="E113" i="3"/>
  <c r="E287" i="3"/>
  <c r="E326"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G50" i="43" s="1"/>
  <c r="M50" i="43" s="1"/>
  <c r="N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40" i="67"/>
  <c r="F43" i="67"/>
  <c r="M26" i="67"/>
  <c r="AO13" i="1"/>
  <c r="F36" i="67"/>
  <c r="F8" i="15"/>
  <c r="E2" i="68"/>
  <c r="M28" i="15"/>
  <c r="D6" i="73"/>
  <c r="M6" i="15"/>
  <c r="C76" i="15"/>
  <c r="B8" i="76"/>
  <c r="M23" i="15"/>
  <c r="C19" i="9"/>
  <c r="D35" i="9"/>
  <c r="L47" i="15"/>
  <c r="E13" i="76"/>
  <c r="M24" i="67"/>
  <c r="F37" i="15"/>
  <c r="M9" i="67"/>
  <c r="E9" i="76"/>
  <c r="D3" i="73"/>
  <c r="F7" i="73"/>
  <c r="B12" i="76"/>
  <c r="F43" i="15"/>
  <c r="F16" i="67"/>
  <c r="F38" i="15"/>
  <c r="D5" i="73"/>
  <c r="F37" i="67"/>
  <c r="D7" i="73"/>
  <c r="F6" i="15"/>
  <c r="M29" i="67"/>
  <c r="F13" i="67"/>
  <c r="M9" i="15"/>
  <c r="F13" i="15"/>
  <c r="M29" i="15"/>
  <c r="B11" i="76"/>
  <c r="C20" i="9"/>
  <c r="F6" i="67"/>
  <c r="L47" i="67"/>
  <c r="F4" i="73"/>
  <c r="F5" i="73"/>
  <c r="F7" i="15"/>
  <c r="E7" i="76"/>
  <c r="F8" i="67"/>
  <c r="M23" i="67"/>
  <c r="M8" i="15"/>
  <c r="J15" i="67"/>
  <c r="E8" i="76"/>
  <c r="J15" i="15"/>
  <c r="M6" i="67"/>
  <c r="M8" i="67"/>
  <c r="F9" i="67"/>
  <c r="B9" i="76"/>
  <c r="D19" i="9"/>
  <c r="F7" i="67"/>
  <c r="F26" i="67"/>
  <c r="F42" i="67"/>
  <c r="M28" i="67"/>
  <c r="B10" i="76"/>
  <c r="E2" i="69"/>
  <c r="F9" i="15"/>
  <c r="F6" i="73"/>
  <c r="E11" i="76"/>
  <c r="F26" i="15"/>
  <c r="E10" i="76"/>
  <c r="F40" i="15"/>
  <c r="F42" i="15"/>
  <c r="B7" i="76"/>
  <c r="M22" i="67"/>
  <c r="F16" i="15"/>
  <c r="F3" i="73"/>
  <c r="E12" i="76"/>
  <c r="D20" i="9"/>
  <c r="D34" i="9"/>
  <c r="C76" i="67"/>
  <c r="M22" i="15"/>
  <c r="M26" i="15"/>
  <c r="F36" i="15"/>
  <c r="D4" i="73"/>
  <c r="M24" i="15"/>
  <c r="F38" i="67"/>
  <c r="B13" i="76"/>
  <c r="R27" i="31" l="1"/>
  <c r="S27" i="31" s="1"/>
  <c r="R25" i="31"/>
  <c r="S25" i="31" s="1"/>
  <c r="R26" i="31"/>
  <c r="S26" i="31" s="1"/>
  <c r="E22" i="3"/>
  <c r="E308" i="3"/>
  <c r="E158" i="3"/>
  <c r="E80" i="3"/>
  <c r="AF6" i="3"/>
  <c r="E251" i="3"/>
  <c r="E206" i="3"/>
  <c r="E34" i="3"/>
  <c r="E35" i="3"/>
  <c r="E342" i="3"/>
  <c r="E324" i="3"/>
  <c r="E275" i="3"/>
  <c r="E174" i="3"/>
  <c r="E129" i="3"/>
  <c r="E467" i="3"/>
  <c r="AL6" i="3"/>
  <c r="E198" i="3"/>
  <c r="E494" i="3"/>
  <c r="E469" i="3"/>
  <c r="E19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64" i="3"/>
  <c r="E425" i="3"/>
  <c r="E94" i="3"/>
  <c r="E391" i="3"/>
  <c r="E225" i="3"/>
  <c r="E41" i="3"/>
  <c r="E470" i="3"/>
  <c r="E497" i="3"/>
  <c r="E408" i="3"/>
  <c r="E405" i="3"/>
  <c r="E369" i="3"/>
  <c r="E296" i="3"/>
  <c r="BA5" i="3"/>
  <c r="K50" i="43"/>
  <c r="K54" i="43"/>
  <c r="J54" i="43" s="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98" i="3"/>
  <c r="E47" i="3"/>
  <c r="E446" i="3"/>
  <c r="E482" i="3"/>
  <c r="E75" i="3"/>
  <c r="E42" i="3"/>
  <c r="E356" i="3"/>
  <c r="E332" i="3"/>
  <c r="E281" i="3"/>
  <c r="E139" i="3"/>
  <c r="E115" i="3"/>
  <c r="E104" i="3"/>
  <c r="E420" i="3"/>
  <c r="E452" i="3"/>
  <c r="E13" i="3"/>
  <c r="E556" i="3"/>
  <c r="E451" i="3"/>
  <c r="E512" i="3"/>
  <c r="E456" i="3"/>
  <c r="T6" i="3"/>
  <c r="E525" i="3"/>
  <c r="E173" i="3"/>
  <c r="E140" i="3"/>
  <c r="E205" i="3"/>
  <c r="E78" i="3"/>
  <c r="E38" i="3"/>
  <c r="E96" i="3"/>
  <c r="E79" i="3"/>
  <c r="E18" i="3"/>
  <c r="E455" i="3"/>
  <c r="E412"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F7" i="1"/>
  <c r="G44" i="43"/>
  <c r="I5" i="81"/>
  <c r="F30" i="69"/>
  <c r="F48" i="69" s="1"/>
  <c r="D68" i="9"/>
  <c r="F31" i="12"/>
  <c r="M18" i="15"/>
  <c r="M18" i="67"/>
  <c r="F30" i="11"/>
  <c r="C48" i="11" s="1"/>
  <c r="F54" i="9"/>
  <c r="F28" i="15"/>
  <c r="F32" i="15"/>
  <c r="F60" i="15" s="1"/>
  <c r="F32" i="67"/>
  <c r="F60" i="67" s="1"/>
  <c r="F52" i="9"/>
  <c r="F28" i="67"/>
  <c r="C28" i="67" s="1"/>
  <c r="F30" i="68"/>
  <c r="F48" i="68" s="1"/>
  <c r="G6" i="1"/>
  <c r="I24" i="43"/>
  <c r="D54" i="43"/>
  <c r="J38" i="33"/>
  <c r="AC17" i="33"/>
  <c r="U46" i="33"/>
  <c r="AC41" i="33"/>
  <c r="AB36" i="33"/>
  <c r="U43" i="33"/>
  <c r="W39" i="33"/>
  <c r="S38" i="33"/>
  <c r="U35" i="33"/>
  <c r="F32" i="33"/>
  <c r="AA32" i="33" s="1"/>
  <c r="F101" i="33"/>
  <c r="G101" i="33" s="1"/>
  <c r="H101" i="33" s="1"/>
  <c r="I101" i="33" s="1"/>
  <c r="J101" i="33" s="1"/>
  <c r="K101" i="33" s="1"/>
  <c r="L101" i="33" s="1"/>
  <c r="M101" i="33" s="1"/>
  <c r="U32" i="33"/>
  <c r="AC32" i="33"/>
  <c r="S25" i="33"/>
  <c r="AB21" i="33"/>
  <c r="AA17"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K1" i="73"/>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F27" i="69"/>
  <c r="C36" i="69"/>
  <c r="D9" i="68"/>
  <c r="L48" i="15"/>
  <c r="G1" i="73"/>
  <c r="C16" i="67"/>
  <c r="L48" i="67"/>
  <c r="C16" i="15"/>
  <c r="B20" i="31" l="1"/>
  <c r="B21" i="31" s="1"/>
  <c r="M53" i="43"/>
  <c r="N53" i="43" s="1"/>
  <c r="K53" i="43"/>
  <c r="M52" i="43"/>
  <c r="N52" i="43" s="1"/>
  <c r="K52" i="43"/>
  <c r="K51" i="43"/>
  <c r="M51" i="43"/>
  <c r="N51" i="43" s="1"/>
  <c r="M57" i="43"/>
  <c r="N57" i="43" s="1"/>
  <c r="K57" i="43"/>
  <c r="J57" i="43" s="1"/>
  <c r="D57" i="43" s="1"/>
  <c r="K55" i="43"/>
  <c r="M55" i="43"/>
  <c r="N55" i="43" s="1"/>
  <c r="M56" i="43"/>
  <c r="N56" i="43" s="1"/>
  <c r="K56" i="43"/>
  <c r="K58" i="43"/>
  <c r="M58" i="43"/>
  <c r="N58" i="43" s="1"/>
  <c r="J50" i="43"/>
  <c r="D50" i="43"/>
  <c r="E59" i="40"/>
  <c r="J53" i="15"/>
  <c r="L56" i="15" s="1"/>
  <c r="I54" i="15"/>
  <c r="L58" i="15"/>
  <c r="Q73" i="15" s="1"/>
  <c r="J57" i="15"/>
  <c r="J55" i="15" s="1"/>
  <c r="J58" i="15" s="1"/>
  <c r="Q50" i="15" s="1"/>
  <c r="I54" i="67"/>
  <c r="J53" i="67"/>
  <c r="F1" i="67" s="1"/>
  <c r="L56" i="67"/>
  <c r="L58" i="67"/>
  <c r="Q60" i="67" s="1"/>
  <c r="J57" i="67"/>
  <c r="J55" i="67" s="1"/>
  <c r="J58" i="67" s="1"/>
  <c r="Q50" i="67" s="1"/>
  <c r="G7" i="1"/>
  <c r="G16" i="1" s="1"/>
  <c r="AC38" i="33"/>
  <c r="W38" i="33"/>
  <c r="S32" i="3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I3" i="81" s="1"/>
  <c r="M14" i="1"/>
  <c r="D5" i="43"/>
  <c r="D26" i="43"/>
  <c r="C25" i="43"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M11" i="67"/>
  <c r="J10" i="67" s="1"/>
  <c r="J5" i="67" s="1"/>
  <c r="F11" i="15"/>
  <c r="M11" i="15"/>
  <c r="J10" i="15" s="1"/>
  <c r="J5" i="15" s="1"/>
  <c r="J24" i="15" s="1"/>
  <c r="F11" i="67"/>
  <c r="Q52" i="15"/>
  <c r="J18" i="67"/>
  <c r="C32" i="15"/>
  <c r="Q60" i="15"/>
  <c r="Q61" i="67"/>
  <c r="Q74" i="67"/>
  <c r="Q74" i="15"/>
  <c r="Q61" i="15"/>
  <c r="AE11" i="1"/>
  <c r="AE6" i="1"/>
  <c r="AE9" i="1"/>
  <c r="F27" i="68"/>
  <c r="AE7" i="1"/>
  <c r="AE8" i="1"/>
  <c r="AE12" i="1"/>
  <c r="AE10" i="1"/>
  <c r="F41" i="67"/>
  <c r="Q52" i="67" l="1"/>
  <c r="J56" i="43"/>
  <c r="D56" i="43"/>
  <c r="J52" i="43"/>
  <c r="D52" i="43"/>
  <c r="J53" i="43"/>
  <c r="D53" i="43"/>
  <c r="J58" i="43"/>
  <c r="D58" i="43"/>
  <c r="J55" i="43"/>
  <c r="D55" i="43"/>
  <c r="J51" i="43"/>
  <c r="D51" i="43"/>
  <c r="E50" i="43" s="1"/>
  <c r="B48" i="43" s="1"/>
  <c r="C28" i="43" s="1"/>
  <c r="Q73" i="67"/>
  <c r="F1" i="15"/>
  <c r="C11" i="81"/>
  <c r="C8" i="81"/>
  <c r="F10" i="39"/>
  <c r="F10" i="40"/>
  <c r="S10" i="40" s="1"/>
  <c r="H10" i="39"/>
  <c r="U10" i="39" s="1"/>
  <c r="J10" i="39"/>
  <c r="W10" i="39" s="1"/>
  <c r="J10" i="40"/>
  <c r="AC10" i="40" s="1"/>
  <c r="H10" i="40"/>
  <c r="AB10" i="40" s="1"/>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W10" i="40"/>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AC10" i="39" l="1"/>
  <c r="U10" i="40"/>
  <c r="D116" i="43"/>
  <c r="T15" i="43"/>
  <c r="V15" i="43" s="1"/>
  <c r="T11" i="43"/>
  <c r="V11" i="43" s="1"/>
  <c r="T7" i="43"/>
  <c r="V7" i="43" s="1"/>
  <c r="T14" i="43"/>
  <c r="V14" i="43" s="1"/>
  <c r="T10" i="43"/>
  <c r="V10" i="43" s="1"/>
  <c r="T4" i="43"/>
  <c r="V4" i="43" s="1"/>
  <c r="T2" i="43"/>
  <c r="V2" i="43" s="1"/>
  <c r="T5" i="43"/>
  <c r="V5" i="43" s="1"/>
  <c r="C40" i="43"/>
  <c r="C41" i="43"/>
  <c r="E41" i="43" s="1"/>
  <c r="T13" i="43"/>
  <c r="V13" i="43" s="1"/>
  <c r="T9" i="43"/>
  <c r="V9" i="43" s="1"/>
  <c r="T16" i="43"/>
  <c r="V16" i="43" s="1"/>
  <c r="T12" i="43"/>
  <c r="V12" i="43" s="1"/>
  <c r="T8" i="43"/>
  <c r="V8" i="43" s="1"/>
  <c r="T3" i="43"/>
  <c r="V3" i="43" s="1"/>
  <c r="T6" i="43"/>
  <c r="V6" i="43" s="1"/>
  <c r="C33" i="43"/>
  <c r="C6" i="69" s="1"/>
  <c r="C7" i="69" s="1"/>
  <c r="C37" i="43"/>
  <c r="G37" i="43" s="1"/>
  <c r="I37" i="43" s="1"/>
  <c r="C39" i="43"/>
  <c r="G39" i="43" s="1"/>
  <c r="I39" i="43" s="1"/>
  <c r="C38" i="43"/>
  <c r="E38" i="43" s="1"/>
  <c r="C42" i="43"/>
  <c r="E42" i="43" s="1"/>
  <c r="H33" i="33"/>
  <c r="J33" i="33"/>
  <c r="F33" i="33"/>
  <c r="C10" i="81"/>
  <c r="C12" i="81"/>
  <c r="C9" i="81"/>
  <c r="AA10" i="39"/>
  <c r="S10" i="39"/>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G41" i="43"/>
  <c r="I41" i="43" s="1"/>
  <c r="E37" i="43"/>
  <c r="E40" i="43"/>
  <c r="G40" i="43"/>
  <c r="I40" i="43" s="1"/>
  <c r="E39" i="43"/>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34" i="9"/>
  <c r="C66" i="67"/>
  <c r="C60" i="67"/>
  <c r="D10" i="69"/>
  <c r="C34" i="69"/>
  <c r="D10" i="68"/>
  <c r="C17" i="67"/>
  <c r="C14" i="67"/>
  <c r="C17" i="15"/>
  <c r="C25" i="11" l="1"/>
  <c r="C22" i="11" s="1"/>
  <c r="C31" i="11" s="1"/>
  <c r="H25" i="6"/>
  <c r="C34" i="43"/>
  <c r="E34" i="43" s="1"/>
  <c r="C31" i="43" s="1"/>
  <c r="E33" i="43"/>
  <c r="G38" i="43"/>
  <c r="I38" i="43" s="1"/>
  <c r="C13" i="81"/>
  <c r="AC33" i="33"/>
  <c r="V48" i="33" s="1"/>
  <c r="I48" i="33" s="1"/>
  <c r="I52" i="33" s="1"/>
  <c r="J52" i="33" s="1"/>
  <c r="W33" i="33"/>
  <c r="AA33" i="33"/>
  <c r="R48" i="33" s="1"/>
  <c r="S33" i="33"/>
  <c r="AB33" i="33"/>
  <c r="T48" i="33" s="1"/>
  <c r="G48" i="33" s="1"/>
  <c r="U33" i="33"/>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H69" i="39"/>
  <c r="I67" i="39"/>
  <c r="D10" i="71"/>
  <c r="C9" i="71"/>
  <c r="C8" i="71" s="1"/>
  <c r="G65" i="40"/>
  <c r="H63" i="40"/>
  <c r="C43" i="37"/>
  <c r="C42" i="37"/>
  <c r="I48" i="35"/>
  <c r="H58" i="21"/>
  <c r="E47" i="37"/>
  <c r="F47" i="37" s="1"/>
  <c r="E46" i="37"/>
  <c r="F46" i="37" s="1"/>
  <c r="I47" i="37"/>
  <c r="J47" i="37" s="1"/>
  <c r="C33" i="15"/>
  <c r="C33" i="67"/>
  <c r="J19" i="67"/>
  <c r="C34" i="68"/>
  <c r="B6" i="76"/>
  <c r="E6" i="76"/>
  <c r="C14" i="15"/>
  <c r="G53" i="33" l="1"/>
  <c r="H53" i="33" s="1"/>
  <c r="G52" i="33"/>
  <c r="H52" i="33" s="1"/>
  <c r="E48" i="33"/>
  <c r="R49" i="33"/>
  <c r="C14" i="81"/>
  <c r="C17" i="81" s="1"/>
  <c r="C16" i="81" s="1"/>
  <c r="B3" i="43"/>
  <c r="C6"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8" i="33" l="1"/>
  <c r="C49" i="33"/>
  <c r="D36" i="81" s="1"/>
  <c r="J8" i="81" s="1"/>
  <c r="C20" i="81"/>
  <c r="C19" i="81" s="1"/>
  <c r="I53" i="33"/>
  <c r="J53" i="33" s="1"/>
  <c r="E53" i="33"/>
  <c r="F53" i="33" s="1"/>
  <c r="E52" i="33"/>
  <c r="F52" i="33" s="1"/>
  <c r="C7" i="68"/>
  <c r="C5" i="68"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C23" i="81" l="1"/>
  <c r="C23" i="68"/>
  <c r="C20" i="68"/>
  <c r="C28" i="68" s="1"/>
  <c r="C27" i="68" s="1"/>
  <c r="AC7" i="2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27" i="81" l="1"/>
  <c r="C7" i="81"/>
  <c r="C28" i="81" s="1"/>
  <c r="C22" i="68"/>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C3" i="81" s="1"/>
  <c r="L69" i="39"/>
  <c r="M67" i="39"/>
  <c r="S7" i="35"/>
  <c r="AA7" i="35"/>
  <c r="R38" i="35" s="1"/>
  <c r="C49" i="21"/>
  <c r="C48" i="21"/>
  <c r="E52" i="21"/>
  <c r="F52" i="21" s="1"/>
  <c r="E53" i="21"/>
  <c r="F53" i="21" s="1"/>
  <c r="G42" i="35"/>
  <c r="H42" i="35" s="1"/>
  <c r="G43" i="35"/>
  <c r="H43" i="35" s="1"/>
  <c r="I53" i="21"/>
  <c r="J53" i="21" s="1"/>
  <c r="K65" i="40"/>
  <c r="L63" i="40"/>
  <c r="I42" i="35"/>
  <c r="J42" i="35" s="1"/>
  <c r="C24" i="81" l="1"/>
  <c r="C52" i="68"/>
  <c r="B2" i="68" s="1"/>
  <c r="B3" i="68"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G37" i="81" l="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6" i="1"/>
  <c r="AO8" i="1"/>
  <c r="AO7" i="1"/>
  <c r="AO9"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D52" i="9"/>
  <c r="D53" i="9"/>
  <c r="C105" i="9"/>
  <c r="I4" i="52"/>
  <c r="C104" i="9"/>
  <c r="H4" i="52"/>
  <c r="P57" i="9"/>
  <c r="N58" i="9"/>
  <c r="N61" i="9"/>
  <c r="N59" i="9"/>
  <c r="N60" i="9"/>
  <c r="B32" i="72"/>
  <c r="B30" i="72"/>
  <c r="D14" i="53"/>
  <c r="D13" i="53"/>
  <c r="D54" i="9"/>
  <c r="D8" i="52"/>
  <c r="C81" i="9"/>
  <c r="B52" i="72"/>
  <c r="C78" i="9"/>
  <c r="C73" i="9"/>
  <c r="G4" i="52"/>
  <c r="N57" i="9"/>
  <c r="F4" i="52"/>
  <c r="B51" i="72"/>
  <c r="C93" i="9"/>
  <c r="C86" i="9"/>
  <c r="B20" i="72"/>
  <c r="C6" i="74"/>
  <c r="C68" i="9"/>
  <c r="D122" i="9"/>
  <c r="D123" i="9"/>
  <c r="D9" i="52"/>
  <c r="E4" i="52"/>
  <c r="B48" i="72"/>
  <c r="E81" i="9"/>
  <c r="M48" i="9"/>
  <c r="B53" i="72"/>
  <c r="M54" i="9"/>
  <c r="H102" i="9"/>
  <c r="D7" i="53"/>
  <c r="B21" i="72"/>
  <c r="H119" i="9"/>
  <c r="H5" i="52"/>
  <c r="H107" i="9"/>
  <c r="H108" i="9"/>
  <c r="D15" i="53"/>
  <c r="B31" i="72"/>
  <c r="D55" i="9"/>
  <c r="M53" i="9"/>
  <c r="B49" i="72"/>
  <c r="D56" i="9"/>
  <c r="C72" i="9"/>
  <c r="C79" i="9"/>
  <c r="C80" i="9"/>
  <c r="E80" i="9"/>
  <c r="D5" i="53"/>
  <c r="D6" i="53"/>
  <c r="B22" i="72"/>
  <c r="C64" i="9"/>
  <c r="C63" i="9"/>
  <c r="C67" i="9"/>
  <c r="D59" i="9"/>
  <c r="M55" i="9"/>
  <c r="D119" i="9"/>
  <c r="D5" i="52"/>
  <c r="C96" i="9"/>
  <c r="E96" i="9"/>
  <c r="E97" i="9"/>
  <c r="E118" i="9"/>
  <c r="D118" i="9"/>
  <c r="D4" i="52"/>
  <c r="B47" i="72"/>
  <c r="G118" i="9"/>
  <c r="F118" i="9"/>
  <c r="F119" i="9"/>
  <c r="F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<sst xmlns="http://schemas.openxmlformats.org/spreadsheetml/2006/main" count="8080" uniqueCount="3594">
  <si>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</si>
  <si>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</si>
  <si>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</si>
  <si>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</si>
  <si>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</si>
  <si>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</si>
  <si>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</si>
  <si>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</si>
  <si>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</si>
  <si>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</si>
  <si>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</si>
  <si>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</si>
  <si>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</si>
  <si>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</si>
  <si>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</si>
  <si>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</si>
  <si>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</si>
  <si>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</si>
  <si>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</si>
  <si>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</si>
  <si>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</si>
  <si>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</si>
  <si>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</si>
  <si>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</si>
  <si>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</si>
  <si>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</si>
  <si>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</si>
  <si>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</si>
  <si>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</si>
  <si>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</si>
  <si>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</si>
  <si>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</si>
  <si>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</si>
  <si>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</si>
  <si>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</si>
  <si>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</si>
  <si>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</si>
  <si>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</si>
  <si>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</si>
  <si>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</si>
  <si>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</si>
  <si>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</si>
  <si>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</si>
  <si>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</si>
  <si>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</si>
  <si>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</si>
  <si>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</si>
  <si>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</si>
  <si>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</si>
  <si>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</si>
  <si>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</si>
  <si>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</si>
  <si>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</si>
  <si>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</si>
  <si>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</si>
  <si>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</si>
  <si>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</si>
  <si>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</si>
  <si>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</si>
  <si>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</si>
  <si>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</si>
  <si>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</si>
  <si>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</si>
  <si>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</si>
  <si>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</si>
  <si>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</si>
  <si>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</si>
  <si>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</si>
  <si>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</si>
  <si>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</si>
  <si>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</si>
  <si>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</si>
  <si>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</si>
  <si>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</si>
  <si>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</si>
  <si>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</si>
  <si>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</si>
  <si>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</si>
  <si>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</si>
  <si>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</si>
  <si>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</si>
  <si>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</si>
  <si>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</si>
  <si>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</si>
  <si>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</si>
  <si>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</si>
  <si>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</si>
  <si>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</si>
  <si>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</si>
  <si>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</si>
  <si>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</si>
  <si>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</si>
  <si>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</si>
  <si>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</si>
  <si>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</si>
  <si>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</si>
  <si>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</si>
  <si>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</si>
  <si>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</si>
  <si>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</si>
  <si>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</si>
  <si>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</si>
  <si>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</si>
  <si>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</si>
  <si>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</si>
  <si>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</si>
  <si>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</si>
  <si>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</si>
  <si>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</si>
  <si>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</si>
  <si>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</si>
  <si>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</si>
  <si>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</si>
  <si>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</si>
  <si>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</si>
  <si>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</si>
  <si>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</si>
  <si>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</si>
  <si>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</si>
  <si>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</si>
  <si>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</si>
  <si>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</si>
  <si>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</si>
  <si>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</si>
  <si>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</si>
  <si>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</si>
  <si>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</si>
  <si>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</si>
  <si>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</si>
  <si>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</si>
  <si>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</si>
  <si>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</si>
  <si>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</si>
  <si>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</si>
  <si>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</si>
  <si>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</si>
  <si>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</si>
  <si>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</si>
  <si>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</si>
  <si>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</si>
  <si>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</si>
  <si>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</si>
  <si>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</si>
  <si>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</si>
  <si>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</si>
  <si>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</si>
  <si>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</si>
  <si>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</si>
  <si>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</si>
  <si>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</si>
  <si>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</si>
  <si>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</si>
  <si>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</si>
  <si>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</si>
  <si>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</si>
  <si>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</si>
  <si>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</si>
  <si>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</si>
  <si>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</si>
  <si>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</si>
  <si>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</si>
  <si>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</si>
  <si>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</si>
  <si>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</si>
  <si>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</si>
  <si>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</si>
  <si>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</si>
  <si>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</si>
  <si>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</si>
  <si>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</si>
  <si>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</si>
  <si>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</si>
  <si>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</si>
  <si>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</si>
  <si>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</si>
  <si>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</si>
  <si>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</si>
  <si>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</si>
  <si>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</si>
  <si>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</si>
  <si>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</si>
  <si>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</si>
  <si>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</si>
  <si>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</si>
  <si>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</si>
  <si>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</si>
  <si>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</si>
  <si>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</si>
  <si>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</si>
  <si>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</si>
  <si>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</si>
  <si>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</si>
  <si>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</si>
  <si>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</si>
  <si>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</si>
  <si>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</si>
  <si>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</si>
  <si>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</si>
  <si>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</si>
  <si>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</si>
  <si>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</si>
  <si>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</si>
  <si>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</si>
  <si>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</si>
  <si>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</si>
  <si>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</si>
  <si>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</si>
  <si>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</si>
  <si>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</si>
  <si>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</si>
  <si>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</si>
  <si>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</si>
  <si>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</si>
  <si>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</si>
  <si>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</si>
  <si>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</si>
  <si>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</si>
  <si>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</si>
  <si>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</si>
  <si>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</si>
  <si>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</si>
  <si>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</si>
  <si>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</si>
  <si>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</si>
  <si>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</si>
  <si>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</si>
  <si>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</si>
  <si>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</si>
  <si>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</si>
  <si>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</si>
  <si>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</si>
  <si>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</si>
  <si>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</si>
  <si>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</si>
  <si>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</si>
  <si>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</si>
  <si>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</si>
  <si>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</si>
  <si>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</si>
  <si>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</si>
  <si>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</si>
  <si>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</si>
  <si>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</si>
  <si>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</si>
  <si>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</si>
  <si>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</si>
  <si>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</si>
  <si>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</si>
  <si>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</si>
  <si>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</si>
  <si>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</si>
  <si>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</si>
  <si>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</si>
  <si>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</si>
  <si>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</si>
  <si>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</si>
  <si>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</si>
  <si>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</si>
  <si>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</si>
  <si>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</si>
  <si>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</si>
  <si>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</si>
  <si>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</si>
  <si>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</si>
  <si>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</si>
  <si>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</si>
  <si>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</si>
  <si>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</si>
  <si>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</si>
  <si>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</si>
  <si>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</si>
  <si>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</si>
  <si>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</si>
  <si>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</si>
  <si>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</si>
  <si>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</si>
  <si>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</si>
  <si>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</si>
  <si>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</si>
  <si>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</si>
  <si>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</si>
  <si>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</si>
  <si>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</si>
  <si>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</si>
  <si>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</si>
  <si>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</si>
  <si>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</si>
  <si>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</si>
  <si>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</si>
  <si>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</si>
  <si>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</si>
  <si>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</si>
  <si>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</si>
  <si>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</si>
  <si>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</si>
  <si>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</si>
  <si>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</si>
  <si>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</si>
  <si>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</si>
  <si>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</si>
  <si>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</si>
  <si>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</si>
  <si>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</si>
  <si>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</si>
  <si>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</si>
  <si>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</si>
  <si>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</si>
  <si>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</si>
  <si>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</si>
  <si>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</si>
  <si>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</si>
  <si>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</si>
  <si>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</si>
  <si>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</si>
  <si>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</si>
  <si>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</si>
  <si>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</si>
  <si>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</si>
  <si>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</si>
  <si>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</si>
  <si>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</si>
  <si>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</si>
  <si>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</si>
  <si>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</si>
  <si>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</si>
  <si>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</si>
  <si>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</si>
  <si>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</si>
  <si>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</si>
  <si>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</si>
  <si>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</si>
  <si>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</si>
  <si>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</si>
  <si>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</si>
  <si>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</si>
  <si>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</si>
  <si>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</si>
  <si>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</si>
  <si>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</si>
  <si>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</si>
  <si>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</si>
  <si>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</si>
  <si>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</si>
  <si>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</si>
  <si>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</si>
  <si>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</si>
  <si>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</si>
  <si>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</si>
  <si>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</si>
  <si>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</si>
  <si>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</si>
  <si>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</si>
  <si>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</si>
  <si>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</si>
  <si>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</si>
  <si>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</si>
  <si>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</si>
  <si>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</si>
  <si>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</si>
  <si>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</si>
  <si>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</si>
  <si>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</si>
  <si>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</si>
  <si>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</si>
  <si>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</si>
  <si>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</si>
  <si>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</si>
  <si>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</si>
  <si>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</si>
  <si>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</si>
  <si>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</si>
  <si>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</si>
  <si>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</si>
  <si>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</si>
  <si>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</si>
  <si>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</si>
  <si>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</si>
  <si>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</si>
  <si>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</si>
  <si>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</si>
  <si>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</si>
  <si>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</si>
  <si>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</si>
  <si>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</si>
  <si>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</si>
  <si>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</si>
  <si>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</si>
  <si>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</si>
  <si>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</si>
  <si>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</si>
  <si>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</si>
  <si>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</si>
  <si>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</si>
  <si>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</si>
  <si>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</si>
  <si>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</si>
  <si>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</si>
  <si>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</si>
  <si>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</si>
  <si>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</si>
  <si>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</si>
  <si>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</si>
  <si>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</si>
  <si>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</si>
  <si>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</si>
  <si>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</si>
  <si>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</si>
  <si>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</si>
  <si>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</si>
  <si>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</si>
  <si>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</si>
  <si>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</si>
  <si>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</si>
  <si>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</si>
  <si>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</si>
  <si>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</si>
  <si>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</si>
  <si>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</si>
  <si>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</si>
  <si>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</si>
  <si>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</si>
  <si>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</si>
  <si>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</si>
  <si>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</si>
  <si>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</si>
  <si>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</si>
  <si>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</si>
  <si>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</si>
  <si>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</si>
  <si>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</si>
  <si>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</si>
  <si>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</si>
  <si>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</si>
  <si>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</si>
  <si>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</si>
  <si>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</si>
  <si>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</si>
  <si>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</si>
  <si>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</si>
  <si>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</si>
  <si>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</si>
  <si>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</si>
  <si>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</si>
  <si>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</si>
  <si>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</si>
  <si>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</si>
  <si>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</si>
  <si>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</si>
  <si>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</si>
  <si>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</si>
  <si>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</si>
  <si>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</si>
  <si>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</si>
  <si>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</si>
  <si>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</si>
  <si>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</si>
  <si>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</si>
  <si>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</si>
  <si>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</si>
  <si>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</si>
  <si>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</si>
  <si>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</si>
  <si>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</si>
  <si>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</si>
  <si>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</si>
  <si>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</si>
  <si>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</si>
  <si>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</si>
  <si>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</si>
  <si>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</si>
  <si>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</si>
  <si>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</si>
  <si>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</si>
  <si>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</si>
  <si>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</si>
  <si>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</si>
  <si>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</si>
  <si>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</si>
  <si>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</si>
  <si>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</si>
  <si>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</si>
  <si>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</si>
  <si>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</si>
  <si>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</si>
  <si>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</si>
  <si>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</si>
  <si>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</si>
  <si>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</si>
  <si>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</si>
  <si>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</si>
  <si>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</si>
  <si>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</si>
  <si>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</si>
  <si>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</si>
  <si>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</si>
  <si>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</si>
  <si>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</si>
  <si>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</si>
  <si>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</si>
  <si>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</si>
  <si>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</si>
  <si>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</si>
  <si>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</si>
  <si>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</si>
  <si>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</si>
  <si>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</si>
  <si>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</si>
  <si>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</si>
  <si>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</si>
  <si>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</si>
  <si>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</si>
  <si>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</si>
  <si>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</si>
  <si>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</si>
  <si>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</si>
  <si>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</si>
  <si>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</si>
  <si>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</si>
  <si>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</si>
  <si>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</si>
  <si>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</si>
  <si>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</si>
  <si>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</si>
  <si>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</si>
  <si>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</si>
  <si>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</si>
  <si>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</si>
  <si>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</si>
  <si>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</si>
  <si>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</si>
  <si>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</si>
  <si>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</si>
  <si>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</si>
  <si>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</si>
  <si>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</si>
  <si>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</si>
  <si>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</si>
  <si>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</si>
  <si>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</si>
  <si>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</si>
  <si>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</si>
  <si>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</si>
  <si>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</si>
  <si>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</si>
  <si>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</si>
  <si>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</si>
  <si>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</si>
  <si>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</si>
  <si>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</si>
  <si>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</si>
  <si>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</si>
  <si>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</si>
  <si>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</si>
  <si>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</si>
  <si>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</si>
  <si>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</si>
  <si>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</si>
  <si>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</si>
  <si>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</si>
  <si>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</si>
  <si>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</si>
  <si>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</si>
  <si>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</si>
  <si>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</si>
  <si>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</si>
  <si>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</si>
  <si>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</si>
  <si>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</si>
  <si>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</si>
  <si>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</si>
  <si>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</si>
  <si>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</si>
  <si>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</si>
  <si>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</si>
  <si>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</si>
  <si>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</si>
  <si>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</si>
  <si>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</si>
  <si>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</si>
  <si>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</si>
  <si>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</si>
  <si>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</si>
  <si>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</si>
  <si>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</si>
  <si>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</si>
  <si>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</si>
  <si>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</si>
  <si>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</si>
  <si>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</si>
  <si>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</si>
  <si>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</si>
  <si>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</si>
  <si>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</si>
  <si>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</si>
  <si>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</si>
  <si>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</si>
  <si>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</si>
  <si>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</si>
  <si>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</si>
  <si>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</si>
  <si>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</si>
  <si>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</si>
  <si>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</si>
  <si>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</si>
  <si>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</si>
  <si>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</si>
  <si>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</si>
  <si>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</si>
  <si>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</si>
  <si>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</si>
  <si>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</si>
  <si>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</si>
  <si>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</si>
  <si>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</si>
  <si>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</si>
  <si>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</si>
  <si>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</si>
  <si>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</si>
  <si>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</si>
  <si>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</si>
  <si>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</si>
  <si>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</si>
  <si>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</si>
  <si>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</si>
  <si>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</si>
  <si>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</si>
  <si>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</si>
  <si>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</si>
  <si>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</si>
  <si>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</si>
  <si>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</si>
  <si>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</si>
  <si>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</si>
  <si>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</si>
  <si>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</si>
  <si>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</si>
  <si>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</si>
  <si>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</si>
  <si>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</si>
  <si>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</si>
  <si>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</si>
  <si>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</si>
  <si>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</si>
  <si>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</si>
  <si>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</si>
  <si>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</si>
  <si>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</si>
  <si>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</si>
  <si>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</si>
  <si>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</si>
  <si>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</si>
  <si>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</si>
  <si>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</si>
  <si>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</si>
  <si>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</si>
  <si>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</si>
  <si>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</si>
  <si>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</si>
  <si>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</si>
  <si>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</si>
  <si>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</si>
  <si>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</si>
  <si>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</si>
  <si>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</si>
  <si>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</si>
  <si>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</si>
  <si>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</si>
  <si>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</si>
  <si>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</si>
  <si>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</si>
  <si>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</si>
  <si>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</si>
  <si>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</si>
  <si>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</si>
  <si>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</si>
  <si>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</si>
  <si>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</si>
  <si>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</si>
  <si>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</si>
  <si>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</si>
  <si>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</si>
  <si>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</si>
  <si>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</si>
  <si>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</si>
  <si>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</si>
  <si>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</si>
  <si>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</si>
  <si>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</si>
  <si>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</si>
  <si>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</si>
  <si>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</si>
  <si>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</si>
  <si>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</si>
  <si>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</si>
  <si>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</si>
  <si>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</si>
  <si>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</si>
  <si>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</si>
  <si>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</si>
  <si>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</si>
  <si>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</si>
  <si>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</si>
  <si>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</si>
  <si>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</si>
  <si>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</si>
  <si>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</si>
  <si>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</si>
  <si>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</si>
  <si>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</si>
  <si>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</si>
  <si>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</si>
  <si>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</si>
  <si>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</si>
  <si>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</si>
  <si>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</si>
  <si>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</si>
  <si>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</si>
  <si>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</si>
  <si>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</si>
  <si>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</si>
  <si>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</si>
  <si>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</si>
  <si>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</si>
  <si>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</si>
  <si>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</si>
  <si>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</si>
  <si>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</si>
  <si>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</si>
  <si>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</si>
  <si>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</si>
  <si>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</si>
  <si>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</si>
  <si>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</si>
  <si>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</si>
  <si>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</si>
  <si>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</si>
  <si>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</si>
  <si>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</si>
  <si>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</si>
  <si>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</si>
  <si>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</si>
  <si>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</si>
  <si>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</si>
  <si>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</si>
  <si>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</si>
  <si>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</si>
  <si>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</si>
  <si>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</si>
  <si>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</si>
  <si>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</si>
  <si>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</si>
  <si>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</si>
  <si>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</si>
  <si>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</si>
  <si>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</si>
  <si>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</si>
  <si>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</si>
  <si>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</si>
  <si>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</si>
  <si>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</si>
  <si>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</si>
  <si>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</si>
  <si>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</si>
  <si>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</si>
  <si>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</si>
  <si>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</si>
  <si>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</si>
  <si>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</si>
  <si>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</si>
  <si>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</si>
  <si>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</si>
  <si>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</si>
  <si>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</si>
  <si>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</si>
  <si>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</si>
  <si>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</si>
  <si>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</si>
  <si>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</si>
  <si>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</si>
  <si>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</si>
  <si>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</si>
  <si>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</si>
  <si>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</si>
  <si>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</si>
  <si>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</si>
  <si>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</si>
  <si>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</si>
  <si>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</si>
  <si>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</si>
  <si>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</si>
  <si>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</si>
  <si>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</si>
  <si>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</si>
  <si>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</si>
  <si>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</si>
  <si>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</si>
  <si>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</si>
  <si>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</si>
  <si>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</si>
  <si>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</si>
  <si>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</si>
  <si>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</si>
  <si>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</si>
  <si>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</si>
  <si>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</si>
  <si>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</si>
  <si>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</si>
  <si>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</si>
  <si>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</si>
  <si>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</si>
  <si>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</si>
  <si>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</si>
  <si>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</si>
  <si>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</si>
  <si>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</si>
  <si>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</si>
  <si>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</si>
  <si>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</si>
  <si>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</si>
  <si>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</si>
  <si>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</si>
  <si>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</si>
  <si>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</si>
  <si>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</si>
  <si>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</si>
  <si>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</si>
  <si>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</si>
  <si>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</si>
  <si>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</si>
  <si>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</si>
  <si>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</si>
  <si>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</si>
  <si>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</si>
  <si>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</si>
  <si>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</si>
  <si>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</si>
  <si>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</si>
  <si>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</si>
  <si>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</si>
  <si>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</si>
  <si>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</si>
  <si>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</si>
  <si>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</si>
  <si>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</si>
  <si>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</si>
  <si>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</si>
  <si>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</si>
  <si>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</si>
  <si>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</si>
  <si>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</si>
  <si>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</si>
  <si>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</si>
  <si>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</si>
  <si>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</si>
  <si>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</si>
  <si>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</si>
  <si>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</si>
  <si>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</si>
  <si>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</si>
  <si>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</si>
  <si>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</si>
  <si>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</si>
  <si>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</si>
  <si>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</si>
  <si>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</si>
  <si>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</si>
  <si>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</si>
  <si>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</si>
  <si>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</si>
  <si>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</si>
  <si>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</si>
  <si>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</si>
  <si>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</si>
  <si>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</si>
  <si>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</si>
  <si>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</si>
  <si>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</si>
  <si>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</si>
  <si>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</si>
  <si>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</si>
  <si>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</si>
  <si>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</si>
  <si>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</si>
  <si>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</si>
  <si>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</si>
  <si>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</si>
  <si>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</si>
  <si>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</si>
  <si>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</si>
  <si>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</si>
  <si>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</si>
  <si>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</si>
  <si>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</si>
  <si>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</si>
  <si>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</si>
  <si>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</si>
  <si>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</si>
  <si>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</si>
  <si>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</si>
  <si>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</si>
  <si>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</si>
  <si>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</si>
  <si>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</si>
  <si>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</si>
  <si>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</si>
  <si>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</si>
  <si>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</si>
  <si>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</si>
  <si>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</si>
  <si>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</si>
  <si>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</si>
  <si>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</si>
  <si>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</si>
  <si>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</si>
  <si>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</si>
  <si>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</si>
  <si>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</si>
  <si>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</si>
  <si>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</si>
  <si>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</si>
  <si>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</si>
  <si>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</si>
  <si>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</si>
  <si>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</si>
  <si>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</si>
  <si>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</si>
  <si>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</si>
  <si>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</si>
  <si>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</si>
  <si>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</si>
  <si>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</si>
  <si>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</si>
  <si>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</si>
  <si>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</si>
  <si>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</si>
  <si>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</si>
  <si>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</si>
  <si>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</si>
  <si>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</si>
  <si>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</si>
  <si>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</si>
  <si>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</si>
  <si>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</si>
  <si>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</si>
  <si>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</si>
  <si>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</si>
  <si>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</si>
  <si>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</si>
  <si>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</si>
  <si>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</si>
  <si>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</si>
  <si>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</si>
  <si>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</si>
  <si>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</si>
  <si>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</si>
  <si>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</si>
  <si>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</si>
  <si>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</si>
  <si>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</si>
  <si>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</si>
  <si>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</si>
  <si>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</si>
  <si>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</si>
  <si>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</si>
  <si>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</si>
  <si>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</si>
  <si>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</si>
  <si>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</si>
  <si>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</si>
  <si>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</si>
  <si>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</si>
  <si>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</si>
  <si>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</si>
  <si>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</si>
  <si>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</si>
  <si>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</si>
  <si>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</si>
  <si>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</si>
  <si>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</si>
  <si>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</si>
  <si>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</si>
  <si>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</si>
  <si>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</si>
  <si>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</si>
  <si>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</si>
  <si>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</si>
  <si>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</si>
  <si>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</si>
  <si>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</si>
  <si>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</si>
  <si>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</si>
  <si>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</si>
  <si>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</si>
  <si>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</si>
  <si>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</si>
  <si>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</si>
  <si>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</si>
  <si>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</si>
  <si>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</si>
  <si>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</si>
  <si>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</si>
  <si>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</si>
  <si>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</si>
  <si>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</si>
  <si>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</si>
  <si>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</si>
  <si>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</si>
  <si>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</si>
  <si>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</si>
  <si>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</si>
  <si>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</si>
  <si>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</si>
  <si>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</si>
  <si>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</si>
  <si>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</si>
  <si>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</si>
  <si>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</si>
  <si>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</si>
  <si>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</si>
  <si>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</si>
  <si>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</si>
  <si>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</si>
  <si>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</si>
  <si>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</si>
  <si>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</si>
  <si>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</si>
  <si>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</si>
  <si>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</si>
  <si>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</si>
  <si>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</si>
  <si>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</si>
  <si>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</si>
  <si>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</si>
  <si>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</si>
  <si>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</si>
  <si>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</si>
  <si>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</si>
  <si>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</si>
  <si>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</si>
  <si>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</si>
  <si>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</si>
  <si>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</si>
  <si>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</si>
  <si>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</si>
  <si>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</si>
  <si>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</si>
  <si>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</si>
  <si>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</si>
  <si>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</si>
  <si>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</si>
  <si>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</si>
  <si>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</si>
  <si>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</si>
  <si>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</si>
  <si>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</si>
  <si>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</si>
  <si>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</si>
  <si>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</si>
  <si>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</si>
  <si>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</si>
  <si>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</si>
  <si>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</si>
  <si>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</si>
  <si>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</si>
  <si>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</si>
  <si>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</si>
  <si>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</si>
  <si>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</si>
  <si>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</si>
  <si>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</si>
  <si>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</si>
  <si>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</si>
  <si>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</si>
  <si>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</si>
  <si>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</si>
  <si>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</si>
  <si>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</si>
  <si>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</si>
  <si>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</si>
  <si>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</si>
  <si>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</si>
  <si>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</si>
  <si>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</si>
  <si>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</si>
  <si>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</si>
  <si>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</si>
  <si>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</si>
  <si>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</si>
  <si>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</si>
  <si>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</si>
  <si>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</si>
  <si>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</si>
  <si>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</si>
  <si>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</si>
  <si>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</si>
  <si>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</si>
  <si>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</si>
  <si>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</si>
  <si>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</si>
  <si>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</si>
  <si>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</si>
  <si>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</si>
  <si>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</si>
  <si>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</si>
  <si>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</si>
  <si>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</si>
  <si>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</si>
  <si>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</si>
  <si>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</si>
  <si>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</si>
  <si>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</si>
  <si>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</si>
  <si>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</si>
  <si>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</si>
  <si>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</si>
  <si>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</si>
  <si>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</si>
  <si>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</si>
  <si>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</si>
  <si>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</si>
  <si>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</si>
  <si>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</si>
  <si>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</si>
  <si>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</si>
  <si>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</si>
  <si>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</si>
  <si>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</si>
  <si>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</si>
  <si>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</si>
  <si>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</si>
  <si>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</si>
  <si>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</si>
  <si>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</si>
  <si>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</si>
  <si>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</si>
  <si>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</si>
  <si>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</si>
  <si>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</si>
  <si>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</si>
  <si>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</si>
  <si>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</si>
  <si>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</si>
  <si>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</si>
  <si>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</si>
  <si>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</si>
  <si>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</si>
  <si>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</si>
  <si>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</si>
  <si>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</si>
  <si>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</si>
  <si>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</si>
  <si>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</si>
  <si>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</si>
  <si>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</si>
  <si>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</si>
  <si>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</si>
  <si>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</si>
  <si>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</si>
  <si>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</si>
  <si>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</si>
  <si>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</si>
  <si>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</si>
  <si>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</si>
  <si>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</si>
  <si>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</si>
  <si>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</si>
  <si>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</si>
  <si>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</si>
  <si>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</si>
  <si>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</si>
  <si>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</si>
  <si>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</si>
  <si>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</si>
  <si>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</si>
  <si>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</si>
  <si>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</si>
  <si>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</si>
  <si>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</si>
  <si>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</si>
  <si>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</si>
  <si>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</si>
  <si>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</si>
  <si>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</si>
  <si>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</si>
  <si>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</si>
  <si>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</si>
  <si>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</si>
  <si>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</si>
  <si>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</si>
  <si>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</si>
  <si>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</si>
  <si>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</si>
  <si>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</si>
  <si>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</si>
  <si>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</si>
  <si>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</si>
  <si>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</si>
  <si>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</si>
  <si>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</si>
  <si>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</si>
  <si>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</si>
  <si>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</si>
  <si>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</si>
  <si>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</si>
  <si>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</si>
  <si>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</si>
  <si>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</si>
  <si>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</si>
  <si>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</si>
  <si>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</si>
  <si>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</si>
  <si>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</si>
  <si>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</si>
  <si>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</si>
  <si>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</si>
  <si>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</si>
  <si>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</si>
  <si>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</si>
  <si>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</si>
  <si>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</si>
  <si>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</si>
  <si>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</si>
  <si>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</si>
  <si>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</si>
  <si>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</si>
  <si>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</si>
  <si>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</si>
  <si>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</si>
  <si>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</si>
  <si>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</si>
  <si>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</si>
  <si>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</si>
  <si>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</si>
  <si>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</si>
  <si>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</si>
  <si>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</si>
  <si>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</si>
  <si>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</si>
  <si>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</si>
  <si>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</si>
  <si>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</si>
  <si>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</si>
  <si>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</si>
  <si>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</si>
  <si>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</si>
  <si>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</si>
  <si>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</si>
  <si>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</si>
  <si>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</si>
  <si>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</si>
  <si>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</si>
  <si>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</si>
  <si>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</si>
  <si>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</si>
  <si>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</si>
  <si>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</si>
  <si>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</si>
  <si>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</si>
  <si>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</si>
  <si>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</si>
  <si>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</si>
  <si>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</si>
  <si>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</si>
  <si>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</si>
  <si>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</si>
  <si>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</si>
  <si>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</si>
  <si>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</si>
  <si>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</si>
  <si>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</si>
  <si>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</si>
  <si>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</si>
  <si>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</si>
  <si>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</si>
  <si>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</si>
  <si>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</si>
  <si>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</si>
  <si>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</si>
  <si>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</si>
  <si>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</si>
  <si>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</si>
  <si>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</si>
  <si>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</si>
  <si>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</si>
  <si>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</si>
  <si>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</si>
  <si>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</si>
  <si>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</si>
  <si>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</si>
  <si>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</si>
  <si>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</si>
  <si>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</si>
  <si>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</si>
  <si>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</si>
  <si>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</si>
  <si>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</si>
  <si>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</si>
  <si>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</si>
  <si>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</si>
  <si>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</si>
  <si>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</si>
  <si>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</si>
  <si>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</si>
  <si>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</si>
  <si>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</si>
  <si>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</si>
  <si>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</si>
  <si>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</si>
  <si>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</si>
  <si>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</si>
  <si>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</si>
  <si>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</si>
  <si>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</si>
  <si>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</si>
  <si>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</si>
  <si>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</si>
  <si>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</si>
  <si>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</si>
  <si>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</si>
  <si>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</si>
  <si>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</si>
  <si>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</si>
  <si>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</si>
  <si>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</si>
  <si>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</si>
  <si>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</si>
  <si>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</si>
  <si>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</si>
  <si>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</si>
  <si>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</si>
  <si>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</si>
  <si>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</si>
  <si>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</si>
  <si>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</si>
  <si>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</si>
  <si>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</si>
  <si>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</si>
  <si>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</si>
  <si>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</si>
  <si>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</si>
  <si>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</si>
  <si>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</si>
  <si>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</si>
  <si>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</si>
  <si>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</si>
  <si>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</si>
  <si>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</si>
  <si>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</si>
  <si>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</si>
  <si>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</si>
  <si>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</si>
  <si>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</si>
  <si>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</si>
  <si>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</si>
  <si>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</si>
  <si>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</si>
  <si>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</si>
  <si>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</si>
  <si>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</si>
  <si>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</si>
  <si>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</si>
  <si>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</si>
  <si>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</si>
  <si>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</si>
  <si>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</si>
  <si>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</si>
  <si>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</si>
  <si>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</si>
  <si>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</si>
  <si>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</si>
  <si>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</si>
  <si>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</si>
  <si>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</si>
  <si>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</si>
  <si>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</si>
  <si>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</si>
  <si>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</si>
  <si>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</si>
  <si>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</si>
  <si>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</si>
  <si>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</si>
  <si>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</si>
  <si>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</si>
  <si>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</si>
  <si>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</si>
  <si>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</si>
  <si>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</si>
  <si>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</si>
  <si>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</si>
  <si>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</si>
  <si>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</si>
  <si>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</si>
  <si>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</si>
  <si>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</si>
  <si>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</si>
  <si>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</si>
  <si>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</si>
  <si>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</si>
  <si>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</si>
  <si>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</si>
  <si>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</si>
  <si>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</si>
  <si>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</si>
  <si>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</si>
  <si>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</si>
  <si>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</si>
  <si>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</si>
  <si>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</si>
  <si>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</si>
  <si>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</si>
  <si>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</si>
  <si>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</si>
  <si>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</si>
  <si>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</si>
  <si>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</si>
  <si>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</si>
  <si>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</si>
  <si>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</si>
  <si>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</si>
  <si>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</si>
  <si>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</si>
  <si>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</si>
  <si>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</si>
  <si>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</si>
  <si>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</si>
  <si>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</si>
  <si>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</si>
  <si>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</si>
  <si>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</si>
  <si>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</si>
  <si>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</si>
  <si>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</si>
  <si>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</si>
  <si>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</si>
  <si>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</si>
  <si>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</si>
  <si>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</si>
  <si>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</si>
  <si>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</si>
  <si>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</si>
  <si>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</si>
  <si>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</si>
  <si>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</si>
  <si>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</si>
  <si>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</si>
  <si>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</si>
  <si>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</si>
  <si>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</si>
  <si>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</si>
  <si>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</si>
  <si>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</si>
  <si>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</si>
  <si>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</si>
  <si>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</si>
  <si>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</si>
  <si>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</si>
  <si>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</si>
  <si>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</si>
  <si>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</si>
  <si>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</si>
  <si>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</si>
  <si>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</si>
  <si>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</si>
  <si>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</si>
  <si>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</si>
  <si>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</si>
  <si>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</si>
  <si>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</si>
  <si>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</si>
  <si>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</si>
  <si>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</si>
  <si>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</si>
  <si>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</si>
  <si>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</si>
  <si>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</si>
  <si>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</si>
  <si>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</si>
  <si>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</si>
  <si>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</si>
  <si>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</si>
  <si>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</si>
  <si>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</si>
  <si>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</si>
  <si>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</si>
  <si>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</si>
  <si>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</si>
  <si>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</si>
  <si>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</si>
  <si>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</si>
  <si>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</si>
  <si>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</si>
  <si>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</si>
  <si>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</si>
  <si>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</si>
  <si>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</si>
  <si>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</si>
  <si>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</si>
  <si>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</si>
  <si>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</si>
  <si>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</si>
  <si>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</si>
  <si>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</si>
  <si>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</si>
  <si>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</si>
  <si>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</si>
  <si>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</si>
  <si>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</si>
  <si>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</si>
  <si>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</si>
  <si>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</si>
  <si>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</si>
  <si>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</si>
  <si>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</si>
  <si>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</si>
  <si>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</si>
  <si>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</si>
  <si>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</si>
  <si>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</si>
  <si>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</si>
  <si>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</si>
  <si>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</si>
  <si>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</si>
  <si>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</si>
  <si>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</si>
  <si>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</si>
  <si>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</si>
  <si>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</si>
  <si>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</si>
  <si>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</si>
  <si>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</si>
  <si>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</si>
  <si>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</si>
  <si>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</si>
  <si>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</si>
  <si>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</si>
  <si>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</si>
  <si>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</si>
  <si>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</si>
  <si>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</si>
  <si>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</si>
  <si>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</si>
  <si>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</si>
  <si>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</si>
  <si>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</si>
  <si>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</si>
  <si>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</si>
  <si>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</si>
  <si>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</si>
  <si>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</si>
  <si>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</si>
  <si>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</si>
  <si>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</si>
  <si>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</si>
  <si>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</si>
  <si>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</si>
  <si>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</si>
  <si>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</si>
  <si>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</si>
  <si>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</si>
  <si>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</si>
  <si>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</si>
  <si>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</si>
  <si>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</si>
  <si>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</si>
  <si>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</si>
  <si>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</si>
  <si>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</si>
  <si>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</si>
  <si>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</si>
  <si>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</si>
  <si>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</si>
  <si>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</si>
  <si>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</si>
  <si>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</si>
  <si>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</si>
  <si>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</si>
  <si>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</si>
  <si>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</si>
  <si>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</si>
  <si>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</si>
  <si>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</si>
  <si>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</si>
  <si>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</si>
  <si>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</si>
  <si>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</si>
  <si>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</si>
  <si>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</si>
  <si>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</si>
  <si>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</si>
  <si>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</si>
  <si>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</si>
  <si>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</si>
  <si>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</si>
  <si>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</si>
  <si>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</si>
  <si>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</si>
  <si>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</si>
  <si>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</si>
  <si>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</si>
  <si>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</si>
  <si>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</si>
  <si>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</si>
  <si>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</si>
  <si>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</si>
  <si>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</si>
  <si>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</si>
  <si>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</si>
  <si>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</si>
  <si>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</si>
  <si>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</si>
  <si>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</si>
  <si>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</si>
  <si>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</si>
  <si>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</si>
  <si>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</si>
  <si>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</si>
  <si>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</si>
  <si>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</si>
  <si>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</si>
  <si>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</si>
  <si>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</si>
  <si>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</si>
  <si>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</si>
  <si>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</si>
  <si>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</si>
  <si>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</si>
  <si>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</si>
  <si>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</si>
  <si>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</si>
  <si>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</si>
  <si>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</si>
  <si>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</si>
  <si>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</si>
  <si>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</si>
  <si>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</si>
  <si>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</si>
  <si>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</si>
  <si>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</si>
  <si>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</si>
  <si>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</si>
  <si>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</si>
  <si>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</si>
  <si>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</si>
  <si>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</si>
  <si>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</si>
  <si>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</si>
  <si>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</si>
  <si>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</si>
  <si>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</si>
  <si>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</si>
  <si>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</si>
  <si>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</si>
  <si>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</si>
  <si>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</si>
  <si>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</si>
  <si>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</si>
  <si>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</si>
  <si>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</si>
  <si>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</si>
  <si>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</si>
  <si>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</si>
  <si>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</si>
  <si>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</si>
  <si>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</si>
  <si>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</si>
  <si>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</si>
  <si>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</si>
  <si>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</si>
  <si>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</si>
  <si>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</si>
  <si>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</si>
  <si>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</si>
  <si>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</si>
  <si>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</si>
  <si>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</si>
  <si>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</si>
  <si>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</si>
  <si>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</si>
  <si>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</si>
  <si>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</si>
  <si>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</si>
  <si>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</si>
  <si>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</si>
  <si>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</si>
  <si>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</si>
  <si>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</si>
  <si>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</si>
  <si>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</si>
  <si>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</si>
  <si>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</si>
  <si>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</si>
  <si>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</si>
  <si>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</si>
  <si>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</si>
  <si>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</si>
  <si>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</si>
  <si>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</si>
  <si>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</si>
  <si>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</si>
  <si>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</si>
  <si>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</si>
  <si>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</si>
  <si>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</si>
  <si>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</si>
  <si>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</si>
  <si>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</si>
  <si>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</si>
  <si>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</si>
  <si>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</si>
  <si>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</si>
  <si>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</si>
  <si>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</si>
  <si>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</si>
  <si>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</si>
  <si>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</si>
  <si>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</si>
  <si>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</si>
  <si>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</si>
  <si>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</si>
  <si>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</si>
  <si>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</si>
  <si>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</si>
  <si>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</si>
  <si>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</si>
  <si>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</si>
  <si>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</si>
  <si>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</si>
  <si>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</si>
  <si>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</si>
  <si>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</si>
  <si>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</si>
  <si>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</si>
  <si>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</si>
  <si>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</si>
  <si>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</si>
  <si>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</si>
  <si>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</si>
  <si>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</si>
  <si>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</si>
  <si>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</si>
  <si>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</si>
  <si>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</si>
  <si>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</si>
  <si>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</si>
  <si>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</si>
  <si>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</si>
  <si>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</si>
  <si>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</si>
  <si>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</si>
  <si>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</si>
  <si>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</si>
  <si>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</si>
  <si>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</si>
  <si>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</si>
  <si>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</si>
  <si>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</si>
  <si>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</si>
  <si>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</si>
  <si>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</si>
  <si>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</si>
  <si>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</si>
  <si>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</si>
  <si>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</si>
  <si>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</si>
  <si>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</si>
  <si>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</si>
  <si>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</si>
  <si>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</si>
  <si>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</si>
  <si>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</si>
  <si>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</si>
  <si>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</si>
  <si>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</si>
  <si>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</si>
  <si>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</si>
  <si>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</si>
  <si>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</si>
  <si>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</si>
  <si>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</si>
  <si>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</si>
  <si>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</si>
  <si>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</si>
  <si>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</si>
  <si>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</si>
  <si>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</si>
  <si>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</si>
  <si>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</si>
  <si>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</si>
  <si>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</si>
  <si>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</si>
  <si>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</si>
  <si>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</si>
  <si>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</si>
  <si>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</si>
  <si>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</si>
  <si>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</si>
  <si>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</si>
  <si>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</si>
  <si>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</si>
  <si>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</si>
  <si>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</si>
  <si>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</si>
  <si>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</si>
  <si>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</si>
  <si>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</si>
  <si>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</si>
  <si>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</si>
  <si>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</si>
  <si>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</si>
  <si>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</si>
  <si>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</si>
  <si>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</si>
  <si>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</si>
  <si>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</si>
  <si>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</si>
  <si>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</si>
  <si>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</si>
  <si>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</si>
  <si>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</si>
  <si>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</si>
  <si>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</si>
  <si>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</si>
  <si>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</si>
  <si>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</si>
  <si>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</si>
  <si>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</si>
  <si>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</si>
  <si>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</si>
  <si>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</si>
  <si>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</si>
  <si>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</si>
  <si>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</si>
  <si>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</si>
  <si>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</si>
  <si>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</si>
  <si>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</si>
  <si>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</si>
  <si>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</si>
  <si>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</si>
  <si>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</si>
  <si>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</si>
  <si>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</si>
  <si>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</si>
  <si>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</si>
  <si>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</si>
  <si>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</si>
  <si>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</si>
  <si>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</si>
  <si>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</si>
  <si>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</si>
  <si>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</si>
  <si>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</si>
  <si>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</si>
  <si>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</si>
  <si>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</si>
  <si>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</si>
  <si>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</si>
  <si>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</si>
  <si>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</si>
  <si>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</si>
  <si>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</si>
  <si>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</si>
  <si>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</si>
  <si>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</si>
  <si>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</si>
  <si>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</si>
  <si>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</si>
  <si>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</si>
  <si>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</si>
  <si>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</si>
  <si>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</si>
  <si>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</si>
  <si>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</si>
  <si>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</si>
  <si>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</si>
  <si>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</si>
  <si>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</si>
  <si>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</si>
  <si>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</si>
  <si>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</si>
  <si>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</si>
  <si>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</si>
  <si>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</si>
  <si>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</si>
  <si>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</si>
  <si>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</si>
  <si>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</si>
  <si>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</si>
  <si>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</si>
  <si>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</si>
  <si>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</si>
  <si>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</si>
  <si>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</si>
  <si>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</si>
  <si>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</si>
  <si>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</si>
  <si>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</si>
  <si>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</si>
  <si>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</si>
  <si>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</si>
  <si>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</si>
  <si>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</si>
  <si>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</si>
  <si>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</si>
  <si>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</si>
  <si>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</si>
  <si>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</si>
  <si>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</si>
  <si>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</si>
  <si>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</si>
  <si>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</si>
  <si>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</si>
  <si>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</si>
  <si>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</si>
  <si>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</si>
  <si>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</si>
  <si>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</si>
  <si>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</si>
  <si>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</si>
  <si>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</si>
  <si>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</si>
  <si>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</si>
  <si>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</si>
  <si>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</si>
  <si>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</si>
  <si>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</si>
  <si>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</si>
  <si>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</si>
  <si>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</si>
  <si>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</si>
  <si>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</si>
  <si>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</si>
  <si>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</si>
  <si>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</si>
  <si>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</si>
  <si>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</si>
  <si>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</si>
  <si>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</si>
  <si>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</si>
  <si>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</si>
  <si>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</si>
  <si>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</si>
  <si>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</si>
  <si>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</si>
  <si>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</si>
  <si>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</si>
  <si>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</si>
  <si>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</si>
  <si>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</si>
  <si>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</si>
  <si>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</si>
  <si>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</si>
  <si>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</si>
  <si>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</si>
  <si>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</si>
  <si>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</si>
  <si>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</si>
  <si>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</si>
  <si>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</si>
  <si>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</si>
  <si>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</si>
  <si>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</si>
  <si>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</si>
  <si>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</si>
  <si>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</si>
  <si>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</si>
  <si>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</si>
  <si>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</si>
  <si>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</si>
  <si>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</si>
  <si>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</si>
  <si>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</si>
  <si>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</si>
  <si>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</si>
  <si>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</si>
  <si>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</si>
  <si>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</si>
  <si>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</si>
  <si>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</si>
  <si>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</si>
  <si>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</si>
  <si>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</si>
  <si>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</si>
  <si>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</si>
  <si>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</si>
  <si>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</si>
  <si>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</si>
  <si>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</si>
  <si>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</si>
  <si>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</si>
  <si>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</si>
  <si>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</si>
  <si>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</si>
  <si>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</si>
  <si>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</si>
  <si>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</si>
  <si>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</si>
  <si>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</si>
  <si>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</si>
  <si>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</si>
  <si>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</si>
  <si>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</si>
  <si>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</si>
  <si>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</si>
  <si>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</si>
  <si>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</si>
  <si>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</si>
  <si>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</si>
  <si>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</si>
  <si>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</si>
  <si>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</si>
  <si>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</si>
  <si>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</si>
  <si>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</si>
  <si>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</si>
  <si>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</si>
  <si>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</si>
  <si>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</si>
  <si>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</si>
  <si>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</si>
  <si>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</si>
  <si>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</si>
  <si>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</si>
  <si>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</si>
  <si>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</si>
  <si>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</si>
  <si>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</si>
  <si>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</si>
  <si>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</si>
  <si>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</si>
  <si>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</si>
  <si>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</si>
  <si>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</si>
  <si>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</si>
  <si>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</si>
  <si>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</si>
  <si>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</si>
  <si>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</si>
  <si>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</si>
  <si>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</si>
  <si>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</si>
  <si>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</si>
  <si>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</si>
  <si>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</si>
  <si>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</si>
  <si>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</si>
  <si>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</si>
  <si>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</si>
  <si>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</si>
  <si>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</si>
  <si>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</si>
  <si>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</si>
  <si>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</si>
  <si>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</si>
  <si>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</si>
  <si>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</si>
  <si>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</si>
  <si>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</si>
  <si>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</si>
  <si>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</si>
  <si>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</si>
  <si>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</si>
  <si>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</si>
  <si>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</si>
  <si>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</si>
  <si>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</si>
  <si>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</si>
  <si>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</si>
  <si>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</si>
  <si>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</si>
  <si>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</si>
  <si>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</si>
  <si>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</si>
  <si>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</si>
  <si>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</si>
  <si>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</si>
  <si>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</si>
  <si>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</si>
  <si>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</si>
  <si>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</si>
  <si>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</si>
  <si>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</si>
  <si>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</si>
  <si>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</si>
  <si>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</si>
  <si>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</si>
  <si>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</si>
  <si>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</si>
  <si>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</si>
  <si>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</si>
  <si>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</si>
  <si>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</si>
  <si>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</si>
  <si>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</si>
  <si>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</si>
  <si>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</si>
  <si>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</si>
  <si>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</si>
  <si>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</si>
  <si>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</si>
  <si>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</si>
  <si>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</si>
  <si>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</si>
  <si>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</si>
  <si>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</si>
  <si>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</si>
  <si>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</si>
  <si>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</si>
  <si>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</si>
  <si>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</si>
  <si>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</si>
  <si>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</si>
  <si>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</si>
  <si>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</si>
  <si>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</si>
  <si>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</si>
  <si>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</si>
  <si>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</si>
  <si>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</si>
  <si>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</si>
  <si>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</si>
  <si>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</si>
  <si>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</si>
  <si>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</si>
  <si>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</si>
  <si>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</si>
  <si>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</si>
  <si>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</si>
  <si>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</si>
  <si>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</si>
  <si>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</si>
  <si>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</si>
  <si>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</si>
  <si>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</si>
  <si>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</si>
  <si>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</si>
  <si>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</si>
  <si>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</si>
  <si>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</si>
  <si>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</si>
  <si>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</si>
  <si>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</si>
  <si>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</si>
  <si>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</si>
  <si>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</si>
  <si>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</si>
  <si>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</si>
  <si>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</si>
  <si>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</si>
  <si>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</si>
  <si>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</si>
  <si>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</si>
  <si>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</si>
  <si>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</si>
  <si>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</si>
  <si>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</si>
  <si>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</si>
  <si>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</si>
  <si>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</si>
  <si>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</si>
  <si>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</si>
  <si>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</si>
  <si>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</si>
  <si>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</si>
  <si>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</si>
  <si>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</si>
  <si>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</si>
  <si>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</si>
  <si>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</si>
  <si>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</si>
  <si>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</si>
  <si>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</si>
  <si>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</si>
  <si>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</si>
  <si>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</si>
  <si>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</si>
  <si>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</si>
  <si>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</si>
  <si>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</si>
  <si>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</si>
  <si>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</si>
  <si>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</si>
  <si>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</si>
  <si>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</si>
  <si>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</si>
  <si>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</si>
  <si>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</si>
  <si>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</si>
  <si>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</si>
  <si>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</si>
  <si>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</si>
  <si>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</si>
  <si>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</si>
  <si>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</si>
  <si>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</si>
  <si>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</si>
  <si>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</si>
  <si>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</si>
  <si>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</si>
  <si>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</si>
  <si>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</si>
  <si>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</si>
  <si>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</si>
  <si>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</si>
  <si>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</si>
  <si>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</si>
  <si>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</si>
  <si>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</si>
  <si>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</si>
  <si>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</si>
  <si>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</si>
  <si>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</si>
  <si>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</si>
  <si>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</si>
  <si>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</si>
  <si>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</si>
  <si>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</si>
  <si>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</si>
  <si>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</si>
  <si>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</si>
  <si>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</si>
  <si>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</si>
  <si>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</si>
  <si>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</si>
  <si>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</si>
  <si>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</si>
  <si>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</si>
  <si>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</si>
  <si>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</si>
  <si>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</si>
  <si>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</si>
  <si>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</si>
  <si>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</si>
  <si>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</si>
  <si>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</si>
  <si>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</si>
  <si>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</si>
  <si>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</si>
  <si>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</si>
  <si>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</si>
  <si>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</si>
  <si>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</si>
  <si>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</si>
  <si>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</si>
  <si>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</si>
  <si>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</si>
  <si>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</si>
  <si>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</si>
  <si>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</si>
  <si>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</si>
  <si>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</si>
  <si>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</si>
  <si>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</si>
  <si>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</si>
  <si>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</si>
  <si>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</si>
  <si>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</si>
  <si>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</si>
  <si>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</si>
  <si>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</si>
  <si>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</si>
  <si>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</si>
  <si>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</si>
  <si>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</si>
  <si>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</si>
  <si>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</si>
  <si>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</si>
  <si>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</si>
  <si>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</si>
  <si>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</si>
  <si>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</si>
  <si>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</si>
  <si>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</si>
  <si>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</si>
  <si>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</si>
  <si>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</si>
  <si>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</si>
  <si>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</si>
  <si>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</si>
  <si>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</si>
  <si>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</si>
  <si>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</si>
  <si>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</si>
  <si>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</si>
  <si>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</si>
  <si>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</si>
  <si>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</si>
  <si>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</si>
  <si>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</si>
  <si>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</si>
  <si>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</si>
  <si>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</si>
  <si>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</si>
  <si>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</si>
  <si>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</si>
  <si>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</si>
  <si>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</si>
  <si>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</si>
  <si>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</si>
  <si>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</si>
  <si>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</si>
  <si>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</si>
  <si>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</si>
  <si>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</si>
  <si>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</si>
  <si>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</si>
  <si>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</si>
  <si>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</si>
  <si>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</si>
  <si>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</si>
  <si>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</si>
  <si>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</si>
  <si>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</si>
  <si>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</si>
  <si>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</si>
  <si>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</si>
  <si>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</si>
  <si>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</si>
  <si>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</si>
  <si>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</si>
  <si>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</si>
  <si>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</si>
  <si>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</si>
  <si>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</si>
  <si>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</si>
  <si>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</si>
  <si>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</si>
  <si>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</si>
  <si>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</si>
  <si>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</si>
  <si>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</si>
  <si>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</si>
  <si>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</si>
  <si>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</si>
  <si>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</si>
  <si>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</si>
  <si>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</si>
  <si>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</si>
  <si>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</si>
  <si>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</si>
  <si>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</si>
  <si>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</si>
  <si>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</si>
  <si>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</si>
  <si>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</si>
  <si>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</si>
  <si>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</si>
  <si>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</si>
  <si>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</si>
  <si>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</si>
  <si>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</si>
  <si>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</si>
  <si>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</si>
  <si>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</si>
  <si>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</si>
  <si>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</si>
  <si>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</si>
  <si>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</si>
  <si>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</si>
  <si>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</si>
  <si>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</si>
  <si>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</si>
  <si>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</si>
  <si>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</si>
  <si>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</si>
  <si>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</si>
  <si>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</si>
  <si>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</si>
  <si>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</si>
  <si>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</si>
  <si>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</si>
  <si>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</si>
  <si>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</si>
  <si>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</si>
  <si>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</si>
  <si>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</si>
  <si>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</si>
  <si>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</si>
  <si>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</si>
  <si>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</si>
  <si>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</si>
  <si>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</si>
  <si>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</si>
  <si>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</si>
  <si>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</si>
  <si>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</si>
  <si>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</si>
  <si>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</si>
  <si>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</si>
  <si>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</si>
  <si>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</si>
  <si>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</si>
  <si>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</si>
  <si>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</si>
  <si>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</si>
  <si>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</si>
  <si>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</si>
  <si>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</si>
  <si>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</si>
  <si>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</si>
  <si>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</si>
  <si>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</si>
  <si>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</si>
  <si>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</si>
  <si>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</si>
  <si>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</si>
  <si>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</si>
  <si>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</si>
  <si>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</si>
  <si>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</si>
  <si>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</si>
  <si>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</si>
  <si>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</si>
  <si>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</si>
  <si>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</si>
  <si>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</si>
  <si>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</si>
  <si>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</si>
  <si>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</si>
  <si>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</si>
  <si>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</si>
  <si>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</si>
  <si>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</si>
  <si>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</si>
  <si>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</si>
  <si>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</si>
  <si>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</si>
  <si>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</si>
  <si>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</si>
  <si>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</si>
  <si>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</si>
  <si>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</si>
  <si>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</si>
  <si>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</si>
  <si>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</si>
  <si>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</si>
  <si>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</si>
  <si>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</si>
  <si>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</si>
  <si>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</si>
  <si>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</si>
  <si>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</si>
  <si>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</si>
  <si>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</si>
  <si>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</si>
  <si>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</si>
  <si>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</si>
  <si>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</si>
  <si>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</si>
  <si>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</si>
  <si>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</si>
  <si>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</si>
  <si>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</si>
  <si>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</si>
  <si>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</si>
  <si>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</si>
  <si>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</si>
  <si>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</si>
  <si>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</si>
  <si>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</si>
  <si>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</si>
  <si>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</si>
  <si>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</si>
  <si>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</si>
  <si>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</si>
  <si>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</si>
  <si>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</si>
  <si>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</si>
  <si>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</si>
  <si>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</si>
  <si>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</si>
  <si>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</si>
  <si>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</si>
  <si>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</si>
  <si>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</si>
  <si>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</si>
  <si>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</si>
  <si>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</si>
  <si>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</si>
  <si>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</si>
  <si>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</si>
  <si>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</si>
  <si>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</si>
  <si>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</si>
  <si>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</si>
  <si>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</si>
  <si>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</si>
  <si>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</si>
  <si>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</si>
  <si>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</si>
  <si>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</si>
  <si>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</si>
  <si>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</si>
  <si>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</si>
  <si>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</si>
  <si>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</si>
  <si>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</si>
  <si>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</si>
  <si>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</si>
  <si>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</si>
  <si>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</si>
  <si>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</si>
  <si>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</si>
  <si>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</si>
  <si>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</si>
  <si>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</si>
  <si>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</si>
  <si>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</si>
  <si>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</si>
  <si>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</si>
  <si>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</si>
  <si>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</si>
  <si>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</si>
  <si>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</si>
  <si>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</si>
  <si>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</si>
  <si>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</si>
  <si>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</si>
  <si>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</si>
  <si>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</si>
  <si>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</si>
  <si>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</si>
  <si>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</si>
  <si>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</si>
  <si>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</si>
  <si>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</si>
  <si>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</si>
  <si>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</si>
  <si>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</si>
  <si>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</si>
  <si>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</si>
  <si>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</si>
  <si>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</si>
  <si>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</si>
  <si>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</si>
  <si>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</si>
  <si>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</si>
  <si>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</si>
  <si>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</si>
  <si>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</si>
  <si>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</si>
  <si>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</si>
  <si>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</si>
  <si>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</si>
  <si>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</si>
  <si>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</si>
  <si>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</si>
  <si>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</si>
  <si>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</si>
  <si>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</si>
  <si>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</si>
  <si>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</si>
  <si>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</si>
  <si>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</si>
  <si>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</si>
  <si>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</si>
  <si>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</si>
  <si>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</si>
  <si>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</si>
  <si>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</si>
  <si>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</si>
  <si>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</si>
  <si>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</si>
  <si>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</si>
  <si>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</si>
  <si>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</si>
  <si>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</si>
  <si>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</si>
  <si>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</si>
  <si>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</si>
  <si>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</si>
  <si>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</si>
  <si>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</si>
  <si>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</si>
  <si>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</si>
  <si>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</si>
  <si>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</si>
  <si>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</si>
  <si>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</si>
  <si>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</si>
  <si>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</si>
  <si>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</si>
  <si>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</si>
  <si>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</si>
  <si>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</si>
  <si>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</si>
  <si>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</si>
  <si>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</si>
  <si>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</si>
  <si>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</si>
  <si>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</si>
  <si>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</si>
  <si>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</si>
  <si>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</si>
  <si>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</si>
  <si>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</si>
  <si>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</si>
  <si>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</si>
  <si>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</si>
  <si>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</si>
  <si>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</si>
  <si>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</si>
  <si>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</si>
  <si>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</si>
  <si>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</si>
  <si>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</si>
  <si>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</si>
  <si>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</si>
  <si>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</si>
  <si>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</si>
  <si>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</si>
  <si>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</si>
  <si>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</si>
  <si>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</si>
  <si>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</si>
  <si>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</si>
  <si>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</si>
  <si>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</si>
  <si>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</si>
  <si>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</si>
  <si>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</si>
  <si>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</si>
  <si>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</si>
  <si>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</si>
  <si>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</si>
  <si>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</si>
  <si>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</si>
  <si>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</si>
  <si>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</si>
  <si>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</si>
  <si>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</si>
  <si>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</si>
  <si>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</si>
  <si>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</si>
  <si>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</si>
  <si>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</si>
  <si>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</si>
  <si>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</si>
  <si>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</si>
  <si>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</si>
  <si>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</si>
  <si>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</si>
  <si>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</si>
  <si>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</si>
  <si>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</si>
  <si>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</si>
  <si>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</si>
  <si>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</si>
  <si>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</si>
  <si>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</si>
  <si>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</si>
  <si>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</si>
  <si>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</si>
  <si>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</si>
  <si>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</si>
  <si>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</si>
  <si>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</si>
  <si>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</si>
  <si>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</si>
  <si>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</si>
  <si>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</si>
  <si>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</si>
  <si>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</si>
  <si>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</si>
  <si>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</si>
  <si>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</si>
  <si>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</si>
  <si>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</si>
  <si>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</si>
  <si>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</si>
  <si>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</si>
  <si>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</si>
  <si>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</si>
  <si>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</si>
  <si>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</si>
  <si>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</si>
  <si>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</si>
  <si>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</si>
  <si>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</si>
  <si>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</si>
  <si>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</si>
  <si>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</si>
  <si>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</si>
  <si>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</si>
  <si>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</si>
  <si>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</si>
  <si>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</si>
  <si>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</si>
  <si>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</si>
  <si>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</si>
  <si>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</si>
  <si>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</si>
  <si>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</si>
  <si>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</si>
  <si>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</si>
  <si>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</si>
  <si>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</si>
  <si>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</si>
  <si>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</si>
  <si>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</si>
  <si>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</si>
  <si>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</si>
  <si>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</si>
  <si>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</si>
  <si>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</si>
  <si>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</si>
  <si>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</si>
  <si>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</si>
  <si>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</si>
  <si>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</si>
  <si>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</si>
  <si>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</si>
  <si>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</si>
  <si>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</si>
  <si>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</si>
  <si>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</si>
  <si>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</si>
  <si>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</si>
  <si>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</si>
  <si>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</si>
  <si>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</si>
  <si>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</si>
  <si>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</si>
  <si>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</si>
  <si>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</si>
  <si>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</si>
  <si>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</si>
  <si>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</si>
  <si>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</si>
  <si>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</si>
  <si>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</si>
  <si>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</si>
  <si>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</si>
  <si>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</si>
  <si>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</si>
  <si>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</si>
  <si>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</si>
  <si>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</si>
  <si>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</si>
  <si>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</si>
  <si>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</si>
  <si>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</si>
  <si>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</si>
  <si>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</si>
  <si>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</si>
  <si>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</si>
  <si>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</si>
  <si>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</si>
  <si>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</si>
  <si>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</si>
  <si>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</si>
  <si>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</si>
  <si>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</si>
  <si>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</si>
  <si>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</si>
  <si>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</si>
  <si>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</si>
  <si>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</si>
  <si>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</si>
  <si>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</si>
  <si>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</si>
  <si>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</si>
  <si>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</si>
  <si>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</si>
  <si>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</si>
  <si>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</si>
  <si>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</si>
  <si>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</si>
  <si>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</si>
  <si>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</si>
  <si>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</si>
  <si>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</si>
  <si>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</si>
  <si>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</si>
  <si>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</si>
  <si>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</si>
  <si>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</si>
  <si>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</si>
  <si>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</si>
  <si>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</si>
  <si>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</si>
  <si>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</si>
  <si>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</si>
  <si>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</si>
  <si>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</si>
  <si>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</si>
  <si>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</si>
  <si>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</si>
  <si>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</si>
  <si>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</si>
  <si>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</si>
  <si>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</si>
  <si>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</si>
  <si>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</si>
  <si>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</si>
  <si>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</si>
  <si>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</si>
  <si>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</si>
  <si>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</si>
  <si>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</si>
  <si>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</si>
  <si>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</si>
  <si>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</si>
  <si>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</si>
  <si>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</si>
  <si>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</si>
  <si>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</si>
  <si>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</si>
  <si>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</si>
  <si>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</si>
  <si>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</si>
  <si>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</si>
  <si>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</si>
  <si>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</si>
  <si>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</si>
  <si>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</si>
  <si>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</si>
  <si>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</si>
  <si>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</si>
  <si>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</si>
  <si>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</si>
  <si>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</si>
  <si>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</si>
  <si>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</si>
  <si>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</si>
  <si>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</si>
  <si>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</si>
  <si>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</si>
  <si>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</si>
  <si>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</si>
  <si>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</si>
  <si>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</si>
  <si>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</si>
  <si>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</si>
  <si>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</si>
  <si>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</si>
  <si>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</si>
  <si>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</si>
  <si>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</si>
  <si>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</si>
  <si>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</si>
  <si>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</si>
  <si>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</si>
  <si>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</si>
  <si>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</si>
  <si>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</si>
  <si>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</si>
  <si>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</si>
  <si>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</si>
  <si>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</si>
  <si>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</si>
  <si>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</si>
  <si>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</si>
  <si>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</si>
  <si>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</si>
  <si>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</si>
  <si>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</si>
  <si>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</si>
  <si>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</si>
  <si>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</si>
  <si>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</si>
  <si>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</si>
  <si>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</si>
  <si>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</si>
  <si>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</si>
  <si>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</si>
  <si>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</si>
  <si>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</si>
  <si>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</si>
  <si>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</si>
  <si>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</si>
  <si>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</si>
  <si>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</si>
  <si>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</si>
  <si>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</si>
  <si>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</si>
  <si>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</si>
  <si>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</si>
  <si>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</si>
  <si>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</si>
  <si>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</si>
  <si>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</si>
  <si>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</si>
  <si>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</si>
  <si>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</si>
  <si>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</si>
  <si>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</si>
  <si>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</si>
  <si>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</si>
  <si>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</si>
  <si>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</si>
  <si>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</si>
  <si>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</si>
  <si>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</si>
  <si>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</si>
  <si>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</si>
  <si>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</si>
  <si>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</si>
  <si>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</si>
  <si>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</si>
  <si>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</si>
  <si>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</si>
  <si>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</si>
  <si>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</si>
  <si>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</si>
  <si>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</si>
  <si>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</si>
  <si>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</si>
  <si>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</si>
  <si>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</si>
  <si>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</si>
  <si>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</si>
  <si>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</si>
  <si>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</si>
  <si>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</si>
  <si>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</si>
  <si>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</si>
  <si>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</si>
  <si>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</si>
  <si>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</si>
  <si>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</si>
  <si>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</si>
  <si>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</si>
  <si>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</si>
  <si>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</si>
  <si>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</si>
  <si>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</si>
  <si>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</si>
  <si>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</si>
  <si>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</si>
  <si>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</si>
  <si>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</si>
  <si>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</si>
  <si>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</si>
  <si>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</si>
  <si>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</si>
  <si>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</si>
  <si>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</si>
  <si>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</si>
  <si>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</si>
  <si>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</si>
  <si>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</si>
  <si>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</si>
  <si>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</si>
  <si>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</si>
  <si>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</si>
  <si>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</si>
  <si>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</si>
  <si>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</si>
  <si>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</si>
  <si>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</si>
  <si>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</si>
  <si>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</si>
  <si>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</si>
  <si>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</si>
  <si>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</si>
  <si>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</si>
  <si>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</si>
  <si>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</si>
  <si>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</si>
  <si>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</si>
  <si>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</si>
  <si>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</si>
  <si>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</si>
  <si>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</si>
  <si>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</si>
  <si>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</si>
  <si>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</si>
  <si>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</si>
  <si>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</si>
  <si>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</si>
  <si>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</si>
  <si>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</si>
  <si>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</si>
  <si>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</si>
  <si>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</si>
  <si>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</si>
  <si>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</si>
  <si>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</si>
  <si>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</si>
  <si>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</si>
  <si>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</si>
  <si>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</si>
  <si>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</si>
  <si>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</si>
  <si>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</si>
  <si>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</si>
  <si>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</si>
  <si>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</si>
  <si>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</si>
  <si>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</si>
  <si>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</si>
  <si>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</si>
  <si>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</si>
  <si>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</si>
  <si>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</si>
  <si>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</si>
  <si>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</si>
  <si>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</si>
  <si>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</si>
  <si>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</si>
  <si>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</si>
  <si>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</si>
  <si>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</si>
  <si>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</si>
  <si>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</si>
  <si>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</si>
  <si>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</si>
  <si>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</si>
  <si>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</si>
  <si>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</si>
  <si>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</si>
  <si>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</si>
  <si>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</si>
  <si>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</si>
  <si>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</si>
  <si>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</si>
  <si>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</si>
  <si>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</si>
  <si>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</si>
  <si>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</si>
  <si>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</si>
  <si>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</si>
  <si>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</si>
  <si>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</si>
  <si>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</si>
  <si>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</si>
  <si>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</si>
  <si>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</si>
  <si>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</si>
  <si>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</si>
  <si>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</si>
  <si>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</si>
  <si>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</si>
  <si>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</si>
  <si>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</si>
  <si>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</si>
  <si>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</si>
  <si>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</si>
  <si>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</si>
  <si>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</si>
  <si>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</si>
  <si>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</si>
  <si>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</si>
  <si>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</si>
  <si>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</si>
  <si>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</si>
  <si>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</si>
  <si>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</si>
  <si>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</si>
  <si>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</si>
  <si>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</si>
  <si>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</si>
  <si>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</si>
  <si>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</si>
  <si>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</si>
  <si>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</si>
  <si>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</si>
  <si>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</si>
  <si>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</si>
  <si>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</si>
  <si>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</si>
  <si>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</si>
  <si>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</si>
  <si>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</si>
  <si>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</si>
  <si>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</si>
  <si>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</si>
  <si>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</si>
  <si>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</si>
  <si>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</si>
  <si>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</si>
  <si>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</si>
  <si>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</si>
  <si>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</si>
  <si>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</si>
  <si>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</si>
  <si>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</si>
  <si>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</si>
  <si>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</si>
  <si>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</si>
  <si>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</si>
  <si>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</si>
  <si>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</si>
  <si>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</si>
  <si>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</si>
  <si>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</si>
  <si>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</si>
  <si>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</si>
  <si>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</si>
  <si>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</si>
  <si>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</si>
  <si>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</si>
  <si>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</si>
  <si>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</si>
  <si>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</si>
  <si>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</si>
  <si>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</si>
  <si>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</si>
  <si>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</si>
  <si>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</si>
  <si>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</si>
  <si>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</si>
  <si>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</si>
  <si>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</si>
  <si>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</si>
  <si>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</si>
  <si>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</si>
  <si>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</si>
  <si>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</si>
  <si>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</si>
  <si>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</si>
  <si>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</si>
  <si>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</si>
  <si>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</si>
  <si>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</si>
  <si>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</si>
  <si>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</si>
  <si>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</si>
  <si>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</si>
  <si>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</si>
  <si>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</si>
  <si>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</si>
  <si>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</si>
  <si>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</si>
  <si>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</si>
  <si>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</si>
  <si>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</si>
  <si>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</si>
  <si>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</si>
  <si>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</si>
  <si>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</si>
  <si>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</si>
  <si>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</si>
  <si>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</si>
  <si>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</si>
  <si>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</si>
  <si>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</si>
  <si>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</si>
  <si>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</si>
  <si>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</si>
  <si>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</si>
  <si>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</si>
  <si>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</si>
  <si>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</si>
  <si>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</si>
  <si>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</si>
  <si>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</si>
  <si>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</si>
  <si>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</si>
  <si>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</si>
  <si>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</si>
  <si>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</si>
  <si>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</si>
  <si>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</si>
  <si>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</si>
  <si>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</si>
  <si>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</si>
  <si>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</si>
  <si>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</si>
  <si>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</si>
  <si>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</si>
  <si>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</si>
  <si>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</si>
  <si>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</si>
  <si>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</si>
  <si>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</si>
  <si>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</si>
  <si>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</si>
  <si>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</si>
  <si>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</si>
  <si>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</si>
  <si>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</si>
  <si>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</si>
  <si>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</si>
  <si>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</si>
  <si>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</si>
  <si>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</si>
  <si>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</si>
  <si>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</si>
  <si>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</si>
  <si>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</si>
  <si>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</si>
  <si>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</si>
  <si>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</si>
  <si>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</si>
  <si>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</si>
  <si>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</si>
  <si>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</si>
  <si>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</si>
  <si>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</si>
  <si>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</si>
  <si>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</si>
  <si>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</si>
  <si>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</si>
  <si>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</si>
  <si>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</si>
  <si>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</si>
  <si>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</si>
  <si>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</si>
  <si>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</si>
  <si>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</si>
  <si>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</si>
  <si>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</si>
  <si>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</si>
  <si>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</si>
  <si>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</si>
  <si>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</si>
  <si>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</si>
  <si>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</si>
  <si>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</si>
  <si>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</si>
  <si>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</si>
  <si>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</si>
  <si>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</si>
  <si>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</si>
  <si>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</si>
  <si>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</si>
  <si>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</si>
  <si>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</si>
  <si>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</si>
  <si>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</si>
  <si>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</si>
  <si>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</si>
  <si>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</si>
  <si>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</si>
  <si>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</si>
  <si>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</si>
  <si>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</si>
  <si>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</si>
  <si>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</si>
  <si>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</si>
  <si>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</si>
  <si>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</si>
  <si>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</si>
  <si>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</si>
  <si>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</si>
  <si>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</si>
  <si>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</si>
  <si>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</si>
  <si>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</si>
  <si>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</si>
  <si>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</si>
  <si>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</si>
  <si>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</si>
  <si>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</si>
  <si>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</si>
  <si>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</si>
  <si>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</si>
  <si>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</si>
  <si>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</si>
  <si>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</si>
  <si>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</si>
  <si>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</si>
  <si>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</si>
  <si>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</si>
  <si>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</si>
  <si>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</si>
  <si>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</si>
  <si>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</si>
  <si>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</si>
  <si>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</si>
  <si>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</si>
  <si>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</si>
  <si>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</si>
  <si>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</si>
  <si>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</si>
  <si>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</si>
  <si>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</si>
  <si>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</si>
  <si>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</si>
  <si>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</si>
  <si>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</si>
  <si>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</si>
  <si>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</si>
  <si>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</si>
  <si>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</si>
  <si>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</si>
  <si>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</si>
  <si>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</si>
  <si>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</si>
  <si>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</si>
  <si>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</si>
  <si>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</si>
  <si>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</si>
  <si>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</si>
  <si>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</si>
  <si>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</si>
  <si>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</si>
  <si>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</si>
  <si>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</si>
  <si>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</si>
  <si>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</si>
  <si>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</si>
  <si>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</si>
  <si>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</si>
  <si>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</si>
  <si>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</si>
  <si>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</si>
  <si>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</si>
  <si>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</si>
  <si>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</si>
  <si>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</si>
  <si>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</si>
  <si>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</si>
  <si>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</si>
  <si>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</si>
  <si>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</si>
  <si>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</si>
  <si>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</si>
  <si>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</si>
  <si>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</si>
  <si>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</si>
  <si>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</si>
  <si>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</si>
  <si>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</si>
  <si>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</si>
  <si>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</si>
  <si>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</si>
  <si>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</si>
  <si>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</si>
  <si>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</si>
  <si>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</si>
  <si>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</si>
  <si>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</si>
  <si>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</si>
  <si>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</si>
  <si>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</si>
  <si>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</si>
  <si>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</si>
  <si>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</si>
  <si>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</si>
  <si>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</si>
  <si>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</si>
  <si>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</si>
  <si>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</si>
  <si>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</si>
  <si>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</si>
  <si>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</si>
  <si>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</si>
  <si>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</si>
  <si>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</si>
  <si>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</si>
  <si>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</si>
  <si>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</si>
  <si>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</si>
  <si>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</si>
  <si>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</si>
  <si>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</si>
  <si>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</si>
  <si>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</si>
  <si>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</si>
  <si>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</si>
  <si>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</si>
  <si>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</si>
  <si>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</si>
  <si>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</si>
  <si>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</si>
  <si>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</si>
  <si>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</si>
  <si>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</si>
  <si>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</si>
  <si>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</si>
  <si>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</si>
  <si>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</si>
  <si>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</si>
  <si>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</si>
  <si>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</si>
  <si>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</si>
  <si>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</si>
  <si>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</si>
  <si>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</si>
  <si>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</si>
  <si>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</si>
  <si>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</si>
  <si>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</si>
  <si>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</si>
  <si>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</si>
  <si>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</si>
  <si>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无</t>
    <phoneticPr fontId="134" type="noConversion"/>
  </si>
  <si>
    <t>楼层</t>
    <phoneticPr fontId="134" type="noConversion"/>
  </si>
  <si>
    <t>一层</t>
    <phoneticPr fontId="134" type="noConversion"/>
  </si>
  <si>
    <t>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</si>
  <si>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</si>
  <si>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</si>
  <si>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</si>
  <si>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</si>
  <si>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</si>
  <si>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</si>
  <si>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</si>
  <si>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</si>
  <si>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</si>
  <si>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</si>
  <si>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</si>
  <si>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</si>
  <si>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</si>
  <si>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</si>
  <si>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</si>
  <si>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</si>
  <si>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</si>
  <si>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</si>
  <si>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</si>
  <si>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</si>
  <si>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</si>
  <si>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</si>
  <si>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</si>
  <si>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</si>
  <si>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</si>
  <si>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单面临街</t>
  </si>
  <si>
    <t>1层</t>
  </si>
  <si>
    <r>
      <t>2</t>
    </r>
    <r>
      <rPr>
        <sz val="11"/>
        <color indexed="8"/>
        <rFont val="宋体"/>
        <family val="3"/>
        <charset val="134"/>
      </rPr>
      <t>层</t>
    </r>
    <phoneticPr fontId="3" type="noConversion"/>
  </si>
  <si>
    <t>负1层</t>
    <phoneticPr fontId="3" type="noConversion"/>
  </si>
  <si>
    <t>商业中心</t>
    <phoneticPr fontId="3" type="noConversion"/>
  </si>
  <si>
    <t>独立商业楼</t>
    <phoneticPr fontId="3" type="noConversion"/>
  </si>
  <si>
    <t>住宅配套底商</t>
  </si>
  <si>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</si>
  <si>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</si>
  <si>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</si>
  <si>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</si>
  <si>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</si>
  <si>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</si>
  <si>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</si>
  <si>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</si>
  <si>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</si>
  <si>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</si>
  <si>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精装修</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</si>
  <si>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</si>
  <si>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</si>
  <si>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</si>
  <si>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</si>
  <si>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</si>
  <si>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</si>
  <si>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</si>
  <si>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</si>
  <si>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</si>
  <si>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</si>
  <si>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</si>
  <si>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</si>
  <si>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</si>
  <si>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</si>
  <si>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</si>
  <si>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</si>
  <si>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</si>
  <si>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</si>
  <si>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</si>
  <si>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</si>
  <si>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</si>
  <si>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</si>
  <si>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</si>
  <si>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</si>
  <si>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</si>
  <si>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</si>
  <si>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</si>
  <si>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</si>
  <si>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</si>
  <si>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</si>
  <si>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</si>
  <si>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</si>
  <si>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</si>
  <si>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</si>
  <si>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</si>
  <si>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</si>
  <si>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</si>
  <si>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</si>
  <si>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</si>
  <si>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</si>
  <si>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</si>
  <si>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</si>
  <si>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</si>
  <si>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</si>
  <si>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</si>
  <si>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</si>
  <si>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</si>
  <si>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</si>
  <si>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</si>
  <si>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</si>
  <si>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</si>
  <si>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</si>
  <si>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</si>
  <si>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</si>
  <si>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</si>
  <si>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</si>
  <si>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</si>
  <si>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</si>
  <si>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</si>
  <si>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</si>
  <si>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</si>
  <si>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</si>
  <si>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</si>
  <si>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</si>
  <si>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</si>
  <si>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</si>
  <si>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</si>
  <si>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</si>
  <si>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</si>
  <si>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</si>
  <si>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</si>
  <si>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</si>
  <si>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</si>
  <si>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</si>
  <si>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</si>
  <si>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</si>
  <si>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</si>
  <si>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</si>
  <si>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</si>
  <si>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</si>
  <si>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</si>
  <si>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</si>
  <si>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</si>
  <si>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</si>
  <si>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</si>
  <si>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</si>
  <si>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</si>
  <si>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</si>
  <si>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</si>
  <si>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</si>
  <si>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</si>
  <si>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</si>
  <si>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</si>
  <si>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</si>
  <si>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</si>
  <si>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</si>
  <si>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</si>
  <si>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</si>
  <si>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</si>
  <si>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</si>
  <si>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</si>
  <si>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</si>
  <si>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</si>
  <si>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</si>
  <si>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</si>
  <si>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</si>
  <si>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</si>
  <si>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</si>
  <si>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</si>
  <si>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</si>
  <si>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</si>
  <si>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</si>
  <si>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</si>
  <si>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</si>
  <si>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</si>
  <si>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</si>
  <si>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</si>
  <si>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</si>
  <si>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</si>
  <si>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</si>
  <si>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</si>
  <si>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</si>
  <si>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</si>
  <si>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</si>
  <si>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</si>
  <si>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</si>
  <si>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</si>
  <si>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</si>
  <si>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</si>
  <si>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</si>
  <si>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</si>
  <si>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</si>
  <si>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</si>
  <si>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</si>
  <si>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</si>
  <si>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</si>
  <si>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</si>
  <si>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未包含在土地购买价格中</t>
  </si>
  <si>
    <t>全部缴纳</t>
  </si>
  <si>
    <t>已包含在土地取得成本中</t>
  </si>
  <si>
    <t>利息：取LPR加浮动点数</t>
  </si>
  <si>
    <t>小屯西路</t>
    <phoneticPr fontId="134" type="noConversion"/>
  </si>
  <si>
    <t>一层</t>
    <phoneticPr fontId="134" type="noConversion"/>
  </si>
  <si>
    <t>无</t>
  </si>
  <si>
    <t>无</t>
    <phoneticPr fontId="134" type="noConversion"/>
  </si>
  <si>
    <t>简单装修</t>
  </si>
  <si>
    <t>简单装修</t>
    <phoneticPr fontId="134" type="noConversion"/>
  </si>
  <si>
    <t>备注</t>
    <phoneticPr fontId="134" type="noConversion"/>
  </si>
  <si>
    <t>租期5-10年</t>
    <phoneticPr fontId="134" type="noConversion"/>
  </si>
  <si>
    <t>餐饮</t>
    <phoneticPr fontId="134" type="noConversion"/>
  </si>
  <si>
    <t>个人房产，起租3年</t>
    <phoneticPr fontId="134" type="noConversion"/>
  </si>
  <si>
    <t>美域家园底商</t>
    <phoneticPr fontId="134" type="noConversion"/>
  </si>
  <si>
    <t>美域家园西门底商</t>
    <phoneticPr fontId="134" type="noConversion"/>
  </si>
  <si>
    <t>租期5年</t>
    <phoneticPr fontId="134" type="noConversion"/>
  </si>
  <si>
    <t>13661134875刘</t>
    <phoneticPr fontId="134" type="noConversion"/>
  </si>
  <si>
    <t>1-2层</t>
    <phoneticPr fontId="134" type="noConversion"/>
  </si>
  <si>
    <t>1拖负1层</t>
    <phoneticPr fontId="3" type="noConversion"/>
  </si>
  <si>
    <t>1-2层</t>
  </si>
  <si>
    <t>1-2层</t>
    <phoneticPr fontId="30" type="noConversion"/>
  </si>
  <si>
    <t>砖混</t>
    <phoneticPr fontId="30" type="noConversion"/>
  </si>
  <si>
    <t>不可餐饮</t>
    <phoneticPr fontId="134" type="noConversion"/>
  </si>
  <si>
    <t>1000米以外</t>
  </si>
  <si>
    <t>容积率修正</t>
  </si>
  <si>
    <t>1层102</t>
    <phoneticPr fontId="24" type="noConversion"/>
  </si>
  <si>
    <r>
      <t>1</t>
    </r>
    <r>
      <rPr>
        <sz val="10"/>
        <color indexed="8"/>
        <rFont val="宋体"/>
        <family val="3"/>
        <charset val="134"/>
      </rPr>
      <t>层</t>
    </r>
    <r>
      <rPr>
        <sz val="10"/>
        <color indexed="8"/>
        <rFont val="Arial"/>
        <family val="2"/>
      </rPr>
      <t>103</t>
    </r>
    <phoneticPr fontId="24" type="noConversion"/>
  </si>
  <si>
    <r>
      <t>2</t>
    </r>
    <r>
      <rPr>
        <sz val="10"/>
        <color indexed="8"/>
        <rFont val="宋体"/>
        <family val="3"/>
        <charset val="134"/>
      </rPr>
      <t>层</t>
    </r>
    <r>
      <rPr>
        <sz val="10"/>
        <color indexed="8"/>
        <rFont val="Arial"/>
        <family val="2"/>
      </rPr>
      <t>202</t>
    </r>
    <phoneticPr fontId="24" type="noConversion"/>
  </si>
  <si>
    <r>
      <t>2</t>
    </r>
    <r>
      <rPr>
        <sz val="10"/>
        <color indexed="8"/>
        <rFont val="宋体"/>
        <family val="3"/>
        <charset val="134"/>
      </rPr>
      <t>层</t>
    </r>
    <r>
      <rPr>
        <sz val="10"/>
        <color indexed="8"/>
        <rFont val="Arial"/>
        <family val="2"/>
      </rPr>
      <t>203</t>
    </r>
    <phoneticPr fontId="24" type="noConversion"/>
  </si>
  <si>
    <t>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</si>
</sst>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ont="1" applyBorder="1" applyAlignment="1">
      <alignment vertical="center"/>
    </xf>
    <xf numFmtId="0" fontId="272" fillId="0" borderId="1" xfId="10" applyNumberFormat="1"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6" fillId="5" borderId="1" xfId="10" applyNumberFormat="1" applyFont="1" applyFill="1" applyBorder="1" applyAlignment="1">
      <alignment horizontal="center" vertical="center" wrapText="1" shrinkToFit="1"/>
    </xf>
    <xf numFmtId="9" fontId="277" fillId="0" borderId="1" xfId="10" applyNumberFormat="1" applyFont="1" applyFill="1" applyBorder="1" applyAlignment="1">
      <alignment horizontal="center" vertical="center" wrapText="1"/>
    </xf>
    <xf numFmtId="179" fontId="276"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2"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9"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9"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0" fillId="0" borderId="0" xfId="10" applyFont="1" applyFill="1" applyAlignment="1">
      <alignment vertical="center"/>
    </xf>
    <xf numFmtId="182" fontId="110" fillId="0" borderId="0" xfId="10" applyNumberFormat="1" applyFont="1" applyFill="1" applyBorder="1" applyAlignment="1">
      <alignment horizontal="center" vertical="center"/>
    </xf>
    <xf numFmtId="9" fontId="276"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9" fillId="0" borderId="0" xfId="10" applyFont="1" applyFill="1" applyAlignment="1">
      <alignment horizontal="center" vertical="center" wrapText="1"/>
    </xf>
    <xf numFmtId="0" fontId="279"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9" fillId="0" borderId="0" xfId="10" applyNumberFormat="1" applyFont="1" applyFill="1" applyAlignment="1">
      <alignment horizontal="center" vertical="center" wrapText="1"/>
    </xf>
    <xf numFmtId="0" fontId="285" fillId="0" borderId="0" xfId="10" applyFont="1" applyFill="1" applyAlignment="1">
      <alignment vertical="center" wrapText="1"/>
    </xf>
    <xf numFmtId="0" fontId="286"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9" fillId="0" borderId="0" xfId="10" applyFont="1" applyAlignment="1">
      <alignment horizontal="center" vertical="center" wrapText="1"/>
    </xf>
    <xf numFmtId="0" fontId="285"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9" fillId="0" borderId="1" xfId="10" applyFont="1" applyBorder="1" applyAlignment="1">
      <alignment horizontal="center" vertical="center" wrapText="1"/>
    </xf>
    <xf numFmtId="0" fontId="279" fillId="0" borderId="0" xfId="10" applyFont="1" applyAlignment="1">
      <alignment horizontal="left" vertical="center" wrapText="1"/>
    </xf>
    <xf numFmtId="179" fontId="279" fillId="0" borderId="0" xfId="10" applyNumberFormat="1" applyFont="1" applyFill="1" applyAlignment="1">
      <alignment vertical="center" wrapText="1"/>
    </xf>
    <xf numFmtId="0" fontId="279"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270" fillId="0" borderId="1" xfId="0" applyFont="1" applyBorder="1" applyAlignment="1">
      <alignment horizontal="left" vertical="center"/>
    </xf>
    <xf numFmtId="0" fontId="270" fillId="0" borderId="0" xfId="0" applyFont="1" applyAlignment="1">
      <alignment horizontal="left" vertical="center"/>
    </xf>
    <xf numFmtId="0" fontId="271" fillId="0" borderId="0" xfId="19" applyFont="1" applyAlignment="1">
      <alignment horizontal="left" vertical="center"/>
    </xf>
    <xf numFmtId="0" fontId="176" fillId="0"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6"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2"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68937</xdr:rowOff>
    </xdr:from>
    <xdr:to>
      <xdr:col>8</xdr:col>
      <xdr:colOff>227077</xdr:colOff>
      <xdr:row>41</xdr:row>
      <xdr:rowOff>122777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4737"/>
          <a:ext cx="9294877" cy="6397490"/>
        </a:xfrm>
        <a:prstGeom prst="rect">
          <a:avLst/>
        </a:prstGeom>
      </xdr:spPr>
    </xdr:pic>
    <xdr:clientData/>
  </xdr:twoCellAnchor>
  <xdr:twoCellAnchor>
    <xdr:from>
      <xdr:col>3</xdr:col>
      <xdr:colOff>19050</xdr:colOff>
      <xdr:row>19</xdr:row>
      <xdr:rowOff>76200</xdr:rowOff>
    </xdr:from>
    <xdr:to>
      <xdr:col>3</xdr:col>
      <xdr:colOff>400050</xdr:colOff>
      <xdr:row>21</xdr:row>
      <xdr:rowOff>47625</xdr:rowOff>
    </xdr:to>
    <xdr:sp macro="" textlink="">
      <xdr:nvSpPr>
        <xdr:cNvPr id="3" name="五角星 2"/>
        <xdr:cNvSpPr/>
      </xdr:nvSpPr>
      <xdr:spPr>
        <a:xfrm>
          <a:off x="4429125" y="3333750"/>
          <a:ext cx="381000" cy="3143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561975</xdr:colOff>
      <xdr:row>21</xdr:row>
      <xdr:rowOff>47625</xdr:rowOff>
    </xdr:from>
    <xdr:to>
      <xdr:col>5</xdr:col>
      <xdr:colOff>476250</xdr:colOff>
      <xdr:row>22</xdr:row>
      <xdr:rowOff>152400</xdr:rowOff>
    </xdr:to>
    <xdr:sp macro="" textlink="">
      <xdr:nvSpPr>
        <xdr:cNvPr id="4" name="椭圆形标注 3"/>
        <xdr:cNvSpPr/>
      </xdr:nvSpPr>
      <xdr:spPr>
        <a:xfrm>
          <a:off x="5657850" y="3648075"/>
          <a:ext cx="600075" cy="276225"/>
        </a:xfrm>
        <a:prstGeom prst="wedgeEllipseCallout">
          <a:avLst>
            <a:gd name="adj1" fmla="val -68452"/>
            <a:gd name="adj2" fmla="val -1064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133350</xdr:colOff>
      <xdr:row>20</xdr:row>
      <xdr:rowOff>49887</xdr:rowOff>
    </xdr:from>
    <xdr:to>
      <xdr:col>2</xdr:col>
      <xdr:colOff>733425</xdr:colOff>
      <xdr:row>21</xdr:row>
      <xdr:rowOff>154662</xdr:rowOff>
    </xdr:to>
    <xdr:sp macro="" textlink="">
      <xdr:nvSpPr>
        <xdr:cNvPr id="5" name="椭圆形标注 4"/>
        <xdr:cNvSpPr/>
      </xdr:nvSpPr>
      <xdr:spPr>
        <a:xfrm>
          <a:off x="3390900" y="3478887"/>
          <a:ext cx="600075" cy="276225"/>
        </a:xfrm>
        <a:prstGeom prst="wedgeEllipseCallout">
          <a:avLst>
            <a:gd name="adj1" fmla="val 77580"/>
            <a:gd name="adj2" fmla="val 5905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161925</xdr:colOff>
      <xdr:row>24</xdr:row>
      <xdr:rowOff>116562</xdr:rowOff>
    </xdr:from>
    <xdr:to>
      <xdr:col>2</xdr:col>
      <xdr:colOff>762000</xdr:colOff>
      <xdr:row>26</xdr:row>
      <xdr:rowOff>49887</xdr:rowOff>
    </xdr:to>
    <xdr:sp macro="" textlink="">
      <xdr:nvSpPr>
        <xdr:cNvPr id="6" name="椭圆形标注 5"/>
        <xdr:cNvSpPr/>
      </xdr:nvSpPr>
      <xdr:spPr>
        <a:xfrm>
          <a:off x="3419475" y="4231362"/>
          <a:ext cx="600075" cy="276225"/>
        </a:xfrm>
        <a:prstGeom prst="wedgeEllipseCallout">
          <a:avLst>
            <a:gd name="adj1" fmla="val 74405"/>
            <a:gd name="adj2" fmla="val -10991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66675</xdr:colOff>
      <xdr:row>10</xdr:row>
      <xdr:rowOff>113413</xdr:rowOff>
    </xdr:from>
    <xdr:to>
      <xdr:col>10</xdr:col>
      <xdr:colOff>580130</xdr:colOff>
      <xdr:row>33</xdr:row>
      <xdr:rowOff>142181</xdr:rowOff>
    </xdr:to>
    <xdr:pic>
      <xdr:nvPicPr>
        <xdr:cNvPr id="7" name="图片 6"/>
        <xdr:cNvPicPr>
          <a:picLocks noChangeAspect="1"/>
        </xdr:cNvPicPr>
      </xdr:nvPicPr>
      <xdr:blipFill>
        <a:blip xmlns:r="http://schemas.openxmlformats.org/officeDocument/2006/relationships" r:embed="rId2"/>
        <a:stretch>
          <a:fillRect/>
        </a:stretch>
      </xdr:blipFill>
      <xdr:spPr>
        <a:xfrm>
          <a:off x="6534150" y="1827913"/>
          <a:ext cx="5123555" cy="3972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row r="49">
          <cell r="C49">
            <v>8.4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受贵公司委托，我公司对进行了预评估。</v>
      </c>
    </row>
    <row r="7" spans="1:2" s="1201" customFormat="1">
      <c r="A7" s="1199" t="s">
        <v>566</v>
      </c>
      <c r="B7" s="1200" t="str">
        <f>'预评函-1'!A7</f>
        <v>估价对象为房地产，为所有。根据《国有土地使用证》[]，估价对象（分摊）出让国有建设用地使用权面积为0平方米，建筑面积为408.56平方米。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估价对象为房地产,属开发建设的，该项目尚在开发建设中。根据《国有土地使用证》[]，估价对象（分摊）出让国有建设用地使用权面积为0平方米，规划建筑面积为408.56平方米。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2023年5月16日（评估专业人员实地查勘之日）</v>
      </c>
    </row>
    <row r="13" spans="1:2" s="1201" customFormat="1">
      <c r="A13" s="1199" t="s">
        <v>529</v>
      </c>
      <c r="B13" s="1200"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408.56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2570</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2571</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2283</v>
      </c>
      <c r="C17" s="1545"/>
    </row>
    <row r="18" spans="1:3">
      <c r="A18" s="1544" t="s">
        <v>1046</v>
      </c>
      <c r="B18" s="1544" t="s">
        <v>2426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8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1552" t="s">
        <v>385</v>
      </c>
      <c r="C54" s="1549" t="s">
        <v>583</v>
      </c>
    </row>
    <row r="55" spans="1:4">
      <c r="A55" s="3583"/>
      <c r="B55" s="1552" t="s">
        <v>386</v>
      </c>
      <c r="C55" s="1549" t="s">
        <v>584</v>
      </c>
    </row>
    <row r="56" spans="1:4">
      <c r="A56" s="3583"/>
      <c r="B56" s="1552" t="s">
        <v>387</v>
      </c>
      <c r="C56" s="1549" t="s">
        <v>588</v>
      </c>
    </row>
    <row r="57" spans="1:4">
      <c r="A57" s="358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2493</v>
      </c>
      <c r="B1" s="3012"/>
      <c r="C1" s="3012"/>
      <c r="D1" s="3012"/>
      <c r="E1" s="3012"/>
      <c r="F1" s="3013"/>
      <c r="I1" s="3435" t="s">
        <v>2586</v>
      </c>
      <c r="J1" s="3224"/>
      <c r="K1" s="3224"/>
      <c r="L1" s="3224"/>
      <c r="M1" s="3224"/>
      <c r="N1" s="3436"/>
      <c r="O1" s="3436"/>
      <c r="P1" s="3436"/>
      <c r="Q1" s="3436"/>
      <c r="R1" s="3436"/>
    </row>
    <row r="2" spans="1:18">
      <c r="A2" s="3015"/>
      <c r="B2" s="3016"/>
      <c r="C2" s="3016"/>
      <c r="D2" s="3016"/>
      <c r="E2" s="3016"/>
      <c r="F2" s="3017"/>
      <c r="I2" s="3584" t="s">
        <v>2573</v>
      </c>
      <c r="J2" s="3584"/>
      <c r="K2" s="3584"/>
      <c r="L2" s="3584"/>
      <c r="M2" s="3584"/>
      <c r="N2" s="3584"/>
      <c r="O2" s="3584"/>
      <c r="P2" s="3584"/>
      <c r="Q2" s="3584"/>
      <c r="R2" s="3584"/>
    </row>
    <row r="3" spans="1:18">
      <c r="A3" s="3018" t="s">
        <v>2494</v>
      </c>
      <c r="B3" s="3019">
        <f>项目基本情况!D3</f>
        <v>45062</v>
      </c>
      <c r="C3" s="3021"/>
      <c r="D3" s="3021"/>
      <c r="E3" s="3021"/>
      <c r="F3" s="3017"/>
      <c r="I3" s="3437"/>
      <c r="J3" s="3437" t="s">
        <v>2577</v>
      </c>
      <c r="K3" s="3437" t="s">
        <v>2578</v>
      </c>
      <c r="L3" s="3437" t="s">
        <v>2579</v>
      </c>
      <c r="M3" s="3437" t="s">
        <v>2580</v>
      </c>
      <c r="N3" s="3438" t="s">
        <v>2581</v>
      </c>
      <c r="O3" s="3438" t="s">
        <v>2582</v>
      </c>
      <c r="P3" s="3438" t="s">
        <v>2583</v>
      </c>
      <c r="Q3" s="3438" t="s">
        <v>2584</v>
      </c>
      <c r="R3" s="3438" t="s">
        <v>2585</v>
      </c>
    </row>
    <row r="4" spans="1:18">
      <c r="A4" s="3018" t="s">
        <v>2495</v>
      </c>
      <c r="B4" s="3021" t="s">
        <v>2496</v>
      </c>
      <c r="C4" s="3021" t="s">
        <v>2497</v>
      </c>
      <c r="D4" s="3021" t="s">
        <v>2498</v>
      </c>
      <c r="E4" s="3021" t="s">
        <v>2499</v>
      </c>
      <c r="F4" s="3017"/>
      <c r="I4" s="3437" t="s">
        <v>2574</v>
      </c>
      <c r="J4" s="3437">
        <v>80</v>
      </c>
      <c r="K4" s="3437">
        <v>70</v>
      </c>
      <c r="L4" s="3437">
        <v>20</v>
      </c>
      <c r="M4" s="3437">
        <v>30</v>
      </c>
      <c r="N4" s="3021">
        <v>45</v>
      </c>
      <c r="O4" s="3021">
        <v>60</v>
      </c>
      <c r="P4" s="3021">
        <v>50</v>
      </c>
      <c r="Q4" s="3021">
        <v>20</v>
      </c>
      <c r="R4" s="3021">
        <v>375</v>
      </c>
    </row>
    <row r="5" spans="1:18">
      <c r="A5" s="3022">
        <v>40</v>
      </c>
      <c r="B5" s="3019">
        <v>46375</v>
      </c>
      <c r="C5" s="3021">
        <f>ROUNDDOWN(MIN((B5-B3)/365,A5),2)</f>
        <v>3.59</v>
      </c>
      <c r="D5" s="3023">
        <f>IF(ISERROR(ROUND(POWER(1+E5,A5-C5)*(POWER(1+E5,C5)-1)/(POWER(1+E5,A5)-1),3)),0,ROUND(POWER(1+E5,A5-C5)*(POWER(1+E5,C5)-1)/(POWER(1+E5,A5)-1),4))</f>
        <v>0.16589999999999999</v>
      </c>
      <c r="E5" s="3024">
        <v>0.04</v>
      </c>
      <c r="F5" s="3017"/>
      <c r="I5" s="3437" t="s">
        <v>2575</v>
      </c>
      <c r="J5" s="3437">
        <v>70</v>
      </c>
      <c r="K5" s="3437">
        <v>60</v>
      </c>
      <c r="L5" s="3437">
        <v>15</v>
      </c>
      <c r="M5" s="3437">
        <v>25</v>
      </c>
      <c r="N5" s="3021">
        <v>40</v>
      </c>
      <c r="O5" s="3021">
        <v>50</v>
      </c>
      <c r="P5" s="3021">
        <v>40</v>
      </c>
      <c r="Q5" s="3021">
        <v>15</v>
      </c>
      <c r="R5" s="3021">
        <v>315</v>
      </c>
    </row>
    <row r="6" spans="1:18">
      <c r="A6" s="3022">
        <v>50</v>
      </c>
      <c r="B6" s="3019">
        <v>50028</v>
      </c>
      <c r="C6" s="3021">
        <f>ROUNDDOWN(MIN((B6-B3)/365,A6),2)</f>
        <v>13.6</v>
      </c>
      <c r="D6" s="3023">
        <f>IF(ISERROR(ROUND(POWER(1+E6,A6-C6)*(POWER(1+E6,C6)-1)/(POWER(1+E6,A6)-1),3)),0,ROUND(POWER(1+E6,A6-C6)*(POWER(1+E6,C6)-1)/(POWER(1+E6,A6)-1),4))</f>
        <v>0.48110000000000003</v>
      </c>
      <c r="E6" s="3024">
        <v>0.04</v>
      </c>
      <c r="F6" s="3017"/>
      <c r="I6" s="3437" t="s">
        <v>2576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2500</v>
      </c>
      <c r="B9" s="3021"/>
      <c r="C9" s="3021"/>
      <c r="D9" s="3021"/>
      <c r="E9" s="3021"/>
      <c r="F9" s="3025"/>
    </row>
    <row r="10" spans="1:18">
      <c r="A10" s="3018" t="s">
        <v>2501</v>
      </c>
      <c r="B10" s="3021"/>
      <c r="C10" s="3021"/>
      <c r="D10" s="3021" t="s">
        <v>2499</v>
      </c>
      <c r="E10" s="3021"/>
      <c r="F10" s="3025" t="s">
        <v>2498</v>
      </c>
    </row>
    <row r="11" spans="1:18">
      <c r="A11" s="3018" t="s">
        <v>2502</v>
      </c>
      <c r="B11" s="3026">
        <v>70</v>
      </c>
      <c r="C11" s="3021" t="s">
        <v>2503</v>
      </c>
      <c r="D11" s="3027">
        <v>4.4999999999999998E-2</v>
      </c>
      <c r="E11" s="3021" t="s">
        <v>2504</v>
      </c>
      <c r="F11" s="3028">
        <f>ROUND(1-(1/(POWER(1+D11,B11))),4)</f>
        <v>0.95409999999999995</v>
      </c>
    </row>
    <row r="12" spans="1:18">
      <c r="A12" s="3018" t="s">
        <v>2505</v>
      </c>
      <c r="B12" s="3026">
        <v>40</v>
      </c>
      <c r="C12" s="3021" t="s">
        <v>2506</v>
      </c>
      <c r="D12" s="3027">
        <v>4.4999999999999998E-2</v>
      </c>
      <c r="E12" s="3021" t="s">
        <v>2507</v>
      </c>
      <c r="F12" s="3028">
        <f>ROUND(1-(1/(POWER(1+D12,B12))),4)</f>
        <v>0.82809999999999995</v>
      </c>
    </row>
    <row r="13" spans="1:18">
      <c r="A13" s="3018" t="s">
        <v>2508</v>
      </c>
      <c r="B13" s="3021"/>
      <c r="C13" s="3021"/>
      <c r="D13" s="3016"/>
      <c r="E13" s="3016"/>
      <c r="F13" s="3017"/>
    </row>
    <row r="14" spans="1:18">
      <c r="A14" s="3018" t="s">
        <v>2509</v>
      </c>
      <c r="B14" s="3026">
        <v>5000</v>
      </c>
      <c r="C14" s="3020"/>
      <c r="D14" s="3016"/>
      <c r="E14" s="3016"/>
      <c r="F14" s="3017"/>
    </row>
    <row r="15" spans="1:18">
      <c r="A15" s="3018" t="s">
        <v>2510</v>
      </c>
      <c r="B15" s="3021">
        <f>ROUND(B14*F12/F11,2)</f>
        <v>4339.6899999999996</v>
      </c>
      <c r="C15" s="3021">
        <f>ROUND(F12/F11,4)</f>
        <v>0.8679</v>
      </c>
      <c r="D15" s="3016"/>
      <c r="E15" s="3016"/>
      <c r="F15" s="3017"/>
    </row>
    <row r="16" spans="1:18">
      <c r="A16" s="3018" t="s">
        <v>2511</v>
      </c>
      <c r="B16" s="3021"/>
      <c r="C16" s="3021"/>
      <c r="D16" s="3016"/>
      <c r="E16" s="3016"/>
      <c r="F16" s="3017"/>
    </row>
    <row r="17" spans="1:13">
      <c r="A17" s="3018" t="s">
        <v>2510</v>
      </c>
      <c r="B17" s="3027">
        <v>4810</v>
      </c>
      <c r="C17" s="3020"/>
      <c r="D17" s="3016"/>
      <c r="E17" s="3016"/>
      <c r="F17" s="3017"/>
    </row>
    <row r="18" spans="1:13" ht="14.25" thickBot="1">
      <c r="A18" s="3029" t="s">
        <v>2509</v>
      </c>
      <c r="B18" s="3030">
        <f>ROUND(B17*F11/F12,2)</f>
        <v>5541.87</v>
      </c>
      <c r="C18" s="3030">
        <f>ROUND(F11/F12,4)</f>
        <v>1.1521999999999999</v>
      </c>
      <c r="D18" s="3031"/>
      <c r="E18" s="3031"/>
      <c r="F18" s="3032"/>
    </row>
    <row r="19" spans="1:13" ht="14.25" thickBot="1"/>
    <row r="20" spans="1:13" s="3067" customFormat="1" ht="14.25" thickTop="1">
      <c r="A20" s="3064" t="s">
        <v>2512</v>
      </c>
      <c r="B20" s="3065"/>
      <c r="C20" s="3065"/>
      <c r="D20" s="3065"/>
      <c r="E20" s="3065"/>
      <c r="F20" s="3065"/>
      <c r="G20" s="3066"/>
      <c r="I20" s="3068" t="s">
        <v>2557</v>
      </c>
      <c r="J20" s="3068" t="s">
        <v>2562</v>
      </c>
      <c r="K20" s="3068"/>
      <c r="L20" s="3068"/>
      <c r="M20" s="3068"/>
    </row>
    <row r="21" spans="1:13">
      <c r="A21" s="3033"/>
      <c r="B21" s="3034" t="s">
        <v>2513</v>
      </c>
      <c r="C21" s="3034" t="s">
        <v>2514</v>
      </c>
      <c r="D21" s="3034" t="s">
        <v>2515</v>
      </c>
      <c r="E21" s="3034" t="s">
        <v>2516</v>
      </c>
      <c r="F21" s="3034" t="s">
        <v>2517</v>
      </c>
      <c r="G21" s="3035" t="s">
        <v>2518</v>
      </c>
      <c r="I21" s="3056">
        <v>5</v>
      </c>
      <c r="J21" s="3056">
        <v>54.2</v>
      </c>
    </row>
    <row r="22" spans="1:13">
      <c r="A22" s="3033" t="s">
        <v>2519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2560</v>
      </c>
      <c r="M23" s="3056" t="s">
        <v>2561</v>
      </c>
    </row>
    <row r="24" spans="1:13">
      <c r="A24" s="3033" t="s">
        <v>2521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2559</v>
      </c>
      <c r="M24" s="3056">
        <v>10</v>
      </c>
    </row>
    <row r="25" spans="1:13">
      <c r="A25" s="3033" t="s">
        <v>2522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2563</v>
      </c>
      <c r="M25" s="3056">
        <v>8</v>
      </c>
    </row>
    <row r="26" spans="1:13">
      <c r="A26" s="3038"/>
      <c r="B26" s="3039"/>
      <c r="C26" s="3039"/>
      <c r="D26" s="3039"/>
      <c r="E26" s="3039"/>
      <c r="F26" s="3039"/>
      <c r="G26" s="3040"/>
      <c r="I26" s="3056">
        <v>30</v>
      </c>
      <c r="J26" s="3056">
        <v>90.5</v>
      </c>
      <c r="K26" s="3056">
        <f t="shared" si="2"/>
        <v>4.2000000000000028</v>
      </c>
      <c r="L26" s="3056" t="s">
        <v>2564</v>
      </c>
      <c r="M26" s="3056">
        <v>5</v>
      </c>
    </row>
    <row r="27" spans="1:13">
      <c r="A27" s="3038" t="s">
        <v>2523</v>
      </c>
      <c r="B27" s="3039"/>
      <c r="C27" s="3039"/>
      <c r="D27" s="3039"/>
      <c r="E27" s="3039"/>
      <c r="F27" s="3039"/>
      <c r="G27" s="3040"/>
      <c r="I27" s="3056">
        <v>35</v>
      </c>
      <c r="J27" s="3056">
        <v>93.8</v>
      </c>
      <c r="K27" s="3056">
        <f t="shared" si="2"/>
        <v>3.2999999999999972</v>
      </c>
      <c r="L27" s="3056" t="s">
        <v>2565</v>
      </c>
      <c r="M27" s="3056">
        <v>3</v>
      </c>
    </row>
    <row r="28" spans="1:13">
      <c r="A28" s="3038" t="s">
        <v>2524</v>
      </c>
      <c r="B28" s="3039"/>
      <c r="C28" s="3039"/>
      <c r="D28" s="3039"/>
      <c r="E28" s="3039"/>
      <c r="F28" s="3039"/>
      <c r="G28" s="3040"/>
      <c r="I28" s="3056">
        <v>40</v>
      </c>
      <c r="J28" s="3056">
        <v>96.4</v>
      </c>
      <c r="K28" s="3056">
        <f t="shared" si="2"/>
        <v>2.6000000000000085</v>
      </c>
      <c r="L28" s="3056" t="s">
        <v>2566</v>
      </c>
      <c r="M28" s="3056">
        <v>2</v>
      </c>
    </row>
    <row r="29" spans="1:13">
      <c r="A29" s="3038" t="s">
        <v>2525</v>
      </c>
      <c r="B29" s="3039"/>
      <c r="C29" s="3039"/>
      <c r="D29" s="3039"/>
      <c r="E29" s="3039"/>
      <c r="F29" s="3039"/>
      <c r="G29" s="3040"/>
      <c r="I29" s="3056">
        <v>45</v>
      </c>
      <c r="J29" s="3056">
        <v>98.4</v>
      </c>
      <c r="K29" s="3056">
        <f t="shared" si="2"/>
        <v>2</v>
      </c>
    </row>
    <row r="30" spans="1:13">
      <c r="A30" s="3038" t="s">
        <v>2526</v>
      </c>
      <c r="B30" s="3039"/>
      <c r="C30" s="3039"/>
      <c r="D30" s="3039"/>
      <c r="E30" s="3039"/>
      <c r="F30" s="3039"/>
      <c r="G30" s="3040"/>
      <c r="I30" s="3056">
        <v>50</v>
      </c>
      <c r="J30" s="3056">
        <v>100</v>
      </c>
      <c r="K30" s="3056">
        <f t="shared" si="2"/>
        <v>1.5999999999999943</v>
      </c>
    </row>
    <row r="31" spans="1:13">
      <c r="A31" s="3038" t="s">
        <v>2527</v>
      </c>
      <c r="B31" s="3039"/>
      <c r="C31" s="3039"/>
      <c r="D31" s="3039"/>
      <c r="E31" s="3039"/>
      <c r="F31" s="3039"/>
      <c r="G31" s="3040"/>
      <c r="I31" s="3056" t="s">
        <v>2558</v>
      </c>
    </row>
    <row r="32" spans="1:13">
      <c r="A32" s="3038" t="s">
        <v>2528</v>
      </c>
      <c r="B32" s="3039"/>
      <c r="C32" s="3039"/>
      <c r="D32" s="3039"/>
      <c r="E32" s="3039"/>
      <c r="F32" s="3039"/>
      <c r="G32" s="3040"/>
    </row>
    <row r="33" spans="1:13">
      <c r="A33" s="3038" t="s">
        <v>2529</v>
      </c>
      <c r="B33" s="3039"/>
      <c r="C33" s="3039"/>
      <c r="D33" s="3039"/>
      <c r="E33" s="3039"/>
      <c r="F33" s="3039"/>
      <c r="G33" s="3040"/>
      <c r="I33" s="3056" t="s">
        <v>2557</v>
      </c>
      <c r="J33" s="3056" t="s">
        <v>2567</v>
      </c>
    </row>
    <row r="34" spans="1:13">
      <c r="A34" s="3038" t="s">
        <v>2530</v>
      </c>
      <c r="B34" s="3039"/>
      <c r="C34" s="3039"/>
      <c r="D34" s="3039"/>
      <c r="E34" s="3039"/>
      <c r="F34" s="3039"/>
      <c r="G34" s="3040"/>
      <c r="I34" s="3056">
        <v>5</v>
      </c>
      <c r="J34" s="3056">
        <v>55.1</v>
      </c>
    </row>
    <row r="35" spans="1:13">
      <c r="A35" s="3038" t="s">
        <v>2531</v>
      </c>
      <c r="B35" s="3039"/>
      <c r="C35" s="3039"/>
      <c r="D35" s="3039"/>
      <c r="E35" s="3039"/>
      <c r="F35" s="3039"/>
      <c r="G35" s="3040"/>
      <c r="I35" s="3056">
        <v>10</v>
      </c>
      <c r="J35" s="3056">
        <v>67</v>
      </c>
      <c r="K35" s="3056">
        <f>J35-J34</f>
        <v>11.899999999999999</v>
      </c>
    </row>
    <row r="36" spans="1:13">
      <c r="A36" s="3038" t="s">
        <v>2532</v>
      </c>
      <c r="B36" s="3039"/>
      <c r="C36" s="3039"/>
      <c r="D36" s="3039"/>
      <c r="E36" s="3039"/>
      <c r="F36" s="3039"/>
      <c r="G36" s="3040"/>
      <c r="I36" s="3056">
        <v>15</v>
      </c>
      <c r="J36" s="3056">
        <v>76.3</v>
      </c>
      <c r="K36" s="3056">
        <f t="shared" ref="K36:K41" si="3">J36-J35</f>
        <v>9.2999999999999972</v>
      </c>
      <c r="L36" s="3056" t="s">
        <v>2560</v>
      </c>
      <c r="M36" s="3056" t="s">
        <v>2561</v>
      </c>
    </row>
    <row r="37" spans="1:13">
      <c r="A37" s="3038" t="s">
        <v>2533</v>
      </c>
      <c r="B37" s="3039"/>
      <c r="C37" s="3039"/>
      <c r="D37" s="3039"/>
      <c r="E37" s="3039"/>
      <c r="F37" s="3039"/>
      <c r="G37" s="3040"/>
      <c r="I37" s="3056">
        <v>20</v>
      </c>
      <c r="J37" s="3056">
        <v>83.6</v>
      </c>
      <c r="K37" s="3056">
        <f t="shared" si="3"/>
        <v>7.2999999999999972</v>
      </c>
      <c r="L37" s="3056" t="s">
        <v>2559</v>
      </c>
      <c r="M37" s="3056">
        <v>10</v>
      </c>
    </row>
    <row r="38" spans="1:13">
      <c r="A38" s="3038" t="s">
        <v>2534</v>
      </c>
      <c r="B38" s="3039"/>
      <c r="C38" s="3039"/>
      <c r="D38" s="3039"/>
      <c r="E38" s="3039"/>
      <c r="F38" s="3039"/>
      <c r="G38" s="3040"/>
      <c r="I38" s="3056">
        <v>25</v>
      </c>
      <c r="J38" s="3056">
        <v>89.3</v>
      </c>
      <c r="K38" s="3056">
        <f t="shared" si="3"/>
        <v>5.7000000000000028</v>
      </c>
      <c r="L38" s="3056" t="s">
        <v>2563</v>
      </c>
      <c r="M38" s="3056">
        <v>8</v>
      </c>
    </row>
    <row r="39" spans="1:13">
      <c r="A39" s="3038"/>
      <c r="B39" s="3039"/>
      <c r="C39" s="3039"/>
      <c r="D39" s="3039"/>
      <c r="E39" s="3039"/>
      <c r="F39" s="3039"/>
      <c r="G39" s="3040"/>
      <c r="I39" s="3056">
        <v>30</v>
      </c>
      <c r="J39" s="3056">
        <v>93.8</v>
      </c>
      <c r="K39" s="3056">
        <f t="shared" si="3"/>
        <v>4.5</v>
      </c>
      <c r="L39" s="3056" t="s">
        <v>2564</v>
      </c>
      <c r="M39" s="3056">
        <v>6</v>
      </c>
    </row>
    <row r="40" spans="1:13">
      <c r="A40" s="3041" t="s">
        <v>2535</v>
      </c>
      <c r="B40" s="3042"/>
      <c r="C40" s="3042"/>
      <c r="D40" s="3042"/>
      <c r="E40" s="3042"/>
      <c r="F40" s="3042"/>
      <c r="G40" s="3043"/>
      <c r="I40" s="3056">
        <v>35</v>
      </c>
      <c r="J40" s="3056">
        <v>97.2</v>
      </c>
      <c r="K40" s="3056">
        <f t="shared" si="3"/>
        <v>3.4000000000000057</v>
      </c>
      <c r="L40" s="3056" t="s">
        <v>2565</v>
      </c>
      <c r="M40" s="3056">
        <v>3</v>
      </c>
    </row>
    <row r="41" spans="1:13">
      <c r="A41" s="3044" t="s">
        <v>2536</v>
      </c>
      <c r="B41" s="3045" t="s">
        <v>2537</v>
      </c>
      <c r="C41" s="3046" t="s">
        <v>2538</v>
      </c>
      <c r="D41" s="3046" t="s">
        <v>2539</v>
      </c>
      <c r="E41" s="3047"/>
      <c r="F41" s="3048"/>
      <c r="G41" s="3049"/>
      <c r="I41" s="3056">
        <v>40</v>
      </c>
      <c r="J41" s="3056">
        <v>100</v>
      </c>
      <c r="K41" s="3056">
        <f t="shared" si="3"/>
        <v>2.7999999999999972</v>
      </c>
    </row>
    <row r="42" spans="1:13">
      <c r="A42" s="3044" t="s">
        <v>2540</v>
      </c>
      <c r="B42" s="3045" t="s">
        <v>2541</v>
      </c>
      <c r="C42" s="3046" t="s">
        <v>2542</v>
      </c>
      <c r="D42" s="3050" t="s">
        <v>2543</v>
      </c>
      <c r="E42" s="3042" t="s">
        <v>2544</v>
      </c>
      <c r="F42" s="3042"/>
      <c r="G42" s="3043"/>
    </row>
    <row r="43" spans="1:13">
      <c r="A43" s="3044" t="s">
        <v>2545</v>
      </c>
      <c r="B43" s="3045" t="s">
        <v>2546</v>
      </c>
      <c r="C43" s="3046" t="s">
        <v>2547</v>
      </c>
      <c r="D43" s="3046" t="s">
        <v>2548</v>
      </c>
      <c r="E43" s="3047" t="s">
        <v>2549</v>
      </c>
      <c r="F43" s="3048"/>
      <c r="G43" s="3049"/>
      <c r="I43" s="3056" t="s">
        <v>2557</v>
      </c>
      <c r="J43" s="3056" t="s">
        <v>2568</v>
      </c>
    </row>
    <row r="44" spans="1:13">
      <c r="A44" s="3044" t="s">
        <v>2550</v>
      </c>
      <c r="B44" s="3045" t="s">
        <v>2551</v>
      </c>
      <c r="C44" s="3046" t="s">
        <v>2552</v>
      </c>
      <c r="D44" s="3050">
        <v>0.5</v>
      </c>
      <c r="E44" s="3047" t="s">
        <v>2553</v>
      </c>
      <c r="F44" s="3048"/>
      <c r="G44" s="3049"/>
      <c r="I44" s="3056">
        <v>30</v>
      </c>
      <c r="J44" s="3056">
        <v>81.7</v>
      </c>
    </row>
    <row r="45" spans="1:13" ht="14.25" thickBot="1">
      <c r="A45" s="3051" t="s">
        <v>2554</v>
      </c>
      <c r="B45" s="3052" t="s">
        <v>2541</v>
      </c>
      <c r="C45" s="3053" t="s">
        <v>2541</v>
      </c>
      <c r="D45" s="3053" t="s">
        <v>2555</v>
      </c>
      <c r="E45" s="3054" t="s">
        <v>2556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8" sqref="M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85" t="str">
        <f>IF(B10="北京市","北京市",C10)&amp;F10&amp;IF(结果表!G1="在建","出让国有建设用地使用权及在建建筑物",IF(结果表!G1="土地","出让国有建设用地使用权",))&amp;B9&amp;"预评估"</f>
        <v>预评估</v>
      </c>
      <c r="C1" s="3586"/>
      <c r="D1" s="3586"/>
      <c r="E1" s="3586"/>
      <c r="F1" s="3586"/>
      <c r="G1" s="3586"/>
      <c r="H1" s="3586"/>
      <c r="I1" s="358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45062</v>
      </c>
      <c r="C3" s="2372" t="s">
        <v>2170</v>
      </c>
      <c r="D3" s="2371">
        <f>B3</f>
        <v>45062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88" t="s">
        <v>2176</v>
      </c>
      <c r="E8" s="2389"/>
      <c r="F8" s="2390"/>
      <c r="G8" s="2661"/>
      <c r="H8" s="2661"/>
      <c r="I8" s="2661"/>
      <c r="J8" s="2437"/>
      <c r="K8" s="2612"/>
      <c r="L8" s="2611"/>
      <c r="M8" s="2611"/>
      <c r="N8" s="2437"/>
      <c r="O8" s="2448"/>
      <c r="P8" s="2437"/>
      <c r="Q8" s="2437"/>
      <c r="R8" s="2437"/>
    </row>
    <row r="9" spans="1:30" ht="13.5" thickBot="1">
      <c r="A9" s="2391" t="s">
        <v>2177</v>
      </c>
      <c r="B9" s="2392"/>
      <c r="C9" s="2393"/>
      <c r="D9" s="3589"/>
      <c r="E9" s="2392"/>
      <c r="F9" s="2394"/>
      <c r="G9" s="2663"/>
      <c r="H9" s="2663"/>
      <c r="I9" s="2663"/>
      <c r="J9" s="2437"/>
      <c r="K9" s="2614"/>
      <c r="L9" s="2611"/>
      <c r="M9" s="2611"/>
      <c r="N9" s="2437"/>
      <c r="O9" s="2448"/>
      <c r="P9" s="2437"/>
      <c r="Q9" s="2437"/>
      <c r="R9" s="2437"/>
    </row>
    <row r="10" spans="1:30" ht="13.5" thickTop="1">
      <c r="A10" s="2395" t="s">
        <v>2178</v>
      </c>
      <c r="B10" s="2396"/>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2569</v>
      </c>
      <c r="J12" s="3060"/>
      <c r="K12" s="2611"/>
      <c r="L12" s="2611"/>
      <c r="M12" s="2437"/>
      <c r="N12" s="2448"/>
      <c r="O12" s="2437"/>
      <c r="P12" s="2437"/>
      <c r="Q12" s="2437"/>
      <c r="AD12" s="1743"/>
    </row>
    <row r="13" spans="1:30">
      <c r="A13" s="3421" t="s">
        <v>3327</v>
      </c>
      <c r="B13" s="2405" t="s">
        <v>2189</v>
      </c>
      <c r="C13" s="854"/>
      <c r="D13" s="854">
        <v>54001</v>
      </c>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24.49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95"/>
      <c r="C16" s="3596"/>
      <c r="D16" s="3597"/>
      <c r="E16" s="2411" t="s">
        <v>2193</v>
      </c>
      <c r="F16" s="3598"/>
      <c r="G16" s="3599"/>
      <c r="H16" s="3599"/>
      <c r="I16" s="3600"/>
      <c r="J16" s="2437"/>
      <c r="K16" s="2615"/>
      <c r="L16" s="2449"/>
      <c r="M16" s="2449"/>
      <c r="N16" s="2507"/>
      <c r="O16" s="2449"/>
      <c r="P16" s="2507"/>
      <c r="Q16" s="2437"/>
      <c r="R16" s="2437"/>
    </row>
    <row r="17" spans="1:28">
      <c r="A17" s="313" t="s">
        <v>2194</v>
      </c>
      <c r="B17" s="302" t="s">
        <v>2195</v>
      </c>
      <c r="C17" s="8">
        <f>'数据-汇总表'!E3</f>
        <v>408.56</v>
      </c>
      <c r="D17" s="2320" t="s">
        <v>2196</v>
      </c>
      <c r="E17" s="3601" t="s">
        <v>2197</v>
      </c>
      <c r="F17" s="3602"/>
      <c r="G17" s="3602"/>
      <c r="H17" s="3602"/>
      <c r="I17" s="360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604" t="s">
        <v>2201</v>
      </c>
      <c r="F18" s="3605"/>
      <c r="G18" s="3605"/>
      <c r="H18" s="3605"/>
      <c r="I18" s="360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91" t="s">
        <v>2205</v>
      </c>
      <c r="C20" s="3592"/>
      <c r="D20" s="3593" t="s">
        <v>2206</v>
      </c>
      <c r="E20" s="3594"/>
      <c r="F20" s="2645" t="s">
        <v>1056</v>
      </c>
      <c r="G20" s="2662"/>
      <c r="H20" s="2662"/>
      <c r="I20" s="2662"/>
      <c r="J20" s="2437"/>
      <c r="K20" s="359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9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9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608"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08"/>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08"/>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09"/>
      <c r="B30" s="302" t="s">
        <v>2217</v>
      </c>
      <c r="C30" s="3610"/>
      <c r="D30" s="3611"/>
      <c r="E30" s="2662"/>
      <c r="F30" s="2662"/>
      <c r="G30" s="2662"/>
      <c r="H30" s="2662"/>
      <c r="I30" s="2662"/>
      <c r="J30" s="2437"/>
      <c r="K30" s="2614"/>
      <c r="L30" s="2611"/>
      <c r="M30" s="2611"/>
      <c r="N30" s="2437"/>
      <c r="O30" s="2448"/>
      <c r="P30" s="2437"/>
      <c r="Q30" s="2437"/>
      <c r="R30" s="2437"/>
      <c r="S30" s="2437"/>
      <c r="T30" s="2437"/>
      <c r="U30" s="2437"/>
      <c r="V30" s="2437"/>
    </row>
    <row r="31" spans="1:28">
      <c r="A31" s="3612"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61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61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607" t="s">
        <v>2227</v>
      </c>
      <c r="T34" s="2426" t="str">
        <f>NUMBERSTRING(7-K34,1)&amp;"通"</f>
        <v>七通</v>
      </c>
      <c r="U34" s="2437"/>
      <c r="V34" s="2437"/>
    </row>
    <row r="35" spans="1:30">
      <c r="A35" s="2427"/>
      <c r="B35" s="3614" t="s">
        <v>2228</v>
      </c>
      <c r="C35" s="3614"/>
      <c r="D35" s="3614"/>
      <c r="E35" s="3614"/>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7"/>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2572</v>
      </c>
      <c r="G36" s="2662"/>
      <c r="H36" s="2662"/>
      <c r="I36" s="2662"/>
      <c r="J36" s="2437"/>
      <c r="K36" s="2614"/>
      <c r="L36" s="2611"/>
      <c r="M36" s="2611"/>
      <c r="N36" s="2437"/>
      <c r="O36" s="2448"/>
      <c r="P36" s="2437"/>
      <c r="Q36" s="2437"/>
      <c r="R36" s="2437"/>
      <c r="S36" s="2437"/>
      <c r="T36" s="2437"/>
      <c r="U36" s="2437"/>
      <c r="V36" s="2437"/>
    </row>
    <row r="37" spans="1:30">
      <c r="A37" s="2628" t="s">
        <v>2229</v>
      </c>
      <c r="B37" s="2429" t="s">
        <v>303</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233</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1437.58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1437.58</v>
      </c>
      <c r="H5" s="13">
        <f t="shared" ref="H5:AT5" si="0">SUM(H13:H656)</f>
        <v>1437.58</v>
      </c>
      <c r="I5" s="13">
        <f t="shared" si="0"/>
        <v>1437.58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408.56</v>
      </c>
      <c r="BA5" s="15">
        <f t="shared" si="1"/>
        <v>408.56</v>
      </c>
      <c r="BB5" s="15">
        <f t="shared" si="1"/>
        <v>408.56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3368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8">
        <v>102</v>
      </c>
      <c r="D13" s="1623" t="s">
        <v>3367</v>
      </c>
      <c r="E13" s="13">
        <f>IF($C$3="是",ROUND($A$3*G13/$B$3,2),ROUND($A$3*(G13-AT13)/$B$3,2))</f>
        <v>0</v>
      </c>
      <c r="F13" s="29"/>
      <c r="G13" s="30">
        <f>H13+AC13+AT13</f>
        <v>408.56</v>
      </c>
      <c r="H13" s="17">
        <f>SUMIF(I$12:AB$12,"总值",I13:AB13)</f>
        <v>408.56</v>
      </c>
      <c r="I13" s="1624">
        <v>408.56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102</v>
      </c>
      <c r="AY13" s="1347">
        <f>ROUND($AY$6*AZ13/$AZ$5,2)</f>
        <v>0</v>
      </c>
      <c r="AZ13" s="13">
        <f>BA13+BL13</f>
        <v>408.56</v>
      </c>
      <c r="BA13" s="13">
        <f>SUM(BB13:BK13)</f>
        <v>408.56</v>
      </c>
      <c r="BB13" s="13">
        <f>IF($D13="是",I13-J13,0)</f>
        <v>408.56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103</v>
      </c>
      <c r="D14" s="1623"/>
      <c r="E14" s="13">
        <f>IF($C$3="是",ROUND($A$3*G14/$B$3,2),ROUND($A$3*(G14-AT14)/$B$3,2))</f>
        <v>0</v>
      </c>
      <c r="F14" s="29"/>
      <c r="G14" s="30">
        <f>H14+AC14+AT14</f>
        <v>350.84</v>
      </c>
      <c r="H14" s="17">
        <f>SUMIF(I$12:AB$12,"总值",I14:AB14)</f>
        <v>350.84</v>
      </c>
      <c r="I14" s="1624">
        <v>350.84</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103</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v>202</v>
      </c>
      <c r="D15" s="1623"/>
      <c r="E15" s="13">
        <f>IF($C$3="是",ROUND($A$3*G15/$B$3,2),ROUND($A$3*(G15-AT15)/$B$3,2))</f>
        <v>0</v>
      </c>
      <c r="F15" s="29"/>
      <c r="G15" s="30">
        <f>H15+AC15+AT15</f>
        <v>333.04</v>
      </c>
      <c r="H15" s="17">
        <f>SUMIF(I$12:AB$12,"总值",I15:AB15)</f>
        <v>333.04</v>
      </c>
      <c r="I15" s="1624">
        <v>333.04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202</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v>203</v>
      </c>
      <c r="D16" s="1623"/>
      <c r="E16" s="13">
        <f>IF($C$3="是",ROUND($A$3*G16/$B$3,2),ROUND($A$3*(G16-AT16)/$B$3,2))</f>
        <v>0</v>
      </c>
      <c r="F16" s="29"/>
      <c r="G16" s="30">
        <f>H16+AC16+AT16</f>
        <v>345.14</v>
      </c>
      <c r="H16" s="17">
        <f>SUMIF(I$12:AB$12,"总值",I16:AB16)</f>
        <v>345.14</v>
      </c>
      <c r="I16" s="1624">
        <v>345.14</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203</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24" t="s">
        <v>1131</v>
      </c>
      <c r="B2" s="3624"/>
      <c r="C2" s="3624"/>
      <c r="D2" s="794" t="s">
        <v>1107</v>
      </c>
      <c r="E2" s="1637" t="s">
        <v>1108</v>
      </c>
      <c r="F2" s="2657"/>
      <c r="G2" s="2648"/>
      <c r="H2" s="2649"/>
      <c r="I2" s="2323" t="s">
        <v>1132</v>
      </c>
      <c r="J2" s="2657"/>
      <c r="K2" s="2657"/>
      <c r="L2" s="2657"/>
      <c r="M2" s="2657"/>
      <c r="N2" s="2659"/>
      <c r="O2" s="2657"/>
      <c r="P2" s="2657"/>
    </row>
    <row r="3" spans="1:16" ht="15.75" thickBot="1">
      <c r="A3" s="3625" t="s">
        <v>1105</v>
      </c>
      <c r="B3" s="3625"/>
      <c r="C3" s="3625"/>
      <c r="D3" s="43">
        <f>'数据-基础表'!AY6</f>
        <v>0</v>
      </c>
      <c r="E3" s="43">
        <f>'数据-基础表'!AZ5</f>
        <v>408.56</v>
      </c>
      <c r="F3" s="2657"/>
      <c r="G3" s="1143"/>
      <c r="H3" s="1024" t="s">
        <v>1106</v>
      </c>
      <c r="I3" s="853" t="e">
        <f>ROUND('数据-基础表'!B3/'数据-基础表'!A3,2)</f>
        <v>#DIV/0!</v>
      </c>
      <c r="J3" s="2657"/>
      <c r="K3" s="2657"/>
      <c r="L3" s="2657"/>
      <c r="M3" s="2657"/>
      <c r="N3" s="2659"/>
      <c r="O3" s="2657"/>
      <c r="P3" s="2657"/>
    </row>
    <row r="4" spans="1:16" ht="15">
      <c r="A4" s="3626"/>
      <c r="B4" s="3627"/>
      <c r="C4" s="362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629" t="s">
        <v>1110</v>
      </c>
      <c r="C5" s="362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629" t="s">
        <v>1111</v>
      </c>
      <c r="C6" s="3629"/>
      <c r="D6" s="45">
        <f>ROUND($D$3*E6/$E$3,2)</f>
        <v>0</v>
      </c>
      <c r="E6" s="46">
        <f>E3-E5</f>
        <v>408.56</v>
      </c>
      <c r="F6" s="2657"/>
      <c r="G6" s="2651" t="s">
        <v>1112</v>
      </c>
      <c r="H6" s="1144" t="s">
        <v>1113</v>
      </c>
      <c r="I6" s="2652" t="e">
        <f>ROUND(F31/D31,2)</f>
        <v>#DIV/0!</v>
      </c>
      <c r="J6" s="2657"/>
      <c r="K6" s="2657"/>
      <c r="L6" s="2657"/>
      <c r="M6" s="2657"/>
      <c r="N6" s="2657"/>
      <c r="O6" s="2657"/>
      <c r="P6" s="2657"/>
    </row>
    <row r="7" spans="1:16" ht="15.75" thickBot="1">
      <c r="A7" s="3621"/>
      <c r="B7" s="3622"/>
      <c r="C7" s="3623"/>
      <c r="D7" s="1639" t="s">
        <v>1107</v>
      </c>
      <c r="E7" s="1643"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408.56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408.56</v>
      </c>
      <c r="F16" s="2657"/>
      <c r="G16" s="2658"/>
      <c r="H16" s="1646" t="s">
        <v>1135</v>
      </c>
      <c r="I16" s="1647"/>
      <c r="J16" s="1137"/>
      <c r="K16" s="3618" t="s">
        <v>1135</v>
      </c>
      <c r="L16" s="3619"/>
      <c r="M16" s="3619"/>
      <c r="N16" s="3619"/>
      <c r="O16" s="3619"/>
      <c r="P16" s="3620"/>
    </row>
    <row r="17" spans="1:19" ht="15">
      <c r="A17" s="1648" t="s">
        <v>1136</v>
      </c>
      <c r="B17" s="1649" t="s">
        <v>1137</v>
      </c>
      <c r="C17" s="1650" t="s">
        <v>1138</v>
      </c>
      <c r="D17" s="1651" t="s">
        <v>1126</v>
      </c>
      <c r="E17" s="1652" t="s">
        <v>1127</v>
      </c>
      <c r="F17" s="1653"/>
      <c r="G17" s="1654"/>
      <c r="H17" s="1655" t="s">
        <v>1139</v>
      </c>
      <c r="I17" s="1656" t="s">
        <v>1124</v>
      </c>
      <c r="J17" s="1137"/>
      <c r="K17" s="3615" t="s">
        <v>1140</v>
      </c>
      <c r="L17" s="3616"/>
      <c r="M17" s="3617"/>
      <c r="N17" s="3615" t="s">
        <v>1141</v>
      </c>
      <c r="O17" s="3616"/>
      <c r="P17" s="361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f>'数据-基础表'!C13</f>
        <v>102</v>
      </c>
      <c r="D19" s="45">
        <f>ROUND($D$3*E19/$E$3,2)</f>
        <v>0</v>
      </c>
      <c r="E19" s="53">
        <f t="shared" ref="E19:E26" si="1">SUM(F19:G19)</f>
        <v>408.56</v>
      </c>
      <c r="F19" s="2793">
        <f>'数据-基础表'!I13</f>
        <v>408.56</v>
      </c>
      <c r="G19" s="2794">
        <f>'数据-基础表'!K13</f>
        <v>0</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408.56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408.56</v>
      </c>
      <c r="F27" s="1138">
        <f>IF(SUM(F19:F26)=E8,SUM(F19:F26),"地上面积有误")</f>
        <v>408.56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408.56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408.56</v>
      </c>
      <c r="F31" s="675">
        <f>F27+F30</f>
        <v>408.56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45062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3369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102</v>
      </c>
      <c r="B6" s="1711" t="str">
        <f>IF(A6=0,"","经营性")</f>
        <v>经营性</v>
      </c>
      <c r="C6" s="1712" t="s">
        <v>673</v>
      </c>
      <c r="D6" s="856">
        <f>SUMIF(项目基本情况!C$12:I$12,C6,项目基本情况!C$14:I$14)</f>
        <v>0</v>
      </c>
      <c r="E6" s="855">
        <f>IF(B6="","",SUMIF(项目基本情况!C$12:I$12,C6,项目基本情况!C$13:I$13))</f>
        <v>54001</v>
      </c>
      <c r="F6" s="64">
        <f>SUMIF(项目基本情况!C$12:I$12,C6,项目基本情况!C$15:I$15)</f>
        <v>24.49</v>
      </c>
      <c r="G6" s="65">
        <f>IF(ISERROR(ROUND(POWER(1+H6,D6-F6)*(POWER(1+H6,F6)-1)/(POWER(1+H6,D6)-1),3)),0,ROUND(POWER(1+H6,D6-F6)*(POWER(1+H6,F6)-1)/(POWER(1+H6,D6)-1),3))</f>
        <v>0</v>
      </c>
      <c r="H6" s="730">
        <v>0.05</v>
      </c>
      <c r="I6" s="730">
        <v>5.5E-2</v>
      </c>
      <c r="J6" s="66">
        <v>7.4999999999999997E-2</v>
      </c>
      <c r="K6" s="1028">
        <f>SUMIF('数据-汇总表'!C$19:C$33,A6,'数据-汇总表'!E$19:E$33)</f>
        <v>408.56</v>
      </c>
      <c r="L6" s="731">
        <v>2400</v>
      </c>
      <c r="M6" s="67">
        <f t="shared" ref="M6:M14" si="0">ROUND(K6*L6/10000,0)</f>
        <v>98</v>
      </c>
      <c r="N6" s="729">
        <f>ROUND(1-(2023-2007)/60,2)</f>
        <v>0.73</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v>1.4999999999999999E-2</v>
      </c>
      <c r="AL6" s="79">
        <v>1.5E-3</v>
      </c>
      <c r="AM6" s="80">
        <v>0.01</v>
      </c>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408.56</v>
      </c>
      <c r="L16" s="93">
        <f>ROUND(M16*10000/SUM(K6:K14),0)</f>
        <v>2399</v>
      </c>
      <c r="M16" s="93">
        <f>SUM(M6:M14)</f>
        <v>98</v>
      </c>
      <c r="N16" s="94">
        <f>ROUND(SUMPRODUCT(M6:M14,N6:N14)/M16,3)</f>
        <v>0.73</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成本法!C9</f>
        <v>0</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3566</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30" t="s">
        <v>2276</v>
      </c>
      <c r="B1" s="3631"/>
      <c r="C1" s="3631"/>
      <c r="D1" s="3631"/>
      <c r="E1" s="3631"/>
      <c r="F1" s="3631"/>
      <c r="G1" s="363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3350</v>
      </c>
      <c r="D10" s="2510" t="s">
        <v>3351</v>
      </c>
      <c r="E10" s="3439"/>
      <c r="F10" s="3443" t="s">
        <v>3352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99" t="str">
        <f>项目基本情况!S2</f>
        <v>房地产</v>
      </c>
      <c r="B2" s="3700"/>
      <c r="C2" s="3700"/>
      <c r="D2" s="3700"/>
      <c r="E2" s="3700"/>
      <c r="F2" s="3700"/>
      <c r="G2" s="3700"/>
      <c r="H2" s="3700"/>
      <c r="I2" s="3701"/>
    </row>
    <row r="3" spans="1:12" ht="12.75">
      <c r="A3" s="3703" t="s">
        <v>1264</v>
      </c>
      <c r="B3" s="3704"/>
      <c r="C3" s="3704"/>
      <c r="D3" s="3704"/>
      <c r="E3" s="3704"/>
      <c r="F3" s="3704"/>
      <c r="G3" s="3704"/>
      <c r="H3" s="3704"/>
      <c r="I3" s="3704"/>
    </row>
    <row r="4" spans="1:12" ht="14.25">
      <c r="A4" s="1752" t="s">
        <v>1265</v>
      </c>
      <c r="B4" s="1753" t="s">
        <v>1266</v>
      </c>
      <c r="C4" s="1754"/>
      <c r="D4" s="1754"/>
      <c r="E4" s="3708" t="s">
        <v>1267</v>
      </c>
      <c r="F4" s="3709"/>
      <c r="G4" s="3709"/>
      <c r="H4" s="3709"/>
      <c r="I4" s="371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47" t="s">
        <v>1268</v>
      </c>
      <c r="B5" s="3702">
        <v>25</v>
      </c>
      <c r="C5" s="3705"/>
      <c r="D5" s="3693"/>
      <c r="E5" s="131" t="s">
        <v>1269</v>
      </c>
      <c r="F5" s="1755"/>
      <c r="G5" s="1755"/>
      <c r="H5" s="1755"/>
      <c r="I5" s="1371"/>
    </row>
    <row r="6" spans="1:12" ht="12.75">
      <c r="A6" s="3647"/>
      <c r="B6" s="3702"/>
      <c r="C6" s="3707"/>
      <c r="D6" s="3693"/>
      <c r="E6" s="131" t="s">
        <v>1270</v>
      </c>
      <c r="F6" s="1755"/>
      <c r="G6" s="1755"/>
      <c r="H6" s="1755"/>
      <c r="I6" s="1371"/>
    </row>
    <row r="7" spans="1:12" ht="12.75">
      <c r="A7" s="3647"/>
      <c r="B7" s="3702"/>
      <c r="C7" s="3706"/>
      <c r="D7" s="3693"/>
      <c r="E7" s="131" t="s">
        <v>1271</v>
      </c>
      <c r="F7" s="1755"/>
      <c r="G7" s="1755"/>
      <c r="H7" s="1755"/>
      <c r="I7" s="1371"/>
    </row>
    <row r="8" spans="1:12" ht="12.75">
      <c r="A8" s="3647" t="s">
        <v>1272</v>
      </c>
      <c r="B8" s="3702">
        <v>15</v>
      </c>
      <c r="C8" s="3705"/>
      <c r="D8" s="3693"/>
      <c r="E8" s="131" t="s">
        <v>1273</v>
      </c>
      <c r="F8" s="1755"/>
      <c r="G8" s="1755"/>
      <c r="H8" s="1755"/>
      <c r="I8" s="1371"/>
    </row>
    <row r="9" spans="1:12" ht="12.75">
      <c r="A9" s="3647"/>
      <c r="B9" s="3702"/>
      <c r="C9" s="3706"/>
      <c r="D9" s="3693"/>
      <c r="E9" s="131" t="s">
        <v>1274</v>
      </c>
      <c r="F9" s="1755"/>
      <c r="G9" s="1755"/>
      <c r="H9" s="1755"/>
      <c r="I9" s="1371"/>
    </row>
    <row r="10" spans="1:12" ht="12.75">
      <c r="A10" s="3647" t="s">
        <v>1275</v>
      </c>
      <c r="B10" s="3702">
        <v>15</v>
      </c>
      <c r="C10" s="3705"/>
      <c r="D10" s="3693"/>
      <c r="E10" s="131" t="s">
        <v>1276</v>
      </c>
      <c r="F10" s="1755"/>
      <c r="G10" s="1755"/>
      <c r="H10" s="1755"/>
      <c r="I10" s="1371"/>
    </row>
    <row r="11" spans="1:12" ht="12.75">
      <c r="A11" s="3647"/>
      <c r="B11" s="3702"/>
      <c r="C11" s="3706"/>
      <c r="D11" s="3693"/>
      <c r="E11" s="131" t="s">
        <v>1277</v>
      </c>
      <c r="F11" s="1755"/>
      <c r="G11" s="1755"/>
      <c r="H11" s="1755"/>
      <c r="I11" s="1371"/>
    </row>
    <row r="12" spans="1:12" ht="12.75">
      <c r="A12" s="3647" t="s">
        <v>1278</v>
      </c>
      <c r="B12" s="3702">
        <v>15</v>
      </c>
      <c r="C12" s="3705"/>
      <c r="D12" s="3693"/>
      <c r="E12" s="131" t="s">
        <v>1279</v>
      </c>
      <c r="F12" s="1755"/>
      <c r="G12" s="1755"/>
      <c r="H12" s="1755"/>
      <c r="I12" s="1371"/>
    </row>
    <row r="13" spans="1:12" ht="12.75">
      <c r="A13" s="3647"/>
      <c r="B13" s="3702"/>
      <c r="C13" s="3706"/>
      <c r="D13" s="3693"/>
      <c r="E13" s="131" t="s">
        <v>1280</v>
      </c>
      <c r="F13" s="1755"/>
      <c r="G13" s="1755"/>
      <c r="H13" s="1755"/>
      <c r="I13" s="1371"/>
    </row>
    <row r="14" spans="1:12" ht="12.75">
      <c r="A14" s="3647" t="s">
        <v>1281</v>
      </c>
      <c r="B14" s="3702">
        <v>30</v>
      </c>
      <c r="C14" s="3705"/>
      <c r="D14" s="3693"/>
      <c r="E14" s="131" t="s">
        <v>1282</v>
      </c>
      <c r="F14" s="1755"/>
      <c r="G14" s="1755"/>
      <c r="H14" s="1755"/>
      <c r="I14" s="1371"/>
    </row>
    <row r="15" spans="1:12" ht="12.75">
      <c r="A15" s="3647"/>
      <c r="B15" s="3702"/>
      <c r="C15" s="3707"/>
      <c r="D15" s="3693"/>
      <c r="E15" s="131" t="s">
        <v>1283</v>
      </c>
      <c r="F15" s="1755"/>
      <c r="G15" s="1755"/>
      <c r="H15" s="1755"/>
      <c r="I15" s="1371"/>
    </row>
    <row r="16" spans="1:12" ht="12.75">
      <c r="A16" s="3647"/>
      <c r="B16" s="3702"/>
      <c r="C16" s="3706"/>
      <c r="D16" s="3693"/>
      <c r="E16" s="131" t="s">
        <v>1284</v>
      </c>
      <c r="F16" s="1755"/>
      <c r="G16" s="1755"/>
      <c r="H16" s="1755"/>
      <c r="I16" s="1371"/>
    </row>
    <row r="17" spans="1:36" ht="15">
      <c r="A17" s="1756" t="s">
        <v>1285</v>
      </c>
      <c r="B17" s="56"/>
      <c r="C17" s="132">
        <f>SUM(C5:C16)</f>
        <v>0</v>
      </c>
      <c r="D17" s="132">
        <f>SUM(D5:D16)</f>
        <v>0</v>
      </c>
      <c r="E17" s="129"/>
      <c r="F17" s="129"/>
      <c r="G17" s="129"/>
      <c r="H17" s="129"/>
      <c r="I17" s="129"/>
      <c r="K17" s="302"/>
      <c r="L17" s="302" t="s">
        <v>1286</v>
      </c>
      <c r="M17" s="302" t="s">
        <v>1287</v>
      </c>
    </row>
    <row r="18" spans="1:36" ht="31.9" customHeight="1" thickBot="1">
      <c r="A18" s="1757" t="s">
        <v>1288</v>
      </c>
      <c r="B18" s="1758"/>
      <c r="C18" s="133" t="e">
        <f>ROUND(C17/SUM(C17:D17),2)</f>
        <v>#DIV/0!</v>
      </c>
      <c r="D18" s="133" t="e">
        <f>1-C18</f>
        <v>#DIV/0!</v>
      </c>
      <c r="E18" s="3724" t="s">
        <v>2130</v>
      </c>
      <c r="F18" s="3725"/>
      <c r="G18" s="3725"/>
      <c r="H18" s="3725"/>
      <c r="I18" s="3725"/>
      <c r="K18" s="302" t="s">
        <v>1289</v>
      </c>
      <c r="L18" s="302">
        <f>IF(C1="",'数据-汇总表'!E3,SUMIF(项目类型,C1,'数据-汇总表'!E17:E26)+SUMIF(项目类型,C1,'数据-汇总表'!I17:I26))</f>
        <v>408.56</v>
      </c>
      <c r="M18" s="302">
        <f>IF(C1="",'数据-汇总表'!E3,SUMIF(项目类型,C1,'数据-汇总表'!E17:E26))</f>
        <v>408.56</v>
      </c>
    </row>
    <row r="19" spans="1:36" ht="15">
      <c r="A19" s="1759" t="s">
        <v>1290</v>
      </c>
      <c r="B19" s="1760" t="s">
        <v>1291</v>
      </c>
      <c r="C19" s="134" t="e">
        <f ca="1">SUMIF(INDIRECT("'"&amp;C4&amp;"'"&amp;"!A:A"),结果表!B19,INDIRECT("'"&amp;C4&amp;"'"&amp;"!B:B"))</f>
        <v>#REF!</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#REF!</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#REF!</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717" t="s">
        <v>1299</v>
      </c>
      <c r="B24" s="1760" t="s">
        <v>1291</v>
      </c>
      <c r="C24" s="136">
        <f>IF(B30=0,0,D30)</f>
        <v>0</v>
      </c>
      <c r="D24" s="1767"/>
      <c r="E24" s="129"/>
      <c r="F24" s="129"/>
      <c r="G24" s="129"/>
      <c r="H24" s="129"/>
      <c r="I24" s="129"/>
    </row>
    <row r="25" spans="1:36" ht="14.25">
      <c r="A25" s="371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94" t="s">
        <v>1312</v>
      </c>
      <c r="B36" s="1785" t="s">
        <v>1313</v>
      </c>
      <c r="C36" s="145"/>
      <c r="D36" s="1786"/>
      <c r="E36" s="1787"/>
      <c r="F36" s="1788"/>
      <c r="G36" s="129"/>
      <c r="H36" s="129"/>
      <c r="I36" s="129"/>
    </row>
    <row r="37" spans="1:15" ht="15.75" thickBot="1">
      <c r="A37" s="3695"/>
      <c r="B37" s="1672" t="s">
        <v>1314</v>
      </c>
      <c r="C37" s="147"/>
      <c r="D37" s="1137"/>
      <c r="E37" s="1137"/>
      <c r="F37" s="1788"/>
      <c r="G37" s="129"/>
      <c r="H37" s="129"/>
      <c r="I37" s="129"/>
    </row>
    <row r="38" spans="1:15" ht="15.75" thickBot="1">
      <c r="A38" s="369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14" t="s">
        <v>1326</v>
      </c>
      <c r="B45" s="3715"/>
      <c r="C45" s="3716"/>
      <c r="D45" s="155" t="e">
        <f ca="1">ROUND(H101*F45,0)</f>
        <v>#REF!</v>
      </c>
      <c r="E45" s="156" t="s">
        <v>1327</v>
      </c>
      <c r="F45" s="157">
        <v>1</v>
      </c>
      <c r="G45" s="158" t="s">
        <v>1328</v>
      </c>
      <c r="H45" s="129"/>
      <c r="I45" s="129"/>
      <c r="J45" s="3634" t="s">
        <v>1329</v>
      </c>
      <c r="K45" s="3634"/>
      <c r="L45" s="3634"/>
      <c r="M45" s="3634"/>
      <c r="N45" s="3634"/>
      <c r="O45" s="3634"/>
    </row>
    <row r="46" spans="1:15" ht="14.25" customHeight="1">
      <c r="A46" s="3711" t="s">
        <v>1330</v>
      </c>
      <c r="B46" s="3712"/>
      <c r="C46" s="3712"/>
      <c r="D46" s="3712"/>
      <c r="E46" s="3712"/>
      <c r="F46" s="3712"/>
      <c r="G46" s="3713"/>
      <c r="H46" s="1804"/>
      <c r="I46" s="159"/>
      <c r="J46" s="2521">
        <v>1</v>
      </c>
      <c r="K46" s="3635" t="s">
        <v>1331</v>
      </c>
      <c r="L46" s="3635"/>
      <c r="M46" s="3636"/>
      <c r="N46" s="3636"/>
      <c r="O46" s="3636"/>
    </row>
    <row r="47" spans="1:15" ht="12" customHeight="1">
      <c r="A47" s="160" t="s">
        <v>1332</v>
      </c>
      <c r="B47" s="161"/>
      <c r="C47" s="162"/>
      <c r="D47" s="1085" t="s">
        <v>1333</v>
      </c>
      <c r="E47" s="302" t="s">
        <v>1334</v>
      </c>
      <c r="F47" s="163" t="s">
        <v>1335</v>
      </c>
      <c r="G47" s="2544" t="s">
        <v>1336</v>
      </c>
      <c r="H47" s="2545"/>
      <c r="I47" s="159"/>
      <c r="J47" s="2521">
        <v>2</v>
      </c>
      <c r="K47" s="3635" t="s">
        <v>1337</v>
      </c>
      <c r="L47" s="3635"/>
      <c r="M47" s="3637">
        <f>'数据-取费表'!B2</f>
        <v>45062</v>
      </c>
      <c r="N47" s="3637"/>
      <c r="O47" s="3637"/>
    </row>
    <row r="48" spans="1:15" ht="25.5">
      <c r="A48" s="3697" t="s">
        <v>1338</v>
      </c>
      <c r="B48" s="3698"/>
      <c r="C48" s="369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35" t="s">
        <v>1340</v>
      </c>
      <c r="L48" s="3635"/>
      <c r="M48" s="3638" t="e">
        <f ca="1">H101</f>
        <v>#REF!</v>
      </c>
      <c r="N48" s="3638"/>
      <c r="O48" s="3638"/>
    </row>
    <row r="49" spans="1:35" ht="25.5" customHeight="1">
      <c r="A49" s="2331" t="s">
        <v>1341</v>
      </c>
      <c r="B49" s="3683" t="s">
        <v>1342</v>
      </c>
      <c r="C49" s="3683"/>
      <c r="D49" s="1588">
        <v>0</v>
      </c>
      <c r="E49" s="324" t="s">
        <v>1343</v>
      </c>
      <c r="F49" s="2422" t="s">
        <v>28</v>
      </c>
      <c r="G49" s="3666"/>
      <c r="H49" s="2308" t="s">
        <v>2133</v>
      </c>
      <c r="I49" s="2309"/>
      <c r="J49" s="2521">
        <v>4</v>
      </c>
      <c r="K49" s="3635" t="str">
        <f>IF(项目基本情况!E8="房地产抵押价值","房地产抵押价值","抵押担保权已注销时的房地产抵押价值")</f>
        <v>抵押担保权已注销时的房地产抵押价值</v>
      </c>
      <c r="L49" s="3635"/>
      <c r="M49" s="3638" t="str">
        <f>IF(项目基本情况!E8="房地产抵押价值",H107,H109)</f>
        <v>——</v>
      </c>
      <c r="N49" s="3638"/>
      <c r="O49" s="3638"/>
    </row>
    <row r="50" spans="1:35" ht="25.5" customHeight="1">
      <c r="A50" s="2549"/>
      <c r="B50" s="3683" t="s">
        <v>1344</v>
      </c>
      <c r="C50" s="3683"/>
      <c r="D50" s="2550"/>
      <c r="E50" s="332"/>
      <c r="F50" s="2422"/>
      <c r="G50" s="3667"/>
      <c r="H50" s="2310" t="s">
        <v>2134</v>
      </c>
      <c r="I50" s="2309"/>
      <c r="J50" s="3634" t="s">
        <v>1345</v>
      </c>
      <c r="K50" s="3634"/>
      <c r="L50" s="3634"/>
      <c r="M50" s="3634"/>
      <c r="N50" s="3634"/>
      <c r="O50" s="3634"/>
    </row>
    <row r="51" spans="1:35" ht="20.45" customHeight="1">
      <c r="A51" s="2551"/>
      <c r="B51" s="3683" t="s">
        <v>1346</v>
      </c>
      <c r="C51" s="3683"/>
      <c r="D51" s="1085"/>
      <c r="E51" s="327"/>
      <c r="F51" s="2422"/>
      <c r="G51" s="3668"/>
      <c r="H51" s="2310" t="s">
        <v>2135</v>
      </c>
      <c r="I51" s="2309"/>
      <c r="J51" s="2522" t="s">
        <v>1347</v>
      </c>
      <c r="K51" s="3635" t="s">
        <v>1348</v>
      </c>
      <c r="L51" s="3635"/>
      <c r="M51" s="2522" t="s">
        <v>1349</v>
      </c>
      <c r="N51" s="2522" t="s">
        <v>1350</v>
      </c>
      <c r="O51" s="2522" t="s">
        <v>1351</v>
      </c>
    </row>
    <row r="52" spans="1:35" ht="24" customHeight="1">
      <c r="A52" s="2333" t="s">
        <v>1352</v>
      </c>
      <c r="B52" s="3683" t="s">
        <v>1353</v>
      </c>
      <c r="C52" s="3683"/>
      <c r="D52" s="1085" t="e">
        <f ca="1">ROUND(D45*'数据-取费表'!B41/(1+'数据-取费表'!C42),0)</f>
        <v>#REF!</v>
      </c>
      <c r="E52" s="2332" t="s">
        <v>1354</v>
      </c>
      <c r="F52" s="2552">
        <f>'数据-取费表'!B41</f>
        <v>5.6000000000000001E-2</v>
      </c>
      <c r="G52" s="2553"/>
      <c r="H52" s="2542"/>
      <c r="I52" s="1805"/>
      <c r="J52" s="2521">
        <v>1</v>
      </c>
      <c r="K52" s="3660" t="s">
        <v>1355</v>
      </c>
      <c r="L52" s="3660"/>
      <c r="M52" s="2523" t="b">
        <f>D48</f>
        <v>0</v>
      </c>
      <c r="N52" s="2521" t="str">
        <f>E48</f>
        <v>销售额×税（费）率</v>
      </c>
      <c r="O52" s="2524">
        <f>F48</f>
        <v>5.6000000000000001E-2</v>
      </c>
    </row>
    <row r="53" spans="1:35" ht="12" customHeight="1">
      <c r="A53" s="2333" t="s">
        <v>1356</v>
      </c>
      <c r="B53" s="3684" t="s">
        <v>2281</v>
      </c>
      <c r="C53" s="3685"/>
      <c r="D53" s="1085" t="e">
        <f ca="1">ROUND(D45*'数据-取费表'!B41/(1+'数据-取费表'!C42),0)</f>
        <v>#REF!</v>
      </c>
      <c r="E53" s="2332" t="s">
        <v>1354</v>
      </c>
      <c r="F53" s="2552">
        <f>'数据-取费表'!B41</f>
        <v>5.6000000000000001E-2</v>
      </c>
      <c r="G53" s="2553"/>
      <c r="H53" s="2542"/>
      <c r="I53" s="1805"/>
      <c r="J53" s="2521">
        <v>2</v>
      </c>
      <c r="K53" s="3660" t="s">
        <v>1357</v>
      </c>
      <c r="L53" s="3660"/>
      <c r="M53" s="2523" t="e">
        <f t="shared" ref="M53:O54" ca="1" si="0">D55</f>
        <v>#REF!</v>
      </c>
      <c r="N53" s="2521" t="str">
        <f t="shared" si="0"/>
        <v>销售额×税（费）率</v>
      </c>
      <c r="O53" s="2524" t="str">
        <f t="shared" si="0"/>
        <v>免征</v>
      </c>
    </row>
    <row r="54" spans="1:35" ht="12" customHeight="1">
      <c r="A54" s="2333" t="s">
        <v>1358</v>
      </c>
      <c r="B54" s="3684" t="s">
        <v>2282</v>
      </c>
      <c r="C54" s="3685"/>
      <c r="D54" s="1085" t="e">
        <f ca="1">C68</f>
        <v>#REF!</v>
      </c>
      <c r="E54" s="327" t="s">
        <v>1359</v>
      </c>
      <c r="F54" s="2552">
        <f>'数据-取费表'!B41</f>
        <v>5.6000000000000001E-2</v>
      </c>
      <c r="G54" s="2553"/>
      <c r="H54" s="2554"/>
      <c r="I54" s="1805"/>
      <c r="J54" s="2521">
        <v>3</v>
      </c>
      <c r="K54" s="3660" t="s">
        <v>1360</v>
      </c>
      <c r="L54" s="3660"/>
      <c r="M54" s="2523" t="e">
        <f t="shared" ca="1" si="0"/>
        <v>#REF!</v>
      </c>
      <c r="N54" s="2521" t="str">
        <f t="shared" si="0"/>
        <v>增值额×税（费）率</v>
      </c>
      <c r="O54" s="2525" t="str">
        <f t="shared" si="0"/>
        <v>免征</v>
      </c>
    </row>
    <row r="55" spans="1:35" ht="24" customHeight="1">
      <c r="A55" s="3720" t="s">
        <v>1361</v>
      </c>
      <c r="B55" s="3698"/>
      <c r="C55" s="3698"/>
      <c r="D55" s="2322" t="e">
        <f ca="1">IF(H55="个人住宅",0,ROUND(D45*I55,0))</f>
        <v>#REF!</v>
      </c>
      <c r="E55" s="2332" t="s">
        <v>1362</v>
      </c>
      <c r="F55" s="2552" t="str">
        <f>IF(H55="正常",I55,"免征")</f>
        <v>免征</v>
      </c>
      <c r="G55" s="2553"/>
      <c r="H55" s="2548"/>
      <c r="I55" s="165">
        <f>'数据-取费表'!B49</f>
        <v>5.0000000000000001E-4</v>
      </c>
      <c r="J55" s="2521">
        <f>IF(H59="非个人房产","",4)</f>
        <v>4</v>
      </c>
      <c r="K55" s="3660" t="str">
        <f>IF(H59="非个人房产","——","个人所得税")</f>
        <v>个人所得税</v>
      </c>
      <c r="L55" s="3660"/>
      <c r="M55" s="2526" t="e">
        <f ca="1">D59</f>
        <v>#REF!</v>
      </c>
      <c r="N55" s="2038" t="str">
        <f>E59</f>
        <v>差额计税</v>
      </c>
      <c r="O55" s="2527">
        <f>F59</f>
        <v>0.01</v>
      </c>
    </row>
    <row r="56" spans="1:35" ht="24.75">
      <c r="A56" s="3720" t="s">
        <v>1363</v>
      </c>
      <c r="B56" s="3698"/>
      <c r="C56" s="3698"/>
      <c r="D56" s="2322" t="e">
        <f ca="1">IF(H56="个人住宅",D57,D58)</f>
        <v>#REF!</v>
      </c>
      <c r="E56" s="2332" t="s">
        <v>1364</v>
      </c>
      <c r="F56" s="2552" t="str">
        <f>IF(H56="正常",F58,"免征")</f>
        <v>免征</v>
      </c>
      <c r="G56" s="2555" t="s">
        <v>1365</v>
      </c>
      <c r="H56" s="2556"/>
      <c r="I56" s="1806"/>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2.75">
      <c r="A57" s="2333" t="s">
        <v>1341</v>
      </c>
      <c r="B57" s="3684" t="s">
        <v>1366</v>
      </c>
      <c r="C57" s="3685"/>
      <c r="D57" s="1588">
        <v>0</v>
      </c>
      <c r="E57" s="324" t="s">
        <v>1343</v>
      </c>
      <c r="F57" s="302"/>
      <c r="G57" s="2553"/>
      <c r="H57" s="2557"/>
      <c r="I57" s="1806"/>
      <c r="J57" s="3660">
        <f>IF(AND(J55="",J56=""),4,IF(项目基本情况!K6="上海银行",结果表!J56+1,结果表!J55+1))</f>
        <v>5</v>
      </c>
      <c r="K57" s="3660" t="s">
        <v>1367</v>
      </c>
      <c r="L57" s="2528" t="s">
        <v>1368</v>
      </c>
      <c r="M57" s="2529"/>
      <c r="N57" s="2530">
        <f ca="1">SUMIF(M52:M56,"&lt;9e307")</f>
        <v>0</v>
      </c>
      <c r="O57" s="2531"/>
      <c r="P57" s="2688" t="e">
        <f ca="1">N57/M49</f>
        <v>#VALUE!</v>
      </c>
    </row>
    <row r="58" spans="1:35" ht="24.75">
      <c r="A58" s="2333" t="s">
        <v>1352</v>
      </c>
      <c r="B58" s="3684" t="s">
        <v>1369</v>
      </c>
      <c r="C58" s="3683"/>
      <c r="D58" s="2322" t="e">
        <f ca="1">IF(H58="转让取得",C81,C97)</f>
        <v>#REF!</v>
      </c>
      <c r="E58" s="2332" t="s">
        <v>1364</v>
      </c>
      <c r="F58" s="302" t="s">
        <v>28</v>
      </c>
      <c r="G58" s="2553"/>
      <c r="H58" s="2556"/>
      <c r="I58" s="1806"/>
      <c r="J58" s="3660"/>
      <c r="K58" s="3660"/>
      <c r="L58" s="2528" t="s">
        <v>1370</v>
      </c>
      <c r="M58" s="2532"/>
      <c r="N58" s="2533" t="str">
        <f ca="1">NUMBERSTRING(INT(N57*10000),2)&amp;"元整"</f>
        <v>零元整</v>
      </c>
      <c r="O58" s="2534"/>
    </row>
    <row r="59" spans="1:35" ht="24.75" thickBot="1">
      <c r="A59" s="3664" t="s">
        <v>1371</v>
      </c>
      <c r="B59" s="3665"/>
      <c r="C59" s="366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62">
        <f>J57+1</f>
        <v>6</v>
      </c>
      <c r="K59" s="3660" t="s">
        <v>1372</v>
      </c>
      <c r="L59" s="2521" t="s">
        <v>1368</v>
      </c>
      <c r="M59" s="2535"/>
      <c r="N59" s="2536" t="e">
        <f ca="1">M49-N57</f>
        <v>#VALUE!</v>
      </c>
      <c r="O59" s="2537"/>
    </row>
    <row r="60" spans="1:35" ht="12" customHeight="1">
      <c r="A60" s="1807"/>
      <c r="B60" s="1745"/>
      <c r="C60" s="1745"/>
      <c r="D60" s="1745"/>
      <c r="E60" s="1576"/>
      <c r="F60" s="1806"/>
      <c r="G60" s="1806"/>
      <c r="H60" s="1808"/>
      <c r="I60" s="129"/>
      <c r="J60" s="3663"/>
      <c r="K60" s="3660"/>
      <c r="L60" s="2528" t="s">
        <v>1370</v>
      </c>
      <c r="M60" s="2532"/>
      <c r="N60" s="2533" t="e">
        <f ca="1">NUMBERSTRING(INT(N59*10000),2)&amp;"元整"</f>
        <v>#VALUE!</v>
      </c>
      <c r="O60" s="2534"/>
    </row>
    <row r="61" spans="1:35" ht="13.5" thickBot="1">
      <c r="A61" s="3719" t="s">
        <v>1373</v>
      </c>
      <c r="B61" s="3719"/>
      <c r="C61" s="3719"/>
      <c r="D61" s="3719"/>
      <c r="E61" s="3719"/>
      <c r="F61" s="1806"/>
      <c r="G61" s="1806"/>
      <c r="H61" s="1808"/>
      <c r="I61" s="129"/>
      <c r="J61" s="2521">
        <f>J59+1</f>
        <v>7</v>
      </c>
      <c r="K61" s="3660" t="s">
        <v>1374</v>
      </c>
      <c r="L61" s="3660"/>
      <c r="M61" s="2538"/>
      <c r="N61" s="2539" t="e">
        <f ca="1">ROUND(N59*10000/'数据-汇总表'!E3,0)</f>
        <v>#VALUE!</v>
      </c>
      <c r="O61" s="2540"/>
    </row>
    <row r="62" spans="1:35" ht="12.75">
      <c r="A62" s="3679" t="s">
        <v>1375</v>
      </c>
      <c r="B62" s="368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43"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3"/>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43"/>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43"/>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3"/>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3"/>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43"/>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87" t="s">
        <v>1394</v>
      </c>
      <c r="B70" s="3688"/>
      <c r="C70" s="3688"/>
      <c r="D70" s="3688"/>
      <c r="E70" s="3688"/>
      <c r="F70" s="3688"/>
      <c r="G70" s="3688"/>
      <c r="H70" s="368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9" t="s">
        <v>1375</v>
      </c>
      <c r="B71" s="36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84" t="s">
        <v>1402</v>
      </c>
      <c r="F76" s="3683"/>
      <c r="G76" s="3683"/>
      <c r="H76" s="368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76" t="s">
        <v>1406</v>
      </c>
      <c r="F78" s="3677"/>
      <c r="G78" s="3677"/>
      <c r="H78" s="367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87" t="s">
        <v>1410</v>
      </c>
      <c r="B83" s="3688"/>
      <c r="C83" s="3688"/>
      <c r="D83" s="3688"/>
      <c r="E83" s="3688"/>
      <c r="F83" s="3688"/>
      <c r="G83" s="3688"/>
      <c r="H83" s="368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9" t="s">
        <v>1375</v>
      </c>
      <c r="B84" s="36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5" t="s">
        <v>2128</v>
      </c>
      <c r="H90" s="3646"/>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76" t="s">
        <v>1419</v>
      </c>
      <c r="F91" s="3677"/>
      <c r="G91" s="367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76" t="s">
        <v>1422</v>
      </c>
      <c r="F92" s="3677"/>
      <c r="G92" s="3677"/>
      <c r="H92" s="3678"/>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76" t="s">
        <v>1406</v>
      </c>
      <c r="F93" s="3677"/>
      <c r="G93" s="3677"/>
      <c r="H93" s="367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721" t="s">
        <v>1426</v>
      </c>
      <c r="F94" s="3722"/>
      <c r="G94" s="3722"/>
      <c r="H94" s="372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26" t="s">
        <v>1428</v>
      </c>
      <c r="B100" s="3627"/>
      <c r="C100" s="3627"/>
      <c r="D100" s="3661"/>
      <c r="E100" s="3627" t="s">
        <v>1429</v>
      </c>
      <c r="F100" s="3627"/>
      <c r="G100" s="3627"/>
      <c r="H100" s="3661"/>
      <c r="I100" s="129"/>
    </row>
    <row r="101" spans="1:35" ht="18.75" customHeight="1">
      <c r="A101" s="3669" t="s">
        <v>1430</v>
      </c>
      <c r="B101" s="3670"/>
      <c r="C101" s="2583">
        <f>C4</f>
        <v>0</v>
      </c>
      <c r="D101" s="2584">
        <f>D4</f>
        <v>0</v>
      </c>
      <c r="E101" s="3639" t="s">
        <v>1431</v>
      </c>
      <c r="F101" s="3640"/>
      <c r="G101" s="1825" t="s">
        <v>1432</v>
      </c>
      <c r="H101" s="2593" t="e">
        <f ca="1">H118</f>
        <v>#REF!</v>
      </c>
      <c r="I101" s="129"/>
    </row>
    <row r="102" spans="1:35" ht="18.75" customHeight="1">
      <c r="A102" s="3671" t="s">
        <v>1433</v>
      </c>
      <c r="B102" s="2582" t="s">
        <v>1432</v>
      </c>
      <c r="C102" s="2583" t="e">
        <f ca="1">IF(D32="楼面单价",ROUND(C19,0),C19)</f>
        <v>#REF!</v>
      </c>
      <c r="D102" s="2584" t="e">
        <f ca="1">IF(D32="楼面单价",ROUND(D19,0),D19)</f>
        <v>#REF!</v>
      </c>
      <c r="E102" s="3639"/>
      <c r="F102" s="3640"/>
      <c r="G102" s="1825" t="s">
        <v>1434</v>
      </c>
      <c r="H102" s="2553" t="e">
        <f ca="1">I118</f>
        <v>#REF!</v>
      </c>
      <c r="I102" s="129"/>
    </row>
    <row r="103" spans="1:35" ht="42.75" customHeight="1">
      <c r="A103" s="3671"/>
      <c r="B103" s="2582" t="s">
        <v>1434</v>
      </c>
      <c r="C103" s="2585" t="e">
        <f ca="1">C20</f>
        <v>#REF!</v>
      </c>
      <c r="D103" s="2586" t="e">
        <f ca="1">D20</f>
        <v>#REF!</v>
      </c>
      <c r="E103" s="3632" t="s">
        <v>1435</v>
      </c>
      <c r="F103" s="3633"/>
      <c r="G103" s="1826" t="s">
        <v>1436</v>
      </c>
      <c r="H103" s="2593">
        <f>IF(D36="正常操作",H104+H105+H106,H105+H106)</f>
        <v>0</v>
      </c>
      <c r="I103" s="129"/>
    </row>
    <row r="104" spans="1:35" ht="18.75" customHeight="1">
      <c r="A104" s="3671"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81"/>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72" t="str">
        <f>IF(项目基本情况!E8="已注销","——","3.房地产抵押价值")</f>
        <v>3.房地产抵押价值</v>
      </c>
      <c r="F107" s="3640"/>
      <c r="G107" s="1825" t="s">
        <v>1432</v>
      </c>
      <c r="H107" s="2593" t="e">
        <f ca="1">IF(E107="——","——",H101-H103)</f>
        <v>#REF!</v>
      </c>
      <c r="I107" s="129"/>
    </row>
    <row r="108" spans="1:35" ht="18.75" customHeight="1">
      <c r="A108" s="129"/>
      <c r="B108" s="129"/>
      <c r="C108" s="129"/>
      <c r="D108" s="129"/>
      <c r="E108" s="3672"/>
      <c r="F108" s="3640"/>
      <c r="G108" s="1825" t="s">
        <v>1434</v>
      </c>
      <c r="H108" s="2553">
        <f ca="1">IF(H107=H101,H102,ROUND(H107*10000/'数据-汇总表'!E3,0))</f>
        <v>0</v>
      </c>
      <c r="I108" s="129"/>
    </row>
    <row r="109" spans="1:35" ht="18.75" customHeight="1">
      <c r="A109" s="129"/>
      <c r="B109" s="129"/>
      <c r="C109" s="129"/>
      <c r="D109" s="129"/>
      <c r="E109" s="3672" t="str">
        <f>IF(项目基本情况!E8="已注销及未注销","4.抵押担保权已注销时的房地产抵押价值",IF(项目基本情况!E8="已注销","3.抵押担保权已注销时的房地产抵押价值","——"))</f>
        <v>——</v>
      </c>
      <c r="F109" s="3640"/>
      <c r="G109" s="1825" t="s">
        <v>1432</v>
      </c>
      <c r="H109" s="2596" t="str">
        <f>IF(E109="——","——",H101-H105-H106)</f>
        <v>——</v>
      </c>
      <c r="I109" s="129"/>
    </row>
    <row r="110" spans="1:35" ht="18.75" customHeight="1">
      <c r="A110" s="129"/>
      <c r="B110" s="129"/>
      <c r="C110" s="129"/>
      <c r="D110" s="129"/>
      <c r="E110" s="3672"/>
      <c r="F110" s="3640"/>
      <c r="G110" s="1825" t="s">
        <v>1434</v>
      </c>
      <c r="H110" s="2553"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59"/>
      <c r="G111" s="1825" t="s">
        <v>1432</v>
      </c>
      <c r="H111" s="2593" t="str">
        <f>IF(E111="——","——",N59)</f>
        <v>——</v>
      </c>
      <c r="I111" s="129"/>
    </row>
    <row r="112" spans="1:35" ht="18.75" customHeight="1" thickBot="1">
      <c r="A112" s="129"/>
      <c r="B112" s="129"/>
      <c r="C112" s="129"/>
      <c r="D112" s="129"/>
      <c r="E112" s="3674"/>
      <c r="F112" s="3675"/>
      <c r="G112" s="1828" t="s">
        <v>1434</v>
      </c>
      <c r="H112" s="2597" t="str">
        <f>IF(E111="——","——",N61)</f>
        <v>——</v>
      </c>
      <c r="I112" s="129"/>
    </row>
    <row r="113" spans="1:27" ht="18.75" customHeight="1">
      <c r="A113" s="129"/>
      <c r="B113" s="129"/>
      <c r="C113" s="129"/>
      <c r="D113" s="129"/>
      <c r="E113" s="3682" t="s">
        <v>1440</v>
      </c>
      <c r="F113" s="3682"/>
      <c r="G113" s="3682"/>
      <c r="H113" s="3682"/>
      <c r="I113" s="129"/>
    </row>
    <row r="114" spans="1:27" ht="3.75" customHeight="1">
      <c r="A114" s="1745"/>
      <c r="B114" s="1745"/>
      <c r="C114" s="1745"/>
      <c r="D114" s="1745"/>
      <c r="E114" s="1807"/>
      <c r="F114" s="1807"/>
      <c r="G114" s="1807"/>
      <c r="H114" s="1807"/>
      <c r="I114" s="1745"/>
    </row>
    <row r="115" spans="1:27" ht="18.75" customHeight="1">
      <c r="A115" s="3690" t="s">
        <v>1442</v>
      </c>
      <c r="B115" s="3691"/>
      <c r="C115" s="3691"/>
      <c r="D115" s="3691"/>
      <c r="E115" s="3691"/>
      <c r="F115" s="3691"/>
      <c r="G115" s="3691"/>
      <c r="H115" s="3691"/>
      <c r="I115" s="3692"/>
    </row>
    <row r="116" spans="1:27" ht="27" customHeight="1">
      <c r="A116" s="3647" t="s">
        <v>1443</v>
      </c>
      <c r="B116" s="3651" t="s">
        <v>1444</v>
      </c>
      <c r="C116" s="3651" t="s">
        <v>1445</v>
      </c>
      <c r="D116" s="3657" t="s">
        <v>1446</v>
      </c>
      <c r="E116" s="3658"/>
      <c r="F116" s="3689" t="s">
        <v>1447</v>
      </c>
      <c r="G116" s="3689"/>
      <c r="H116" s="3647" t="s">
        <v>1448</v>
      </c>
      <c r="I116" s="3647"/>
    </row>
    <row r="117" spans="1:27" ht="18.75" customHeight="1">
      <c r="A117" s="3647"/>
      <c r="B117" s="3652"/>
      <c r="C117" s="3652"/>
      <c r="D117" s="2327" t="s">
        <v>1449</v>
      </c>
      <c r="E117" s="2327" t="s">
        <v>1450</v>
      </c>
      <c r="F117" s="2327" t="s">
        <v>1449</v>
      </c>
      <c r="G117" s="2327" t="s">
        <v>1451</v>
      </c>
      <c r="H117" s="2327" t="s">
        <v>1449</v>
      </c>
      <c r="I117" s="2327" t="s">
        <v>1451</v>
      </c>
    </row>
    <row r="118" spans="1:27" ht="24.75" customHeight="1">
      <c r="A118" s="2598" t="str">
        <f>项目基本情况!S2</f>
        <v>房地产</v>
      </c>
      <c r="B118" s="2327">
        <f>M18</f>
        <v>408.56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47" t="s">
        <v>1452</v>
      </c>
      <c r="B119" s="3647"/>
      <c r="C119" s="3647"/>
      <c r="D119" s="3653" t="e">
        <f ca="1">NUMBERSTRING(INT(D118*10000),2)&amp;"元整"</f>
        <v>#REF!</v>
      </c>
      <c r="E119" s="3654"/>
      <c r="F119" s="3653" t="e">
        <f ca="1">NUMBERSTRING(INT(F118*10000),2)&amp;"元整"</f>
        <v>#REF!</v>
      </c>
      <c r="G119" s="3654"/>
      <c r="H119" s="3653" t="e">
        <f ca="1">NUMBERSTRING(INT(H118*10000),2)&amp;"元整"</f>
        <v>#REF!</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3" t="s">
        <v>1452</v>
      </c>
      <c r="B121" s="3655"/>
      <c r="C121" s="3654"/>
      <c r="D121" s="3653" t="str">
        <f>IF(D120=0,"零元整",NUMBERSTRING(INT(D120*10000),2)&amp;"元整")</f>
        <v>零元整</v>
      </c>
      <c r="E121" s="3655"/>
      <c r="F121" s="3655"/>
      <c r="G121" s="3655"/>
      <c r="H121" s="3655"/>
      <c r="I121" s="3654"/>
      <c r="AA121" s="723"/>
    </row>
    <row r="122" spans="1:27" ht="18.75" customHeight="1">
      <c r="A122" s="3659" t="str">
        <f>IF(项目基本情况!B9="房地产市场价值","",MID(E107,3,LEN(E107)-2))</f>
        <v>房地产抵押价值</v>
      </c>
      <c r="B122" s="3659"/>
      <c r="C122" s="3659"/>
      <c r="D122" s="3648" t="e">
        <f ca="1">H107</f>
        <v>#REF!</v>
      </c>
      <c r="E122" s="3649"/>
      <c r="F122" s="3649"/>
      <c r="G122" s="3649"/>
      <c r="H122" s="3649"/>
      <c r="I122" s="3650"/>
      <c r="AA122" s="723"/>
    </row>
    <row r="123" spans="1:27" ht="18.75" customHeight="1">
      <c r="A123" s="3647" t="s">
        <v>1452</v>
      </c>
      <c r="B123" s="3647"/>
      <c r="C123" s="3647"/>
      <c r="D123" s="3653" t="e">
        <f ca="1">NUMBERSTRING(INT(D122*10000),2)&amp;"元整"</f>
        <v>#REF!</v>
      </c>
      <c r="E123" s="3655"/>
      <c r="F123" s="3655"/>
      <c r="G123" s="3655"/>
      <c r="H123" s="3655"/>
      <c r="I123" s="3654"/>
      <c r="AA123" s="723"/>
    </row>
    <row r="124" spans="1:27" ht="18.75" customHeight="1">
      <c r="A124" s="3659" t="str">
        <f>IF(项目基本情况!B9="房地产市场价值","",MID(E109,3,LEN(E109)-2))</f>
        <v/>
      </c>
      <c r="B124" s="3659"/>
      <c r="C124" s="3659"/>
      <c r="D124" s="3648" t="str">
        <f>H109</f>
        <v>——</v>
      </c>
      <c r="E124" s="3649"/>
      <c r="F124" s="3649"/>
      <c r="G124" s="3649"/>
      <c r="H124" s="3649"/>
      <c r="I124" s="3650"/>
      <c r="AA124" s="723"/>
    </row>
    <row r="125" spans="1:27" ht="18.75" customHeight="1">
      <c r="A125" s="3647" t="s">
        <v>1452</v>
      </c>
      <c r="B125" s="3647"/>
      <c r="C125" s="3647"/>
      <c r="D125" s="3653" t="e">
        <f>NUMBERSTRING(INT(D124*10000),2)&amp;"元整"</f>
        <v>#VALUE!</v>
      </c>
      <c r="E125" s="3655"/>
      <c r="F125" s="3655"/>
      <c r="G125" s="3655"/>
      <c r="H125" s="3655"/>
      <c r="I125" s="3654"/>
      <c r="AA125" s="723"/>
    </row>
    <row r="126" spans="1:27" ht="18.75" customHeight="1">
      <c r="A126" s="3659" t="str">
        <f>IF(项目基本情况!B9="房地产市场价值","",MID(E111,3,LEN(E111)-2))</f>
        <v/>
      </c>
      <c r="B126" s="3659"/>
      <c r="C126" s="3659"/>
      <c r="D126" s="3648" t="str">
        <f>H111</f>
        <v>——</v>
      </c>
      <c r="E126" s="3649"/>
      <c r="F126" s="3649"/>
      <c r="G126" s="3649"/>
      <c r="H126" s="3649"/>
      <c r="I126" s="3650"/>
      <c r="AA126" s="723"/>
    </row>
    <row r="127" spans="1:27" ht="18.75" customHeight="1">
      <c r="A127" s="3647" t="s">
        <v>1452</v>
      </c>
      <c r="B127" s="3647"/>
      <c r="C127" s="3647"/>
      <c r="D127" s="3653" t="e">
        <f>NUMBERSTRING(INT(D126*10000),2)&amp;"元整"</f>
        <v>#VALUE!</v>
      </c>
      <c r="E127" s="3655"/>
      <c r="F127" s="3655"/>
      <c r="G127" s="3655"/>
      <c r="H127" s="3655"/>
      <c r="I127" s="3654"/>
      <c r="AA127" s="723"/>
    </row>
    <row r="128" spans="1:27" ht="21.75" customHeight="1">
      <c r="A128" s="3656" t="s">
        <v>1453</v>
      </c>
      <c r="B128" s="3656"/>
      <c r="C128" s="3656"/>
      <c r="D128" s="3656"/>
      <c r="E128" s="3656"/>
      <c r="F128" s="3656"/>
      <c r="G128" s="3656"/>
      <c r="H128" s="3656"/>
      <c r="I128" s="365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-10</v>
      </c>
      <c r="C2" s="276" t="s">
        <v>1595</v>
      </c>
      <c r="D2" s="276"/>
      <c r="E2" s="2804"/>
      <c r="F2" s="2804"/>
      <c r="G2" s="2804"/>
      <c r="H2" s="2804"/>
      <c r="I2" s="2804"/>
      <c r="J2" s="2804"/>
      <c r="K2" s="2804"/>
    </row>
    <row r="3" spans="1:33" ht="18" customHeight="1" thickBot="1">
      <c r="A3" s="203" t="s">
        <v>1464</v>
      </c>
      <c r="B3" s="204">
        <f ca="1">ROUND(B2*10000/IF(C1="",'数据-汇总表'!E3,INDIRECT("'数据-取费表'!K"&amp;$K$1)),0)</f>
        <v>-245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408.56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408.56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408.56</v>
      </c>
      <c r="E20" s="21">
        <f>'数据-取费表'!B28</f>
        <v>200</v>
      </c>
      <c r="F20" s="802"/>
      <c r="G20" s="12"/>
      <c r="H20" s="807"/>
      <c r="I20" s="807"/>
      <c r="J20" s="807"/>
      <c r="K20" s="808"/>
    </row>
    <row r="21" spans="1:33" s="801" customFormat="1" ht="13.5" customHeight="1">
      <c r="A21" s="788" t="s">
        <v>357</v>
      </c>
      <c r="B21" s="811" t="s">
        <v>1628</v>
      </c>
      <c r="C21" s="812">
        <f ca="1">C16+C17+C18</f>
        <v>8</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2</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2</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43" t="str">
        <f>项目基本情况!B1</f>
        <v>预评估</v>
      </c>
      <c r="C37" s="3543"/>
      <c r="D37" s="3543"/>
      <c r="E37" s="3543"/>
      <c r="F37" s="3543"/>
      <c r="G37" s="3543"/>
      <c r="H37" s="3543"/>
      <c r="I37" s="354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728" t="s">
        <v>694</v>
      </c>
      <c r="C6" s="1072">
        <f ca="1">ROUND(F6*F8*F7*(1-F9)/10000,0)</f>
        <v>0</v>
      </c>
      <c r="D6" s="155" t="s">
        <v>2108</v>
      </c>
      <c r="E6" s="302" t="s">
        <v>696</v>
      </c>
      <c r="F6" s="303">
        <f ca="1">INDIRECT("'数据-取费表'!u"&amp;$G$1)</f>
        <v>0</v>
      </c>
      <c r="G6" s="1382"/>
      <c r="H6" s="1067" t="s">
        <v>398</v>
      </c>
      <c r="I6" s="3728" t="s">
        <v>694</v>
      </c>
      <c r="J6" s="301">
        <f ca="1">ROUND(M6*M8*M7*(1-M9)/10000,0)</f>
        <v>0</v>
      </c>
      <c r="K6" s="155" t="s">
        <v>2107</v>
      </c>
      <c r="L6" s="302" t="s">
        <v>696</v>
      </c>
      <c r="M6" s="303">
        <f ca="1">INDIRECT("'数据-取费表'!z"&amp;$G$1)</f>
        <v>0</v>
      </c>
    </row>
    <row r="7" spans="1:37" ht="18" customHeight="1">
      <c r="A7" s="1071"/>
      <c r="B7" s="3729"/>
      <c r="C7" s="1073"/>
      <c r="D7" s="307"/>
      <c r="E7" s="1074" t="s">
        <v>697</v>
      </c>
      <c r="F7" s="303">
        <f ca="1">IF(INDIRECT("'数据-取费表'!ah"&amp;$G$1)="",INDIRECT("'数据-取费表'!k"&amp;$G$1),INDIRECT("'数据-取费表'!ah"&amp;$G$1))</f>
        <v>0</v>
      </c>
      <c r="G7" s="1382"/>
      <c r="H7" s="304"/>
      <c r="I7" s="3729"/>
      <c r="J7" s="306"/>
      <c r="K7" s="307"/>
      <c r="L7" s="302" t="s">
        <v>697</v>
      </c>
      <c r="M7" s="303">
        <f ca="1">F7</f>
        <v>0</v>
      </c>
    </row>
    <row r="8" spans="1:37" ht="18" customHeight="1">
      <c r="A8" s="304"/>
      <c r="B8" s="3729"/>
      <c r="C8" s="306"/>
      <c r="D8" s="307"/>
      <c r="E8" s="302" t="s">
        <v>698</v>
      </c>
      <c r="F8" s="303">
        <f ca="1">INDIRECT("'数据-取费表'!ai"&amp;$G$1)</f>
        <v>0</v>
      </c>
      <c r="G8" s="1382"/>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2"/>
      <c r="H9" s="304"/>
      <c r="I9" s="373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726" t="s">
        <v>837</v>
      </c>
      <c r="L53" s="372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728" t="s">
        <v>694</v>
      </c>
      <c r="C6" s="1072">
        <f ca="1">ROUND(F6*F8*F7*(1-F9),0)</f>
        <v>0</v>
      </c>
      <c r="D6" s="155" t="s">
        <v>2105</v>
      </c>
      <c r="E6" s="302" t="s">
        <v>696</v>
      </c>
      <c r="F6" s="303">
        <f ca="1">INDIRECT("'数据-取费表'!u"&amp;$G$1)</f>
        <v>0</v>
      </c>
      <c r="G6" s="1382"/>
      <c r="H6" s="1067" t="s">
        <v>398</v>
      </c>
      <c r="I6" s="3728" t="s">
        <v>694</v>
      </c>
      <c r="J6" s="301">
        <f ca="1">ROUND(M6*M8*M7*(1-M9),0)</f>
        <v>0</v>
      </c>
      <c r="K6" s="1374" t="s">
        <v>2106</v>
      </c>
      <c r="L6" s="302" t="s">
        <v>696</v>
      </c>
      <c r="M6" s="303">
        <f ca="1">INDIRECT("'数据-取费表'!z"&amp;$G$1)</f>
        <v>0</v>
      </c>
    </row>
    <row r="7" spans="1:37" ht="18" customHeight="1">
      <c r="A7" s="1071"/>
      <c r="B7" s="3729"/>
      <c r="C7" s="1073"/>
      <c r="D7" s="307"/>
      <c r="E7" s="1074" t="s">
        <v>697</v>
      </c>
      <c r="F7" s="303">
        <f ca="1">IF(INDIRECT("'数据-取费表'!ah"&amp;$G$1)="",INDIRECT("'数据-取费表'!k"&amp;$G$1),INDIRECT("'数据-取费表'!ah"&amp;$G$1))</f>
        <v>0</v>
      </c>
      <c r="G7" s="1382"/>
      <c r="H7" s="304"/>
      <c r="I7" s="3729"/>
      <c r="J7" s="306"/>
      <c r="K7" s="307"/>
      <c r="L7" s="302" t="s">
        <v>697</v>
      </c>
      <c r="M7" s="303">
        <f ca="1">F7</f>
        <v>0</v>
      </c>
    </row>
    <row r="8" spans="1:37" ht="18" customHeight="1">
      <c r="A8" s="304"/>
      <c r="B8" s="3729"/>
      <c r="C8" s="306"/>
      <c r="D8" s="307"/>
      <c r="E8" s="302" t="s">
        <v>698</v>
      </c>
      <c r="F8" s="303">
        <f ca="1">INDIRECT("'数据-取费表'!ai"&amp;$G$1)</f>
        <v>0</v>
      </c>
      <c r="G8" s="1382"/>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2"/>
      <c r="H9" s="304"/>
      <c r="I9" s="373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3330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0</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3330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3346</v>
      </c>
      <c r="B45" s="1398"/>
      <c r="C45" s="1470" t="e">
        <f ca="1">ROUND((C68-C40)/10000,4)</f>
        <v>#DIV/0!</v>
      </c>
      <c r="D45" s="3430"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726" t="s">
        <v>837</v>
      </c>
      <c r="L53" s="3727"/>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2428</v>
      </c>
      <c r="B1" s="2830"/>
      <c r="C1" s="2842"/>
      <c r="D1" s="2842"/>
      <c r="E1" s="2831"/>
      <c r="F1" s="2832"/>
      <c r="G1" s="2833"/>
      <c r="J1" s="2836" t="s">
        <v>2307</v>
      </c>
      <c r="K1" s="2837"/>
      <c r="L1" s="2837"/>
      <c r="M1" s="2837"/>
      <c r="N1" s="2837"/>
      <c r="O1" s="2837"/>
      <c r="P1" s="2837"/>
      <c r="Q1" s="2837"/>
      <c r="R1" s="2838"/>
      <c r="S1" s="2839"/>
      <c r="T1" s="2839"/>
      <c r="U1" s="2839"/>
    </row>
    <row r="2" spans="1:22" s="2851" customFormat="1" ht="13.15" customHeight="1">
      <c r="A2" s="1383" t="s">
        <v>2308</v>
      </c>
      <c r="B2" s="2841" t="e">
        <f>IF(D2="——",C40,C40+E2)</f>
        <v>#DIV/0!</v>
      </c>
      <c r="C2" s="2842" t="s">
        <v>2309</v>
      </c>
      <c r="D2" s="3441" t="s">
        <v>3353</v>
      </c>
      <c r="E2" s="3442"/>
      <c r="F2" s="2844"/>
      <c r="G2" s="2845"/>
      <c r="H2" s="2846"/>
      <c r="I2" s="2847"/>
      <c r="J2" s="3731" t="s">
        <v>2310</v>
      </c>
      <c r="K2" s="3732"/>
      <c r="L2" s="2848" t="s">
        <v>2311</v>
      </c>
      <c r="M2" s="2848" t="s">
        <v>2312</v>
      </c>
      <c r="N2" s="2848" t="s">
        <v>2313</v>
      </c>
      <c r="O2" s="2848" t="s">
        <v>2314</v>
      </c>
      <c r="P2" s="2848" t="s">
        <v>2315</v>
      </c>
      <c r="Q2" s="2849" t="s">
        <v>2316</v>
      </c>
      <c r="R2" s="2850" t="s">
        <v>2317</v>
      </c>
      <c r="S2" s="2839"/>
      <c r="T2" s="2839"/>
      <c r="U2" s="2839"/>
      <c r="V2" s="2847"/>
    </row>
    <row r="3" spans="1:22" s="2851" customFormat="1" ht="13.15" customHeight="1">
      <c r="A3" s="2852" t="s">
        <v>2318</v>
      </c>
      <c r="B3" s="2853" t="e">
        <f>ROUND(B2*10000/B4,0)</f>
        <v>#DIV/0!</v>
      </c>
      <c r="C3" s="2842" t="s">
        <v>2319</v>
      </c>
      <c r="D3" s="2842"/>
      <c r="E3" s="2843"/>
      <c r="F3" s="2844"/>
      <c r="G3" s="2845"/>
      <c r="H3" s="2846"/>
      <c r="I3" s="2847"/>
      <c r="J3" s="3733" t="s">
        <v>2320</v>
      </c>
      <c r="K3" s="3734"/>
      <c r="L3" s="2854"/>
      <c r="M3" s="2854"/>
      <c r="N3" s="2854"/>
      <c r="O3" s="2854"/>
      <c r="P3" s="2854"/>
      <c r="Q3" s="2855"/>
      <c r="R3" s="2856">
        <f>SUM(L3:Q3)</f>
        <v>0</v>
      </c>
      <c r="S3" s="2839"/>
      <c r="T3" s="2839"/>
      <c r="U3" s="2839"/>
      <c r="V3" s="2847"/>
    </row>
    <row r="4" spans="1:22" s="2851" customFormat="1" ht="13.15" customHeight="1">
      <c r="A4" s="2857" t="s">
        <v>2321</v>
      </c>
      <c r="B4" s="2858"/>
      <c r="C4" s="2842"/>
      <c r="D4" s="2842"/>
      <c r="E4" s="2843"/>
      <c r="F4" s="2844"/>
      <c r="G4" s="2845"/>
      <c r="H4" s="2846"/>
      <c r="I4" s="2847"/>
      <c r="J4" s="3733" t="s">
        <v>2322</v>
      </c>
      <c r="K4" s="3734"/>
      <c r="L4" s="2859"/>
      <c r="M4" s="2859"/>
      <c r="N4" s="2859"/>
      <c r="O4" s="2859"/>
      <c r="P4" s="2859"/>
      <c r="Q4" s="2860"/>
      <c r="R4" s="2861">
        <f>SUM(L4:Q4)</f>
        <v>0</v>
      </c>
      <c r="S4" s="2839"/>
      <c r="T4" s="2839"/>
      <c r="U4" s="2839"/>
      <c r="V4" s="2847"/>
    </row>
    <row r="5" spans="1:22" s="2851" customFormat="1" ht="13.15" customHeight="1" thickBot="1">
      <c r="A5" s="2862" t="s">
        <v>2323</v>
      </c>
      <c r="B5" s="2863"/>
      <c r="C5" s="2842"/>
      <c r="D5" s="2864"/>
      <c r="E5" s="2844"/>
      <c r="F5" s="2844"/>
      <c r="G5" s="2845"/>
      <c r="H5" s="2846"/>
      <c r="I5" s="2847"/>
      <c r="J5" s="2865" t="s">
        <v>2324</v>
      </c>
      <c r="K5" s="2866"/>
      <c r="L5" s="2866"/>
      <c r="M5" s="2867"/>
      <c r="N5" s="2867"/>
      <c r="O5" s="2867"/>
      <c r="P5" s="2867"/>
      <c r="Q5" s="2867"/>
      <c r="R5" s="2850">
        <f>SUM(R14,R19,R24,R25,R27,R28)</f>
        <v>0</v>
      </c>
      <c r="S5" s="2839"/>
      <c r="T5" s="2839" t="s">
        <v>2325</v>
      </c>
      <c r="U5" s="2839" t="e">
        <f>ROUND(R5*10000/365/R3,1)</f>
        <v>#DIV/0!</v>
      </c>
      <c r="V5" s="2847"/>
    </row>
    <row r="6" spans="1:22" s="2851" customFormat="1" ht="13.15" customHeight="1" thickBot="1">
      <c r="A6" s="3735" t="s">
        <v>2326</v>
      </c>
      <c r="B6" s="3736"/>
      <c r="C6" s="3737"/>
      <c r="D6" s="2868"/>
      <c r="E6" s="2869"/>
      <c r="F6" s="2870"/>
      <c r="G6" s="2871"/>
      <c r="H6" s="2846"/>
      <c r="I6" s="2847"/>
      <c r="J6" s="3738">
        <v>1</v>
      </c>
      <c r="K6" s="3739" t="s">
        <v>2327</v>
      </c>
      <c r="L6" s="2872" t="s">
        <v>2328</v>
      </c>
      <c r="M6" s="2873" t="s">
        <v>2329</v>
      </c>
      <c r="N6" s="2873" t="s">
        <v>2330</v>
      </c>
      <c r="O6" s="2873" t="s">
        <v>2331</v>
      </c>
      <c r="P6" s="2873" t="s">
        <v>2332</v>
      </c>
      <c r="Q6" s="2873" t="s">
        <v>2333</v>
      </c>
      <c r="R6" s="2856" t="s">
        <v>2334</v>
      </c>
      <c r="S6" s="2839"/>
      <c r="T6" s="2839" t="s">
        <v>2335</v>
      </c>
      <c r="U6" s="2839"/>
      <c r="V6" s="2847"/>
    </row>
    <row r="7" spans="1:22" s="2851" customFormat="1" ht="13.15" customHeight="1">
      <c r="A7" s="2874" t="s">
        <v>2336</v>
      </c>
      <c r="B7" s="2875"/>
      <c r="C7" s="2876"/>
      <c r="D7" s="2877">
        <f>SUM(D9,D10,D11,D17,0)</f>
        <v>0</v>
      </c>
      <c r="E7" s="2878" t="e">
        <f>E9+E10+E11+E17</f>
        <v>#DIV/0!</v>
      </c>
      <c r="F7" s="2879"/>
      <c r="G7" s="2880"/>
      <c r="H7" s="2846"/>
      <c r="I7" s="2847"/>
      <c r="J7" s="3738"/>
      <c r="K7" s="3740"/>
      <c r="L7" s="2881" t="s">
        <v>2337</v>
      </c>
      <c r="M7" s="2882"/>
      <c r="N7" s="2858"/>
      <c r="O7" s="2883"/>
      <c r="P7" s="2883"/>
      <c r="Q7" s="2884">
        <v>365</v>
      </c>
      <c r="R7" s="2885">
        <f>ROUND(M7*N7*O7*P7*Q7/10000,0)</f>
        <v>0</v>
      </c>
      <c r="S7" s="2839"/>
      <c r="T7" s="2839" t="s">
        <v>2338</v>
      </c>
      <c r="U7" s="2839"/>
      <c r="V7" s="2847"/>
    </row>
    <row r="8" spans="1:22" s="2851" customFormat="1" ht="13.15" customHeight="1">
      <c r="A8" s="2886" t="s">
        <v>2339</v>
      </c>
      <c r="B8" s="3742" t="s">
        <v>2340</v>
      </c>
      <c r="C8" s="3743"/>
      <c r="D8" s="2887" t="s">
        <v>2341</v>
      </c>
      <c r="E8" s="2888" t="s">
        <v>2342</v>
      </c>
      <c r="F8" s="2889" t="s">
        <v>2343</v>
      </c>
      <c r="G8" s="2890"/>
      <c r="H8" s="2846"/>
      <c r="I8" s="2847"/>
      <c r="J8" s="3738"/>
      <c r="K8" s="3740"/>
      <c r="L8" s="2881" t="s">
        <v>2344</v>
      </c>
      <c r="M8" s="2882"/>
      <c r="N8" s="2858"/>
      <c r="O8" s="2883"/>
      <c r="P8" s="2883"/>
      <c r="Q8" s="2884">
        <v>365</v>
      </c>
      <c r="R8" s="2885">
        <f t="shared" ref="R8:R13" si="0">ROUND(M8*N8*O8*P8*Q8/10000,0)</f>
        <v>0</v>
      </c>
      <c r="S8" s="2839"/>
      <c r="T8" s="2839" t="s">
        <v>2345</v>
      </c>
      <c r="U8" s="2839"/>
      <c r="V8" s="2847"/>
    </row>
    <row r="9" spans="1:22" s="2851" customFormat="1" ht="13.15" customHeight="1">
      <c r="A9" s="2886">
        <v>1</v>
      </c>
      <c r="B9" s="3742" t="s">
        <v>2346</v>
      </c>
      <c r="C9" s="3743"/>
      <c r="D9" s="2887">
        <f>ROUND(D6*E9,0)</f>
        <v>0</v>
      </c>
      <c r="E9" s="2891"/>
      <c r="F9" s="2892" t="s">
        <v>2347</v>
      </c>
      <c r="G9" s="2871"/>
      <c r="H9" s="2846"/>
      <c r="I9" s="2847"/>
      <c r="J9" s="3738"/>
      <c r="K9" s="3740"/>
      <c r="L9" s="2881" t="s">
        <v>2348</v>
      </c>
      <c r="M9" s="2882"/>
      <c r="N9" s="2858"/>
      <c r="O9" s="2883"/>
      <c r="P9" s="2883"/>
      <c r="Q9" s="2884">
        <v>365</v>
      </c>
      <c r="R9" s="2885">
        <f t="shared" si="0"/>
        <v>0</v>
      </c>
      <c r="S9" s="2839"/>
      <c r="T9" s="2839"/>
      <c r="U9" s="2839"/>
      <c r="V9" s="2847"/>
    </row>
    <row r="10" spans="1:22" s="2851" customFormat="1" ht="13.15" customHeight="1">
      <c r="A10" s="2886">
        <v>2</v>
      </c>
      <c r="B10" s="3742" t="s">
        <v>2349</v>
      </c>
      <c r="C10" s="3743"/>
      <c r="D10" s="2887">
        <f>ROUND(D6*E10,0)</f>
        <v>0</v>
      </c>
      <c r="E10" s="2891"/>
      <c r="F10" s="2892" t="s">
        <v>2350</v>
      </c>
      <c r="G10" s="2871"/>
      <c r="H10" s="2846"/>
      <c r="I10" s="2847"/>
      <c r="J10" s="3738"/>
      <c r="K10" s="3740"/>
      <c r="L10" s="2881" t="s">
        <v>2351</v>
      </c>
      <c r="M10" s="2882"/>
      <c r="N10" s="2858"/>
      <c r="O10" s="2883"/>
      <c r="P10" s="2883"/>
      <c r="Q10" s="2884">
        <v>365</v>
      </c>
      <c r="R10" s="2885">
        <f t="shared" si="0"/>
        <v>0</v>
      </c>
      <c r="S10" s="2839"/>
      <c r="T10" s="2839"/>
      <c r="U10" s="2839"/>
      <c r="V10" s="2847"/>
    </row>
    <row r="11" spans="1:22" s="2851" customFormat="1" ht="13.15" customHeight="1">
      <c r="A11" s="2886">
        <v>3</v>
      </c>
      <c r="B11" s="3742" t="s">
        <v>2352</v>
      </c>
      <c r="C11" s="3743"/>
      <c r="D11" s="2887">
        <f>D12+D14+D15+D16</f>
        <v>0</v>
      </c>
      <c r="E11" s="2893" t="e">
        <f>D11/D6</f>
        <v>#DIV/0!</v>
      </c>
      <c r="F11" s="2889"/>
      <c r="G11" s="2890"/>
      <c r="H11" s="2846"/>
      <c r="I11" s="2847"/>
      <c r="J11" s="3738"/>
      <c r="K11" s="3740"/>
      <c r="L11" s="2881" t="s">
        <v>2353</v>
      </c>
      <c r="M11" s="2882"/>
      <c r="N11" s="2858"/>
      <c r="O11" s="2883"/>
      <c r="P11" s="2883"/>
      <c r="Q11" s="2884">
        <v>365</v>
      </c>
      <c r="R11" s="2885">
        <f t="shared" si="0"/>
        <v>0</v>
      </c>
      <c r="S11" s="2839"/>
      <c r="T11" s="2839"/>
      <c r="U11" s="2839"/>
      <c r="V11" s="2847"/>
    </row>
    <row r="12" spans="1:22" s="2851" customFormat="1" ht="13.15" customHeight="1">
      <c r="A12" s="2894" t="s">
        <v>2354</v>
      </c>
      <c r="B12" s="3744" t="s">
        <v>2355</v>
      </c>
      <c r="C12" s="3745"/>
      <c r="D12" s="2895">
        <f>ROUND(D13*1.2%*(1-30%),0)</f>
        <v>0</v>
      </c>
      <c r="E12" s="2896">
        <v>1.2E-2</v>
      </c>
      <c r="F12" s="2889" t="s">
        <v>2356</v>
      </c>
      <c r="G12" s="2890"/>
      <c r="H12" s="2846"/>
      <c r="I12" s="2847"/>
      <c r="J12" s="3738"/>
      <c r="K12" s="3740"/>
      <c r="L12" s="2881" t="s">
        <v>2357</v>
      </c>
      <c r="M12" s="2882"/>
      <c r="N12" s="2858"/>
      <c r="O12" s="2883"/>
      <c r="P12" s="2883"/>
      <c r="Q12" s="2884">
        <v>365</v>
      </c>
      <c r="R12" s="2885">
        <f t="shared" si="0"/>
        <v>0</v>
      </c>
      <c r="S12" s="2839"/>
      <c r="T12" s="2839"/>
      <c r="U12" s="2839"/>
      <c r="V12" s="2847"/>
    </row>
    <row r="13" spans="1:22" s="2851" customFormat="1" ht="13.15" customHeight="1">
      <c r="A13" s="2894"/>
      <c r="B13" s="2897"/>
      <c r="C13" s="2898" t="s">
        <v>2358</v>
      </c>
      <c r="D13" s="2899"/>
      <c r="E13" s="2900"/>
      <c r="F13" s="2889"/>
      <c r="G13" s="2890"/>
      <c r="H13" s="2846"/>
      <c r="I13" s="2847"/>
      <c r="J13" s="3738"/>
      <c r="K13" s="3740"/>
      <c r="L13" s="2881" t="s">
        <v>2359</v>
      </c>
      <c r="M13" s="2882"/>
      <c r="N13" s="2858"/>
      <c r="O13" s="2883"/>
      <c r="P13" s="2883"/>
      <c r="Q13" s="2884">
        <v>365</v>
      </c>
      <c r="R13" s="2885">
        <f t="shared" si="0"/>
        <v>0</v>
      </c>
      <c r="S13" s="2839"/>
      <c r="T13" s="2839"/>
      <c r="U13" s="2839"/>
      <c r="V13" s="2847"/>
    </row>
    <row r="14" spans="1:22" s="2851" customFormat="1" ht="13.15" customHeight="1">
      <c r="A14" s="2894" t="s">
        <v>2360</v>
      </c>
      <c r="B14" s="3744" t="s">
        <v>2361</v>
      </c>
      <c r="C14" s="3745"/>
      <c r="D14" s="2895">
        <f>ROUND(E14*B5/10000,0)</f>
        <v>0</v>
      </c>
      <c r="E14" s="2884"/>
      <c r="F14" s="2889" t="s">
        <v>2362</v>
      </c>
      <c r="G14" s="2890"/>
      <c r="H14" s="2846"/>
      <c r="I14" s="2847"/>
      <c r="J14" s="3738"/>
      <c r="K14" s="3741"/>
      <c r="L14" s="2901" t="s">
        <v>2363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2364</v>
      </c>
      <c r="B15" s="3744" t="s">
        <v>2365</v>
      </c>
      <c r="C15" s="3745"/>
      <c r="D15" s="2895">
        <f>ROUND(D6*E15,0)</f>
        <v>0</v>
      </c>
      <c r="E15" s="2896">
        <v>5.5E-2</v>
      </c>
      <c r="F15" s="2889" t="s">
        <v>2366</v>
      </c>
      <c r="G15" s="2871"/>
      <c r="H15" s="2846"/>
      <c r="I15" s="2847"/>
      <c r="J15" s="3738">
        <v>2</v>
      </c>
      <c r="K15" s="3739" t="s">
        <v>2367</v>
      </c>
      <c r="L15" s="2881" t="s">
        <v>2368</v>
      </c>
      <c r="M15" s="2882" t="s">
        <v>2369</v>
      </c>
      <c r="N15" s="2882" t="s">
        <v>2370</v>
      </c>
      <c r="O15" s="2883" t="s">
        <v>2371</v>
      </c>
      <c r="P15" s="2883" t="s">
        <v>2333</v>
      </c>
      <c r="Q15" s="2858" t="s">
        <v>2372</v>
      </c>
      <c r="R15" s="2905" t="s">
        <v>2334</v>
      </c>
      <c r="S15" s="2839"/>
      <c r="T15" s="2839"/>
      <c r="U15" s="2839"/>
      <c r="V15" s="2847"/>
    </row>
    <row r="16" spans="1:22" s="2851" customFormat="1" ht="13.15" customHeight="1">
      <c r="A16" s="2894" t="s">
        <v>2373</v>
      </c>
      <c r="B16" s="3744" t="s">
        <v>2374</v>
      </c>
      <c r="C16" s="3745"/>
      <c r="D16" s="2906">
        <f>D6*E16</f>
        <v>0</v>
      </c>
      <c r="E16" s="2907"/>
      <c r="F16" s="2892" t="s">
        <v>2375</v>
      </c>
      <c r="G16" s="2871"/>
      <c r="H16" s="2846"/>
      <c r="I16" s="2847"/>
      <c r="J16" s="3738"/>
      <c r="K16" s="3740"/>
      <c r="L16" s="2881" t="s">
        <v>2376</v>
      </c>
      <c r="M16" s="2882"/>
      <c r="N16" s="2882"/>
      <c r="O16" s="2883"/>
      <c r="P16" s="2884">
        <v>365</v>
      </c>
      <c r="Q16" s="2858"/>
      <c r="R16" s="2905">
        <f>ROUND(M16*N16*O16*P16/10000,0)</f>
        <v>0</v>
      </c>
      <c r="S16" s="2839"/>
      <c r="T16" s="2839"/>
      <c r="U16" s="2839"/>
      <c r="V16" s="2847"/>
    </row>
    <row r="17" spans="1:22" s="2851" customFormat="1" ht="13.15" customHeight="1" thickBot="1">
      <c r="A17" s="2908">
        <v>4</v>
      </c>
      <c r="B17" s="3746" t="s">
        <v>2377</v>
      </c>
      <c r="C17" s="3747"/>
      <c r="D17" s="2909">
        <f>ROUND(D6*E17,0)</f>
        <v>0</v>
      </c>
      <c r="E17" s="2910"/>
      <c r="F17" s="2911" t="s">
        <v>2378</v>
      </c>
      <c r="G17" s="2871"/>
      <c r="H17" s="2846"/>
      <c r="I17" s="2847"/>
      <c r="J17" s="3738"/>
      <c r="K17" s="3740"/>
      <c r="L17" s="2881" t="s">
        <v>2379</v>
      </c>
      <c r="M17" s="2882"/>
      <c r="N17" s="2882"/>
      <c r="O17" s="2883"/>
      <c r="P17" s="2884">
        <v>365</v>
      </c>
      <c r="Q17" s="2858"/>
      <c r="R17" s="2905">
        <f>ROUND(M17*N17*O17*P17/10000,0)</f>
        <v>0</v>
      </c>
      <c r="S17" s="2839"/>
      <c r="T17" s="2839"/>
      <c r="U17" s="2839"/>
      <c r="V17" s="2847"/>
    </row>
    <row r="18" spans="1:22" s="2851" customFormat="1" ht="13.15" customHeight="1" thickBot="1">
      <c r="A18" s="2874" t="s">
        <v>2380</v>
      </c>
      <c r="B18" s="2875"/>
      <c r="C18" s="2875"/>
      <c r="D18" s="2912">
        <f>ROUND(D6*E18,0)</f>
        <v>0</v>
      </c>
      <c r="E18" s="2913"/>
      <c r="F18" s="2914" t="s">
        <v>2381</v>
      </c>
      <c r="G18" s="2871"/>
      <c r="H18" s="2846"/>
      <c r="I18" s="2847"/>
      <c r="J18" s="3738"/>
      <c r="K18" s="3740"/>
      <c r="L18" s="2881" t="s">
        <v>2382</v>
      </c>
      <c r="M18" s="2882"/>
      <c r="N18" s="2882"/>
      <c r="O18" s="2883"/>
      <c r="P18" s="2884">
        <v>365</v>
      </c>
      <c r="Q18" s="2858"/>
      <c r="R18" s="2905">
        <f>ROUND(M18*N18*O18*P18/10000,0)</f>
        <v>0</v>
      </c>
      <c r="S18" s="2839"/>
      <c r="T18" s="2839"/>
      <c r="U18" s="2839"/>
      <c r="V18" s="2847"/>
    </row>
    <row r="19" spans="1:22" s="2851" customFormat="1" ht="13.15" customHeight="1" thickBot="1">
      <c r="A19" s="2915" t="s">
        <v>2383</v>
      </c>
      <c r="B19" s="2869"/>
      <c r="C19" s="2869"/>
      <c r="D19" s="2869"/>
      <c r="E19" s="2869"/>
      <c r="F19" s="2870"/>
      <c r="G19" s="2890"/>
      <c r="H19" s="2846"/>
      <c r="I19" s="2847"/>
      <c r="J19" s="3738"/>
      <c r="K19" s="3741"/>
      <c r="L19" s="2901" t="s">
        <v>2363</v>
      </c>
      <c r="M19" s="2902"/>
      <c r="N19" s="2902">
        <f>SUM(N16:N18)</f>
        <v>0</v>
      </c>
      <c r="O19" s="2903"/>
      <c r="P19" s="2916" t="s">
        <v>2427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8">
        <v>3</v>
      </c>
      <c r="K20" s="3739" t="s">
        <v>2384</v>
      </c>
      <c r="L20" s="2881" t="s">
        <v>2385</v>
      </c>
      <c r="M20" s="2882" t="s">
        <v>2386</v>
      </c>
      <c r="N20" s="2919" t="s">
        <v>2387</v>
      </c>
      <c r="O20" s="2883" t="s">
        <v>2388</v>
      </c>
      <c r="P20" s="2884" t="s">
        <v>2389</v>
      </c>
      <c r="Q20" s="2858" t="s">
        <v>2390</v>
      </c>
      <c r="R20" s="2905" t="s">
        <v>2391</v>
      </c>
      <c r="S20" s="2920"/>
      <c r="T20" s="2920"/>
      <c r="U20" s="2920"/>
      <c r="V20" s="2847"/>
    </row>
    <row r="21" spans="1:22" s="2851" customFormat="1" ht="13.15" customHeight="1">
      <c r="A21" s="2874"/>
      <c r="B21" s="2875"/>
      <c r="C21" s="2921" t="s">
        <v>2392</v>
      </c>
      <c r="D21" s="2922" t="s">
        <v>2393</v>
      </c>
      <c r="E21" s="2923" t="s">
        <v>2394</v>
      </c>
      <c r="F21" s="2918"/>
      <c r="G21" s="2890"/>
      <c r="H21" s="2846"/>
      <c r="I21" s="2847"/>
      <c r="J21" s="3738"/>
      <c r="K21" s="3740"/>
      <c r="L21" s="2881" t="s">
        <v>2395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2396</v>
      </c>
      <c r="D22" s="2926" t="s">
        <v>2397</v>
      </c>
      <c r="E22" s="2927" t="s">
        <v>2398</v>
      </c>
      <c r="F22" s="2918"/>
      <c r="G22" s="2928"/>
      <c r="H22" s="2846"/>
      <c r="I22" s="2847"/>
      <c r="J22" s="3738"/>
      <c r="K22" s="3740"/>
      <c r="L22" s="2881" t="s">
        <v>2399</v>
      </c>
      <c r="M22" s="2882"/>
      <c r="N22" s="2882"/>
      <c r="O22" s="2883"/>
      <c r="P22" s="2884">
        <v>365</v>
      </c>
      <c r="Q22" s="2858"/>
      <c r="R22" s="2924">
        <f>ROUND(M22*N22*O22*P22/10000,0)</f>
        <v>0</v>
      </c>
      <c r="S22" s="2920"/>
      <c r="T22" s="2920"/>
      <c r="U22" s="2920"/>
      <c r="V22" s="2847"/>
    </row>
    <row r="23" spans="1:22" s="2851" customFormat="1" ht="13.15" customHeight="1">
      <c r="A23" s="2929">
        <v>1</v>
      </c>
      <c r="B23" s="2930" t="s">
        <v>2400</v>
      </c>
      <c r="C23" s="2931">
        <f>D6</f>
        <v>0</v>
      </c>
      <c r="D23" s="2932">
        <f>C23*(1+D24)</f>
        <v>0</v>
      </c>
      <c r="E23" s="2933">
        <f>D23*(1+E24)</f>
        <v>0</v>
      </c>
      <c r="F23" s="2934"/>
      <c r="G23" s="2935"/>
      <c r="H23" s="2846"/>
      <c r="I23" s="2847"/>
      <c r="J23" s="3738"/>
      <c r="K23" s="3740"/>
      <c r="L23" s="2881" t="s">
        <v>2401</v>
      </c>
      <c r="M23" s="2882"/>
      <c r="N23" s="2882"/>
      <c r="O23" s="2883"/>
      <c r="P23" s="2884">
        <v>365</v>
      </c>
      <c r="Q23" s="2858"/>
      <c r="R23" s="2924">
        <f>ROUND(M23*N23*O23*P23/10000,0)</f>
        <v>0</v>
      </c>
      <c r="S23" s="2839"/>
      <c r="T23" s="2839"/>
      <c r="U23" s="2839"/>
      <c r="V23" s="2847"/>
    </row>
    <row r="24" spans="1:22" s="2851" customFormat="1" ht="13.15" customHeight="1">
      <c r="A24" s="2936"/>
      <c r="B24" s="2937" t="s">
        <v>2402</v>
      </c>
      <c r="C24" s="2938"/>
      <c r="D24" s="2939"/>
      <c r="E24" s="2940"/>
      <c r="F24" s="2941"/>
      <c r="G24" s="2935"/>
      <c r="H24" s="2846"/>
      <c r="I24" s="2847"/>
      <c r="J24" s="3738"/>
      <c r="K24" s="3741"/>
      <c r="L24" s="2901" t="s">
        <v>2363</v>
      </c>
      <c r="M24" s="2902">
        <f>SUM(M21:M23)</f>
        <v>0</v>
      </c>
      <c r="N24" s="2902"/>
      <c r="O24" s="2903"/>
      <c r="P24" s="2916" t="s">
        <v>2427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2403</v>
      </c>
      <c r="L25" s="2944"/>
      <c r="M25" s="2944"/>
      <c r="N25" s="2944"/>
      <c r="O25" s="2944"/>
      <c r="P25" s="2945"/>
      <c r="Q25" s="2946">
        <v>0</v>
      </c>
      <c r="R25" s="2917">
        <f>ROUND(R14*Q25,0)</f>
        <v>0</v>
      </c>
      <c r="S25" s="2839"/>
      <c r="T25" s="2839"/>
      <c r="U25" s="2839"/>
      <c r="V25" s="2947"/>
    </row>
    <row r="26" spans="1:22" s="2948" customFormat="1" ht="13.15" customHeight="1">
      <c r="A26" s="2929">
        <v>2</v>
      </c>
      <c r="B26" s="2930" t="s">
        <v>2404</v>
      </c>
      <c r="C26" s="2931">
        <f>D7</f>
        <v>0</v>
      </c>
      <c r="D26" s="2932">
        <f>D23*D27</f>
        <v>0</v>
      </c>
      <c r="E26" s="2933">
        <f>E23*E27</f>
        <v>0</v>
      </c>
      <c r="F26" s="2934"/>
      <c r="G26" s="2935"/>
      <c r="H26" s="2846"/>
      <c r="I26" s="2847"/>
      <c r="J26" s="3748">
        <v>5</v>
      </c>
      <c r="K26" s="2949" t="s">
        <v>2405</v>
      </c>
      <c r="L26" s="2950"/>
      <c r="M26" s="2951"/>
      <c r="N26" s="2952" t="s">
        <v>2406</v>
      </c>
      <c r="O26" s="2952" t="s">
        <v>2407</v>
      </c>
      <c r="P26" s="2953" t="s">
        <v>2408</v>
      </c>
      <c r="Q26" s="2953" t="s">
        <v>2409</v>
      </c>
      <c r="R26" s="2856" t="s">
        <v>2334</v>
      </c>
      <c r="S26" s="2954"/>
      <c r="T26" s="2954"/>
      <c r="U26" s="2954"/>
      <c r="V26" s="2947"/>
    </row>
    <row r="27" spans="1:22" s="2851" customFormat="1" ht="13.15" customHeight="1">
      <c r="A27" s="2936"/>
      <c r="B27" s="2937" t="s">
        <v>2410</v>
      </c>
      <c r="C27" s="2955" t="e">
        <f>E7</f>
        <v>#DIV/0!</v>
      </c>
      <c r="D27" s="2939"/>
      <c r="E27" s="2940"/>
      <c r="F27" s="2941"/>
      <c r="G27" s="2935"/>
      <c r="H27" s="2956"/>
      <c r="I27" s="2947"/>
      <c r="J27" s="37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2411</v>
      </c>
      <c r="F28" s="2941"/>
      <c r="G28" s="2928"/>
      <c r="H28" s="2956"/>
      <c r="I28" s="2947"/>
      <c r="J28" s="2962">
        <v>6</v>
      </c>
      <c r="K28" s="2963" t="s">
        <v>2412</v>
      </c>
      <c r="L28" s="2964" t="s">
        <v>2413</v>
      </c>
      <c r="M28" s="2965"/>
      <c r="N28" s="2964" t="s">
        <v>2414</v>
      </c>
      <c r="O28" s="2966"/>
      <c r="P28" s="2964" t="s">
        <v>2415</v>
      </c>
      <c r="Q28" s="2967">
        <v>1.4999999999999999E-2</v>
      </c>
      <c r="R28" s="2968"/>
      <c r="S28" s="2920"/>
      <c r="T28" s="2920"/>
      <c r="U28" s="2920"/>
      <c r="V28" s="2947"/>
    </row>
    <row r="29" spans="1:22" s="2948" customFormat="1" ht="13.15" customHeight="1">
      <c r="A29" s="2929">
        <v>3</v>
      </c>
      <c r="B29" s="2930" t="s">
        <v>2416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2417</v>
      </c>
      <c r="K31" s="2837"/>
      <c r="L31" s="2837"/>
      <c r="M31" s="2837"/>
      <c r="N31" s="2837"/>
      <c r="O31" s="2837"/>
      <c r="P31" s="2837"/>
      <c r="Q31" s="2837"/>
      <c r="R31" s="2838"/>
      <c r="S31" s="2920"/>
      <c r="T31" s="2839"/>
      <c r="U31" s="2839"/>
      <c r="V31" s="2947"/>
    </row>
    <row r="32" spans="1:22" s="2948" customFormat="1" ht="13.15" customHeight="1">
      <c r="A32" s="2929">
        <v>4</v>
      </c>
      <c r="B32" s="2930" t="s">
        <v>2418</v>
      </c>
      <c r="C32" s="2931">
        <f>C23-C26-C29</f>
        <v>0</v>
      </c>
      <c r="D32" s="2932">
        <f>D23-D26-D29</f>
        <v>0</v>
      </c>
      <c r="E32" s="2933">
        <f>E23-E26-E29</f>
        <v>0</v>
      </c>
      <c r="F32" s="2934"/>
      <c r="G32" s="2928"/>
      <c r="H32" s="2846"/>
      <c r="I32" s="2847"/>
      <c r="J32" s="3731" t="s">
        <v>2310</v>
      </c>
      <c r="K32" s="3732"/>
      <c r="L32" s="2848" t="s">
        <v>2311</v>
      </c>
      <c r="M32" s="2848" t="s">
        <v>2312</v>
      </c>
      <c r="N32" s="2848" t="s">
        <v>2313</v>
      </c>
      <c r="O32" s="2848" t="s">
        <v>2314</v>
      </c>
      <c r="P32" s="2848" t="s">
        <v>2315</v>
      </c>
      <c r="Q32" s="2849" t="s">
        <v>2316</v>
      </c>
      <c r="R32" s="2971" t="s">
        <v>2317</v>
      </c>
      <c r="S32" s="2920"/>
      <c r="T32" s="2839"/>
      <c r="U32" s="2839"/>
      <c r="V32" s="2947"/>
    </row>
    <row r="33" spans="1:23" s="2851" customFormat="1" ht="13.15" customHeight="1">
      <c r="A33" s="2929"/>
      <c r="B33" s="2930"/>
      <c r="C33" s="2931"/>
      <c r="D33" s="2972"/>
      <c r="E33" s="2973"/>
      <c r="F33" s="2934"/>
      <c r="G33" s="2928"/>
      <c r="H33" s="2956"/>
      <c r="I33" s="2947"/>
      <c r="J33" s="3733" t="s">
        <v>2320</v>
      </c>
      <c r="K33" s="3734"/>
      <c r="L33" s="2854"/>
      <c r="M33" s="2854"/>
      <c r="N33" s="2854"/>
      <c r="O33" s="2854"/>
      <c r="P33" s="2854"/>
      <c r="Q33" s="2855"/>
      <c r="R33" s="2974">
        <f>SUM(L33:Q33)</f>
        <v>0</v>
      </c>
      <c r="S33" s="2920"/>
      <c r="T33" s="2839"/>
      <c r="U33" s="2839"/>
      <c r="V33" s="2847"/>
    </row>
    <row r="34" spans="1:23" s="2851" customFormat="1" ht="13.15" customHeight="1">
      <c r="A34" s="2929">
        <v>5</v>
      </c>
      <c r="B34" s="2930" t="s">
        <v>2419</v>
      </c>
      <c r="C34" s="2975"/>
      <c r="D34" s="2976"/>
      <c r="E34" s="2977"/>
      <c r="F34" s="2934"/>
      <c r="G34" s="2928"/>
      <c r="H34" s="2956"/>
      <c r="I34" s="2947"/>
      <c r="J34" s="3733" t="s">
        <v>2322</v>
      </c>
      <c r="K34" s="373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2420</v>
      </c>
      <c r="C35" s="2979"/>
      <c r="D35" s="2980"/>
      <c r="E35" s="2981"/>
      <c r="F35" s="2934"/>
      <c r="G35" s="2982"/>
      <c r="H35" s="2846"/>
      <c r="I35" s="2947"/>
      <c r="J35" s="2865" t="s">
        <v>2324</v>
      </c>
      <c r="K35" s="2866"/>
      <c r="L35" s="2866"/>
      <c r="M35" s="2867"/>
      <c r="N35" s="2867"/>
      <c r="O35" s="2867"/>
      <c r="P35" s="2867"/>
      <c r="Q35" s="2867"/>
      <c r="R35" s="2983">
        <f>R40+R41+R43</f>
        <v>0</v>
      </c>
      <c r="S35" s="2920"/>
      <c r="T35" s="2839" t="s">
        <v>2325</v>
      </c>
      <c r="U35" s="2839"/>
      <c r="V35" s="2847"/>
    </row>
    <row r="36" spans="1:23" s="2851" customFormat="1" ht="13.15" customHeight="1" thickBot="1">
      <c r="A36" s="2929">
        <v>7</v>
      </c>
      <c r="B36" s="2984" t="s">
        <v>2421</v>
      </c>
      <c r="C36" s="2985"/>
      <c r="D36" s="2986"/>
      <c r="E36" s="2987"/>
      <c r="F36" s="2988">
        <f>C36+D36+E36</f>
        <v>0</v>
      </c>
      <c r="G36" s="2928"/>
      <c r="H36" s="2846"/>
      <c r="I36" s="2847"/>
      <c r="J36" s="3738">
        <v>1</v>
      </c>
      <c r="K36" s="3739" t="s">
        <v>2422</v>
      </c>
      <c r="L36" s="2872"/>
      <c r="M36" s="2873"/>
      <c r="N36" s="2873"/>
      <c r="O36" s="2873"/>
      <c r="P36" s="2873"/>
      <c r="Q36" s="2873"/>
      <c r="R36" s="2856" t="s">
        <v>2334</v>
      </c>
      <c r="S36" s="2920"/>
      <c r="T36" s="2839" t="s">
        <v>2335</v>
      </c>
      <c r="U36" s="2839"/>
      <c r="V36" s="2847"/>
    </row>
    <row r="37" spans="1:23" s="2851" customFormat="1" ht="13.15" customHeight="1">
      <c r="A37" s="2929"/>
      <c r="B37" s="2930"/>
      <c r="C37" s="2930"/>
      <c r="D37" s="2930"/>
      <c r="E37" s="2930"/>
      <c r="F37" s="2934"/>
      <c r="G37" s="2928"/>
      <c r="H37" s="2846"/>
      <c r="I37" s="2847"/>
      <c r="J37" s="3738"/>
      <c r="K37" s="3740"/>
      <c r="L37" s="2881"/>
      <c r="M37" s="2882"/>
      <c r="N37" s="2858"/>
      <c r="O37" s="2883"/>
      <c r="P37" s="2883"/>
      <c r="Q37" s="2884"/>
      <c r="R37" s="2885"/>
      <c r="S37" s="2920"/>
      <c r="T37" s="2839" t="s">
        <v>2338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8"/>
      <c r="K38" s="3740"/>
      <c r="L38" s="2881"/>
      <c r="M38" s="2882"/>
      <c r="N38" s="2858"/>
      <c r="O38" s="2883"/>
      <c r="P38" s="2883"/>
      <c r="Q38" s="2884"/>
      <c r="R38" s="2885"/>
      <c r="S38" s="2920"/>
      <c r="T38" s="2839" t="s">
        <v>2345</v>
      </c>
      <c r="U38" s="2839"/>
      <c r="V38" s="2847"/>
    </row>
    <row r="39" spans="1:23" s="2851" customFormat="1" ht="13.15" customHeight="1">
      <c r="A39" s="2929">
        <v>9</v>
      </c>
      <c r="B39" s="2930" t="s">
        <v>2423</v>
      </c>
      <c r="C39" s="2895" t="e">
        <f>C38</f>
        <v>#DIV/0!</v>
      </c>
      <c r="D39" s="2930">
        <f>D38/(1+D34)^C36</f>
        <v>0</v>
      </c>
      <c r="E39" s="2930">
        <f>E38/(1+E34)^(C36+D36)</f>
        <v>0</v>
      </c>
      <c r="F39" s="2934"/>
      <c r="G39" s="2989"/>
      <c r="H39" s="2846"/>
      <c r="I39" s="2847"/>
      <c r="J39" s="3738"/>
      <c r="K39" s="3740"/>
      <c r="L39" s="2881"/>
      <c r="M39" s="2882"/>
      <c r="N39" s="2858"/>
      <c r="O39" s="2883"/>
      <c r="P39" s="2883"/>
      <c r="Q39" s="2884"/>
      <c r="R39" s="2885"/>
      <c r="S39" s="2920"/>
      <c r="T39" s="2839"/>
      <c r="U39" s="2839"/>
      <c r="V39" s="2847"/>
    </row>
    <row r="40" spans="1:23" s="2851" customFormat="1" ht="13.15" customHeight="1">
      <c r="A40" s="2990">
        <v>10</v>
      </c>
      <c r="B40" s="2930" t="s">
        <v>2424</v>
      </c>
      <c r="C40" s="2991" t="e">
        <f>C39+D39+E39</f>
        <v>#DIV/0!</v>
      </c>
      <c r="D40" s="2992"/>
      <c r="E40" s="2992"/>
      <c r="F40" s="2993"/>
      <c r="G40" s="2928"/>
      <c r="H40" s="2846"/>
      <c r="I40" s="2847"/>
      <c r="J40" s="3738"/>
      <c r="K40" s="3741"/>
      <c r="L40" s="2901" t="s">
        <v>2363</v>
      </c>
      <c r="M40" s="2902"/>
      <c r="N40" s="2902"/>
      <c r="O40" s="2903"/>
      <c r="P40" s="2903"/>
      <c r="Q40" s="2904"/>
      <c r="R40" s="2850">
        <f>SUM(R37:R39)</f>
        <v>0</v>
      </c>
      <c r="S40" s="2920"/>
      <c r="T40" s="2839"/>
      <c r="U40" s="2839"/>
      <c r="V40" s="2847"/>
    </row>
    <row r="41" spans="1:23" s="2851" customFormat="1" ht="13.15" customHeight="1" thickBot="1">
      <c r="A41" s="2994">
        <v>11</v>
      </c>
      <c r="B41" s="2995" t="s">
        <v>2425</v>
      </c>
      <c r="C41" s="2995" t="e">
        <f>ROUND(C40*10000/B4,0)</f>
        <v>#DIV/0!</v>
      </c>
      <c r="D41" s="2996"/>
      <c r="E41" s="2996"/>
      <c r="F41" s="2997"/>
      <c r="G41" s="2998"/>
      <c r="H41" s="2846"/>
      <c r="I41" s="2847"/>
      <c r="J41" s="2942">
        <v>2</v>
      </c>
      <c r="K41" s="2943" t="s">
        <v>2403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8">
        <v>3</v>
      </c>
      <c r="K42" s="2949" t="s">
        <v>2405</v>
      </c>
      <c r="L42" s="2950"/>
      <c r="M42" s="2951"/>
      <c r="N42" s="2952" t="s">
        <v>2406</v>
      </c>
      <c r="O42" s="2952" t="s">
        <v>2407</v>
      </c>
      <c r="P42" s="2953" t="s">
        <v>2408</v>
      </c>
      <c r="Q42" s="2953" t="s">
        <v>2409</v>
      </c>
      <c r="R42" s="2856" t="s">
        <v>2334</v>
      </c>
      <c r="S42" s="2954"/>
      <c r="T42" s="2954"/>
      <c r="U42" s="2839"/>
      <c r="V42" s="2847"/>
    </row>
    <row r="43" spans="1:23" ht="13.15" customHeight="1">
      <c r="A43" s="2851"/>
      <c r="B43" s="2851"/>
      <c r="C43" s="2851"/>
      <c r="D43" s="2851"/>
      <c r="E43" s="2851"/>
      <c r="F43" s="2851"/>
      <c r="I43" s="2834"/>
      <c r="J43" s="37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2412</v>
      </c>
      <c r="L44" s="3002" t="s">
        <v>2413</v>
      </c>
      <c r="M44" s="2965"/>
      <c r="N44" s="3002" t="s">
        <v>2414</v>
      </c>
      <c r="O44" s="2965"/>
      <c r="P44" s="3002" t="s">
        <v>2415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0" t="s">
        <v>1654</v>
      </c>
      <c r="C5" s="3751"/>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t="s">
        <v>3372</v>
      </c>
      <c r="E1" s="3424" t="s">
        <v>3370</v>
      </c>
      <c r="F1" s="1877" t="s">
        <v>3371</v>
      </c>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t="e">
        <f>IF(C2="——",C49,ROUND(B2*10000/D3,0))</f>
        <v>#DIV/0!</v>
      </c>
      <c r="C3" s="354" t="s">
        <v>1665</v>
      </c>
      <c r="D3" s="353">
        <f>IF(D1="",'数据-汇总表'!E3,SUMIF('数据-汇总表'!$C19:$C33,D1,'数据-汇总表'!$E19:$E33))</f>
        <v>0</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71" t="s">
        <v>1667</v>
      </c>
      <c r="D4" s="3772"/>
      <c r="E4" s="3773" t="s">
        <v>1668</v>
      </c>
      <c r="F4" s="3774"/>
      <c r="G4" s="3771" t="s">
        <v>1669</v>
      </c>
      <c r="H4" s="3772"/>
      <c r="I4" s="3771" t="s">
        <v>1670</v>
      </c>
      <c r="J4" s="3772"/>
      <c r="K4" s="1887" t="s">
        <v>1671</v>
      </c>
      <c r="L4" s="3449"/>
      <c r="M4" s="3450"/>
      <c r="N4" s="3450"/>
      <c r="O4" s="3450"/>
      <c r="P4" s="3775" t="s">
        <v>1672</v>
      </c>
      <c r="Q4" s="3776"/>
      <c r="R4" s="3757" t="s">
        <v>1668</v>
      </c>
      <c r="S4" s="3758"/>
      <c r="T4" s="3757" t="s">
        <v>1669</v>
      </c>
      <c r="U4" s="3758"/>
      <c r="V4" s="3783" t="s">
        <v>1670</v>
      </c>
      <c r="W4" s="3783"/>
      <c r="X4" s="1353"/>
      <c r="Y4" s="3757" t="s">
        <v>1672</v>
      </c>
      <c r="Z4" s="3758"/>
      <c r="AA4" s="3752" t="s">
        <v>1668</v>
      </c>
      <c r="AB4" s="3752" t="s">
        <v>1669</v>
      </c>
      <c r="AC4" s="3752" t="s">
        <v>1670</v>
      </c>
    </row>
    <row r="5" spans="1:29" ht="15">
      <c r="A5" s="358"/>
      <c r="B5" s="359"/>
      <c r="C5" s="3763" t="s">
        <v>3384</v>
      </c>
      <c r="D5" s="3764"/>
      <c r="E5" s="3761" t="str">
        <f>Sheet1!A2</f>
        <v>小屯西路</v>
      </c>
      <c r="F5" s="3762"/>
      <c r="G5" s="3767" t="str">
        <f>Sheet1!A3</f>
        <v>美域家园底商</v>
      </c>
      <c r="H5" s="3764"/>
      <c r="I5" s="3767" t="e">
        <f>Sheet1!#REF!</f>
        <v>#REF!</v>
      </c>
      <c r="J5" s="3764"/>
      <c r="K5" s="1888"/>
      <c r="L5" s="3449"/>
      <c r="M5" s="2714"/>
      <c r="N5" s="2714"/>
      <c r="O5" s="2714"/>
      <c r="P5" s="3777"/>
      <c r="Q5" s="3778"/>
      <c r="R5" s="3759"/>
      <c r="S5" s="3760"/>
      <c r="T5" s="3759"/>
      <c r="U5" s="3760"/>
      <c r="V5" s="3783"/>
      <c r="W5" s="3783"/>
      <c r="X5" s="1353"/>
      <c r="Y5" s="3759"/>
      <c r="Z5" s="3760"/>
      <c r="AA5" s="3753"/>
      <c r="AB5" s="3753"/>
      <c r="AC5" s="3753"/>
    </row>
    <row r="6" spans="1:29" ht="15.75" thickBot="1">
      <c r="A6" s="360"/>
      <c r="B6" s="361"/>
      <c r="C6" s="3765" t="s">
        <v>1677</v>
      </c>
      <c r="D6" s="3766"/>
      <c r="E6" s="3768" t="s">
        <v>1677</v>
      </c>
      <c r="F6" s="3769"/>
      <c r="G6" s="3765" t="s">
        <v>1677</v>
      </c>
      <c r="H6" s="3766"/>
      <c r="I6" s="3765" t="s">
        <v>1677</v>
      </c>
      <c r="J6" s="3766"/>
      <c r="K6" s="1888" t="s">
        <v>1678</v>
      </c>
      <c r="L6" s="2713"/>
      <c r="M6" s="2714"/>
      <c r="N6" s="2714"/>
      <c r="O6" s="2714"/>
      <c r="P6" s="3779"/>
      <c r="Q6" s="3780"/>
      <c r="R6" s="3759"/>
      <c r="S6" s="3760"/>
      <c r="T6" s="3781"/>
      <c r="U6" s="3782"/>
      <c r="V6" s="3783"/>
      <c r="W6" s="3783"/>
      <c r="X6" s="1353"/>
      <c r="Y6" s="3781"/>
      <c r="Z6" s="3782"/>
      <c r="AA6" s="3754"/>
      <c r="AB6" s="3754"/>
      <c r="AC6" s="3754"/>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89"/>
      <c r="L7" s="2715"/>
      <c r="M7" s="2716"/>
      <c r="N7" s="2716"/>
      <c r="O7" s="2716"/>
      <c r="P7" s="3755" t="s">
        <v>1680</v>
      </c>
      <c r="Q7" s="3784"/>
      <c r="R7" s="699" t="s">
        <v>20</v>
      </c>
      <c r="S7" s="700">
        <f t="shared" ref="S7:S15" si="0">F7</f>
        <v>100</v>
      </c>
      <c r="T7" s="699" t="s">
        <v>20</v>
      </c>
      <c r="U7" s="700">
        <f t="shared" ref="U7:U15" si="1">H7</f>
        <v>100</v>
      </c>
      <c r="V7" s="699" t="s">
        <v>20</v>
      </c>
      <c r="W7" s="700">
        <f t="shared" ref="W7:W15" si="2">J7</f>
        <v>100</v>
      </c>
      <c r="X7" s="701"/>
      <c r="Y7" s="3755" t="s">
        <v>1680</v>
      </c>
      <c r="Z7" s="3756"/>
      <c r="AA7" s="702">
        <f>D7/F7</f>
        <v>1</v>
      </c>
      <c r="AB7" s="702">
        <f>D7/H7</f>
        <v>1</v>
      </c>
      <c r="AC7" s="702">
        <f>D7/J7</f>
        <v>1</v>
      </c>
    </row>
    <row r="8" spans="1:29" s="108" customFormat="1" ht="15.75" thickBot="1">
      <c r="A8" s="362" t="s">
        <v>1681</v>
      </c>
      <c r="B8" s="363"/>
      <c r="C8" s="368" t="s">
        <v>3385</v>
      </c>
      <c r="D8" s="365">
        <v>100</v>
      </c>
      <c r="E8" s="1890"/>
      <c r="F8" s="367">
        <f>SUMIF(61:61,E8,62:62)-SUMIF(61:61,C8,62:62)+100</f>
        <v>0</v>
      </c>
      <c r="G8" s="368"/>
      <c r="H8" s="365">
        <f>SUMIF(61:61,G8,62:62)-SUMIF(61:61,C8,62:62)+100</f>
        <v>0</v>
      </c>
      <c r="I8" s="1890"/>
      <c r="J8" s="365">
        <f>SUMIF(61:61,I8,62:62)-SUMIF(61:61,C8,62:62)+100</f>
        <v>0</v>
      </c>
      <c r="K8" s="1889"/>
      <c r="L8" s="2715"/>
      <c r="M8" s="2716"/>
      <c r="N8" s="2716"/>
      <c r="O8" s="2716"/>
      <c r="P8" s="3755" t="s">
        <v>1683</v>
      </c>
      <c r="Q8" s="3756"/>
      <c r="R8" s="699" t="s">
        <v>20</v>
      </c>
      <c r="S8" s="700">
        <f t="shared" si="0"/>
        <v>0</v>
      </c>
      <c r="T8" s="699" t="s">
        <v>20</v>
      </c>
      <c r="U8" s="700">
        <f t="shared" si="1"/>
        <v>0</v>
      </c>
      <c r="V8" s="699" t="s">
        <v>20</v>
      </c>
      <c r="W8" s="700">
        <f t="shared" si="2"/>
        <v>0</v>
      </c>
      <c r="X8" s="701"/>
      <c r="Y8" s="3755" t="s">
        <v>1683</v>
      </c>
      <c r="Z8" s="3756"/>
      <c r="AA8" s="702" t="e">
        <f t="shared" ref="AA8:AA19" si="3">D8/F8</f>
        <v>#DIV/0!</v>
      </c>
      <c r="AB8" s="702" t="e">
        <f t="shared" ref="AB8:AB19" si="4">D8/H8</f>
        <v>#DIV/0!</v>
      </c>
      <c r="AC8" s="702"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70"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70"/>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70"/>
      <c r="Q11" s="1341" t="str">
        <f t="shared" si="6"/>
        <v>容积率</v>
      </c>
      <c r="R11" s="699" t="s">
        <v>18</v>
      </c>
      <c r="S11" s="700" t="e">
        <f t="shared" si="0"/>
        <v>#N/A</v>
      </c>
      <c r="T11" s="699" t="s">
        <v>18</v>
      </c>
      <c r="U11" s="700" t="e">
        <f t="shared" si="1"/>
        <v>#N/A</v>
      </c>
      <c r="V11" s="699" t="s">
        <v>18</v>
      </c>
      <c r="W11" s="700" t="e">
        <f t="shared" si="2"/>
        <v>#N/A</v>
      </c>
      <c r="X11" s="701"/>
      <c r="Y11" s="370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70"/>
      <c r="Q12" s="1341">
        <f t="shared" si="6"/>
        <v>111</v>
      </c>
      <c r="R12" s="699" t="s">
        <v>18</v>
      </c>
      <c r="S12" s="700">
        <f t="shared" si="0"/>
        <v>100</v>
      </c>
      <c r="T12" s="699" t="s">
        <v>18</v>
      </c>
      <c r="U12" s="700">
        <f t="shared" si="1"/>
        <v>100</v>
      </c>
      <c r="V12" s="699" t="s">
        <v>18</v>
      </c>
      <c r="W12" s="700">
        <f t="shared" si="2"/>
        <v>100</v>
      </c>
      <c r="X12" s="701"/>
      <c r="Y12" s="370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70"/>
      <c r="Q13" s="1341">
        <f t="shared" si="6"/>
        <v>111</v>
      </c>
      <c r="R13" s="699" t="s">
        <v>18</v>
      </c>
      <c r="S13" s="700">
        <f t="shared" si="0"/>
        <v>100</v>
      </c>
      <c r="T13" s="699" t="s">
        <v>18</v>
      </c>
      <c r="U13" s="700">
        <f t="shared" si="1"/>
        <v>100</v>
      </c>
      <c r="V13" s="699" t="s">
        <v>18</v>
      </c>
      <c r="W13" s="700">
        <f t="shared" si="2"/>
        <v>100</v>
      </c>
      <c r="X13" s="701"/>
      <c r="Y13" s="370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70"/>
      <c r="Q14" s="1341">
        <f t="shared" si="6"/>
        <v>111</v>
      </c>
      <c r="R14" s="699" t="s">
        <v>18</v>
      </c>
      <c r="S14" s="700">
        <f t="shared" si="0"/>
        <v>100</v>
      </c>
      <c r="T14" s="699" t="s">
        <v>18</v>
      </c>
      <c r="U14" s="700">
        <f t="shared" si="1"/>
        <v>100</v>
      </c>
      <c r="V14" s="699" t="s">
        <v>18</v>
      </c>
      <c r="W14" s="700">
        <f t="shared" si="2"/>
        <v>100</v>
      </c>
      <c r="X14" s="701"/>
      <c r="Y14" s="3702"/>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97" t="s">
        <v>1691</v>
      </c>
      <c r="Q15" s="1350" t="str">
        <f t="shared" si="6"/>
        <v>居住社区成熟度</v>
      </c>
      <c r="R15" s="703" t="s">
        <v>18</v>
      </c>
      <c r="S15" s="704">
        <f t="shared" si="0"/>
        <v>100</v>
      </c>
      <c r="T15" s="703" t="s">
        <v>18</v>
      </c>
      <c r="U15" s="704">
        <f t="shared" si="1"/>
        <v>100</v>
      </c>
      <c r="V15" s="703" t="s">
        <v>18</v>
      </c>
      <c r="W15" s="704">
        <f t="shared" si="2"/>
        <v>100</v>
      </c>
      <c r="X15" s="1353"/>
      <c r="Y15" s="379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98"/>
      <c r="Q16" s="1350"/>
      <c r="R16" s="703"/>
      <c r="S16" s="704"/>
      <c r="T16" s="703"/>
      <c r="U16" s="704"/>
      <c r="V16" s="703"/>
      <c r="W16" s="704"/>
      <c r="X16" s="1353"/>
      <c r="Y16" s="3791"/>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98"/>
      <c r="Q17" s="1350" t="str">
        <f>B17</f>
        <v>交通便捷度</v>
      </c>
      <c r="R17" s="703" t="s">
        <v>18</v>
      </c>
      <c r="S17" s="704">
        <f>F17</f>
        <v>100</v>
      </c>
      <c r="T17" s="703" t="s">
        <v>18</v>
      </c>
      <c r="U17" s="704">
        <f>H17</f>
        <v>100</v>
      </c>
      <c r="V17" s="703" t="s">
        <v>18</v>
      </c>
      <c r="W17" s="704">
        <f>J17</f>
        <v>100</v>
      </c>
      <c r="X17" s="1353"/>
      <c r="Y17" s="379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98"/>
      <c r="Q18" s="1350"/>
      <c r="R18" s="703"/>
      <c r="S18" s="704"/>
      <c r="T18" s="703"/>
      <c r="U18" s="704"/>
      <c r="V18" s="703"/>
      <c r="W18" s="704"/>
      <c r="X18" s="1353"/>
      <c r="Y18" s="3791"/>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98"/>
      <c r="Q19" s="1350" t="str">
        <f>B19</f>
        <v>公共配套设施</v>
      </c>
      <c r="R19" s="703" t="s">
        <v>18</v>
      </c>
      <c r="S19" s="704">
        <f>F19</f>
        <v>100</v>
      </c>
      <c r="T19" s="703" t="s">
        <v>18</v>
      </c>
      <c r="U19" s="704">
        <f>H19</f>
        <v>100</v>
      </c>
      <c r="V19" s="703" t="s">
        <v>18</v>
      </c>
      <c r="W19" s="704">
        <f>J19</f>
        <v>100</v>
      </c>
      <c r="X19" s="1353"/>
      <c r="Y19" s="379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98"/>
      <c r="Q20" s="1350"/>
      <c r="R20" s="703"/>
      <c r="S20" s="704"/>
      <c r="T20" s="703"/>
      <c r="U20" s="704"/>
      <c r="V20" s="703"/>
      <c r="W20" s="704"/>
      <c r="X20" s="1353"/>
      <c r="Y20" s="3791"/>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98"/>
      <c r="Q21" s="1350" t="str">
        <f>B21</f>
        <v>基础设施水平</v>
      </c>
      <c r="R21" s="703" t="s">
        <v>14</v>
      </c>
      <c r="S21" s="704">
        <f>F21</f>
        <v>100</v>
      </c>
      <c r="T21" s="703" t="s">
        <v>14</v>
      </c>
      <c r="U21" s="704">
        <f>H21</f>
        <v>100</v>
      </c>
      <c r="V21" s="703" t="s">
        <v>14</v>
      </c>
      <c r="W21" s="704">
        <f>J21</f>
        <v>100</v>
      </c>
      <c r="X21" s="1353"/>
      <c r="Y21" s="379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98"/>
      <c r="Q22" s="1350"/>
      <c r="R22" s="703"/>
      <c r="S22" s="704"/>
      <c r="T22" s="703"/>
      <c r="U22" s="704"/>
      <c r="V22" s="703"/>
      <c r="W22" s="704"/>
      <c r="X22" s="1353"/>
      <c r="Y22" s="3791"/>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98"/>
      <c r="Q23" s="1350" t="str">
        <f>B23</f>
        <v>自然及人文环境</v>
      </c>
      <c r="R23" s="703" t="s">
        <v>18</v>
      </c>
      <c r="S23" s="704">
        <f>F23</f>
        <v>100</v>
      </c>
      <c r="T23" s="703" t="s">
        <v>18</v>
      </c>
      <c r="U23" s="704">
        <f>H23</f>
        <v>100</v>
      </c>
      <c r="V23" s="703" t="s">
        <v>18</v>
      </c>
      <c r="W23" s="704">
        <f>J23</f>
        <v>100</v>
      </c>
      <c r="X23" s="1353"/>
      <c r="Y23" s="379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98"/>
      <c r="Q24" s="1350"/>
      <c r="R24" s="703"/>
      <c r="S24" s="704"/>
      <c r="T24" s="703"/>
      <c r="U24" s="704"/>
      <c r="V24" s="703"/>
      <c r="W24" s="704"/>
      <c r="X24" s="1353"/>
      <c r="Y24" s="379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9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9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98"/>
      <c r="Q26" s="1350" t="str">
        <f t="shared" si="11"/>
        <v>朝向</v>
      </c>
      <c r="R26" s="703" t="s">
        <v>18</v>
      </c>
      <c r="S26" s="704">
        <f t="shared" si="12"/>
        <v>100</v>
      </c>
      <c r="T26" s="703" t="s">
        <v>18</v>
      </c>
      <c r="U26" s="704">
        <f t="shared" si="13"/>
        <v>100</v>
      </c>
      <c r="V26" s="703" t="s">
        <v>18</v>
      </c>
      <c r="W26" s="704">
        <f t="shared" si="14"/>
        <v>100</v>
      </c>
      <c r="X26" s="1353"/>
      <c r="Y26" s="379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98"/>
      <c r="Q27" s="1341">
        <f t="shared" si="11"/>
        <v>111</v>
      </c>
      <c r="R27" s="699" t="s">
        <v>18</v>
      </c>
      <c r="S27" s="700">
        <f t="shared" si="12"/>
        <v>100</v>
      </c>
      <c r="T27" s="699" t="s">
        <v>18</v>
      </c>
      <c r="U27" s="700">
        <f t="shared" si="13"/>
        <v>100</v>
      </c>
      <c r="V27" s="699" t="s">
        <v>18</v>
      </c>
      <c r="W27" s="700">
        <f t="shared" si="14"/>
        <v>100</v>
      </c>
      <c r="X27" s="701"/>
      <c r="Y27" s="379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98"/>
      <c r="Q28" s="1350">
        <f t="shared" si="11"/>
        <v>111</v>
      </c>
      <c r="R28" s="703" t="s">
        <v>18</v>
      </c>
      <c r="S28" s="704">
        <f t="shared" si="12"/>
        <v>100</v>
      </c>
      <c r="T28" s="703" t="s">
        <v>18</v>
      </c>
      <c r="U28" s="704">
        <f t="shared" si="13"/>
        <v>100</v>
      </c>
      <c r="V28" s="703" t="s">
        <v>18</v>
      </c>
      <c r="W28" s="704">
        <f t="shared" si="14"/>
        <v>100</v>
      </c>
      <c r="X28" s="1353"/>
      <c r="Y28" s="379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98"/>
      <c r="Q29" s="1350">
        <f t="shared" si="11"/>
        <v>111</v>
      </c>
      <c r="R29" s="703" t="s">
        <v>18</v>
      </c>
      <c r="S29" s="704">
        <f t="shared" si="12"/>
        <v>100</v>
      </c>
      <c r="T29" s="703" t="s">
        <v>18</v>
      </c>
      <c r="U29" s="704">
        <f t="shared" si="13"/>
        <v>100</v>
      </c>
      <c r="V29" s="703" t="s">
        <v>18</v>
      </c>
      <c r="W29" s="704">
        <f t="shared" si="14"/>
        <v>100</v>
      </c>
      <c r="X29" s="1353"/>
      <c r="Y29" s="379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98"/>
      <c r="Q30" s="1350">
        <f t="shared" si="11"/>
        <v>111</v>
      </c>
      <c r="R30" s="703" t="s">
        <v>18</v>
      </c>
      <c r="S30" s="704">
        <f t="shared" si="12"/>
        <v>100</v>
      </c>
      <c r="T30" s="703" t="s">
        <v>18</v>
      </c>
      <c r="U30" s="704">
        <f t="shared" si="13"/>
        <v>100</v>
      </c>
      <c r="V30" s="703" t="s">
        <v>18</v>
      </c>
      <c r="W30" s="704">
        <f t="shared" si="14"/>
        <v>100</v>
      </c>
      <c r="X30" s="1353"/>
      <c r="Y30" s="379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98"/>
      <c r="Q31" s="1350">
        <f t="shared" si="11"/>
        <v>111</v>
      </c>
      <c r="R31" s="703" t="s">
        <v>18</v>
      </c>
      <c r="S31" s="704">
        <f t="shared" si="12"/>
        <v>100</v>
      </c>
      <c r="T31" s="703" t="s">
        <v>18</v>
      </c>
      <c r="U31" s="704">
        <f t="shared" si="13"/>
        <v>100</v>
      </c>
      <c r="V31" s="703" t="s">
        <v>18</v>
      </c>
      <c r="W31" s="704">
        <f t="shared" si="14"/>
        <v>100</v>
      </c>
      <c r="X31" s="1353"/>
      <c r="Y31" s="379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92" t="s">
        <v>1696</v>
      </c>
      <c r="Q32" s="1350" t="str">
        <f t="shared" si="11"/>
        <v>建筑类型</v>
      </c>
      <c r="R32" s="703" t="s">
        <v>18</v>
      </c>
      <c r="S32" s="704">
        <f t="shared" si="12"/>
        <v>100</v>
      </c>
      <c r="T32" s="703" t="s">
        <v>18</v>
      </c>
      <c r="U32" s="704">
        <f t="shared" si="13"/>
        <v>100</v>
      </c>
      <c r="V32" s="703" t="s">
        <v>18</v>
      </c>
      <c r="W32" s="704">
        <f t="shared" si="14"/>
        <v>100</v>
      </c>
      <c r="X32" s="1353"/>
      <c r="Y32" s="379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93"/>
      <c r="Q33" s="705" t="str">
        <f t="shared" si="11"/>
        <v>项目建筑规模</v>
      </c>
      <c r="R33" s="706" t="s">
        <v>18</v>
      </c>
      <c r="S33" s="707" t="e">
        <f t="shared" si="12"/>
        <v>#N/A</v>
      </c>
      <c r="T33" s="706" t="s">
        <v>18</v>
      </c>
      <c r="U33" s="707" t="e">
        <f t="shared" si="13"/>
        <v>#N/A</v>
      </c>
      <c r="V33" s="706" t="s">
        <v>18</v>
      </c>
      <c r="W33" s="707" t="e">
        <f t="shared" si="14"/>
        <v>#N/A</v>
      </c>
      <c r="X33" s="708"/>
      <c r="Y33" s="379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93"/>
      <c r="Q34" s="1350" t="str">
        <f t="shared" si="11"/>
        <v>建筑结构</v>
      </c>
      <c r="R34" s="703" t="s">
        <v>18</v>
      </c>
      <c r="S34" s="704">
        <f t="shared" si="12"/>
        <v>100</v>
      </c>
      <c r="T34" s="703" t="s">
        <v>18</v>
      </c>
      <c r="U34" s="704">
        <f t="shared" si="13"/>
        <v>100</v>
      </c>
      <c r="V34" s="703" t="s">
        <v>18</v>
      </c>
      <c r="W34" s="704">
        <f t="shared" si="14"/>
        <v>100</v>
      </c>
      <c r="X34" s="1353"/>
      <c r="Y34" s="379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93"/>
      <c r="Q35" s="1350" t="str">
        <f t="shared" si="11"/>
        <v>建筑品质</v>
      </c>
      <c r="R35" s="703" t="s">
        <v>18</v>
      </c>
      <c r="S35" s="704">
        <f t="shared" si="12"/>
        <v>100</v>
      </c>
      <c r="T35" s="703" t="s">
        <v>18</v>
      </c>
      <c r="U35" s="704">
        <f t="shared" si="13"/>
        <v>100</v>
      </c>
      <c r="V35" s="703" t="s">
        <v>18</v>
      </c>
      <c r="W35" s="704">
        <f t="shared" si="14"/>
        <v>100</v>
      </c>
      <c r="X35" s="1353"/>
      <c r="Y35" s="379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93"/>
      <c r="Q36" s="1350" t="str">
        <f t="shared" si="11"/>
        <v>公共部分装修</v>
      </c>
      <c r="R36" s="703" t="s">
        <v>18</v>
      </c>
      <c r="S36" s="704">
        <f t="shared" si="12"/>
        <v>100</v>
      </c>
      <c r="T36" s="703" t="s">
        <v>18</v>
      </c>
      <c r="U36" s="704">
        <f t="shared" si="13"/>
        <v>100</v>
      </c>
      <c r="V36" s="703" t="s">
        <v>18</v>
      </c>
      <c r="W36" s="704">
        <f t="shared" si="14"/>
        <v>100</v>
      </c>
      <c r="X36" s="1353"/>
      <c r="Y36" s="379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93"/>
      <c r="Q37" s="1341" t="str">
        <f t="shared" si="11"/>
        <v>成新度</v>
      </c>
      <c r="R37" s="699" t="s">
        <v>18</v>
      </c>
      <c r="S37" s="700" t="e">
        <f t="shared" si="12"/>
        <v>#N/A</v>
      </c>
      <c r="T37" s="699" t="s">
        <v>18</v>
      </c>
      <c r="U37" s="700" t="e">
        <f t="shared" si="13"/>
        <v>#N/A</v>
      </c>
      <c r="V37" s="699" t="s">
        <v>18</v>
      </c>
      <c r="W37" s="700" t="e">
        <f t="shared" si="14"/>
        <v>#N/A</v>
      </c>
      <c r="X37" s="701"/>
      <c r="Y37" s="379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93" t="s">
        <v>1696</v>
      </c>
      <c r="Q38" s="1350" t="str">
        <f t="shared" si="11"/>
        <v>物业管理</v>
      </c>
      <c r="R38" s="703" t="s">
        <v>18</v>
      </c>
      <c r="S38" s="704">
        <f t="shared" si="12"/>
        <v>100</v>
      </c>
      <c r="T38" s="703" t="s">
        <v>18</v>
      </c>
      <c r="U38" s="704">
        <f t="shared" si="13"/>
        <v>100</v>
      </c>
      <c r="V38" s="703" t="s">
        <v>18</v>
      </c>
      <c r="W38" s="704">
        <f t="shared" si="14"/>
        <v>100</v>
      </c>
      <c r="X38" s="1353"/>
      <c r="Y38" s="379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93"/>
      <c r="Q39" s="1350" t="str">
        <f t="shared" si="11"/>
        <v>市政基础设施</v>
      </c>
      <c r="R39" s="703" t="s">
        <v>18</v>
      </c>
      <c r="S39" s="704">
        <f t="shared" si="12"/>
        <v>100</v>
      </c>
      <c r="T39" s="703" t="s">
        <v>18</v>
      </c>
      <c r="U39" s="704">
        <f t="shared" si="13"/>
        <v>100</v>
      </c>
      <c r="V39" s="703" t="s">
        <v>18</v>
      </c>
      <c r="W39" s="704">
        <f t="shared" si="14"/>
        <v>100</v>
      </c>
      <c r="X39" s="1353"/>
      <c r="Y39" s="379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93"/>
      <c r="Q40" s="1350" t="str">
        <f t="shared" si="11"/>
        <v>房型</v>
      </c>
      <c r="R40" s="703" t="s">
        <v>18</v>
      </c>
      <c r="S40" s="704">
        <f t="shared" si="12"/>
        <v>100</v>
      </c>
      <c r="T40" s="703" t="s">
        <v>18</v>
      </c>
      <c r="U40" s="704">
        <f t="shared" si="13"/>
        <v>100</v>
      </c>
      <c r="V40" s="703" t="s">
        <v>18</v>
      </c>
      <c r="W40" s="704">
        <f t="shared" si="14"/>
        <v>100</v>
      </c>
      <c r="X40" s="1353"/>
      <c r="Y40" s="379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93"/>
      <c r="Q41" s="705" t="str">
        <f t="shared" si="11"/>
        <v>单套/主力户型建筑面积</v>
      </c>
      <c r="R41" s="706" t="s">
        <v>18</v>
      </c>
      <c r="S41" s="707">
        <f t="shared" si="12"/>
        <v>100</v>
      </c>
      <c r="T41" s="706" t="s">
        <v>18</v>
      </c>
      <c r="U41" s="707">
        <f t="shared" si="13"/>
        <v>100</v>
      </c>
      <c r="V41" s="706" t="s">
        <v>18</v>
      </c>
      <c r="W41" s="707">
        <f t="shared" si="14"/>
        <v>100</v>
      </c>
      <c r="X41" s="708"/>
      <c r="Y41" s="379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93"/>
      <c r="Q42" s="1350" t="str">
        <f t="shared" si="11"/>
        <v>内部装修</v>
      </c>
      <c r="R42" s="703" t="s">
        <v>18</v>
      </c>
      <c r="S42" s="704">
        <f t="shared" si="12"/>
        <v>100</v>
      </c>
      <c r="T42" s="703" t="s">
        <v>18</v>
      </c>
      <c r="U42" s="704">
        <f t="shared" si="13"/>
        <v>100</v>
      </c>
      <c r="V42" s="703" t="s">
        <v>18</v>
      </c>
      <c r="W42" s="704">
        <f t="shared" si="14"/>
        <v>100</v>
      </c>
      <c r="X42" s="1353"/>
      <c r="Y42" s="379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93"/>
      <c r="Q43" s="1350" t="str">
        <f t="shared" si="11"/>
        <v>内部装修维护情况</v>
      </c>
      <c r="R43" s="703" t="s">
        <v>18</v>
      </c>
      <c r="S43" s="704">
        <f t="shared" si="12"/>
        <v>100</v>
      </c>
      <c r="T43" s="703" t="s">
        <v>18</v>
      </c>
      <c r="U43" s="704">
        <f t="shared" si="13"/>
        <v>100</v>
      </c>
      <c r="V43" s="703" t="s">
        <v>18</v>
      </c>
      <c r="W43" s="704">
        <f t="shared" si="14"/>
        <v>100</v>
      </c>
      <c r="X43" s="1353"/>
      <c r="Y43" s="379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93"/>
      <c r="Q44" s="1341">
        <f t="shared" si="11"/>
        <v>111</v>
      </c>
      <c r="R44" s="699" t="s">
        <v>18</v>
      </c>
      <c r="S44" s="700">
        <f t="shared" si="12"/>
        <v>100</v>
      </c>
      <c r="T44" s="699" t="s">
        <v>18</v>
      </c>
      <c r="U44" s="700">
        <f t="shared" si="13"/>
        <v>100</v>
      </c>
      <c r="V44" s="699" t="s">
        <v>18</v>
      </c>
      <c r="W44" s="700">
        <f t="shared" si="14"/>
        <v>100</v>
      </c>
      <c r="X44" s="701"/>
      <c r="Y44" s="379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93"/>
      <c r="Q45" s="1350">
        <f t="shared" si="11"/>
        <v>111</v>
      </c>
      <c r="R45" s="703" t="s">
        <v>18</v>
      </c>
      <c r="S45" s="704">
        <f t="shared" si="12"/>
        <v>100</v>
      </c>
      <c r="T45" s="703" t="s">
        <v>18</v>
      </c>
      <c r="U45" s="704">
        <f t="shared" si="13"/>
        <v>100</v>
      </c>
      <c r="V45" s="703" t="s">
        <v>18</v>
      </c>
      <c r="W45" s="704">
        <f t="shared" si="14"/>
        <v>100</v>
      </c>
      <c r="X45" s="1353"/>
      <c r="Y45" s="379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94"/>
      <c r="Q46" s="1350">
        <f t="shared" si="11"/>
        <v>111</v>
      </c>
      <c r="R46" s="703" t="s">
        <v>17</v>
      </c>
      <c r="S46" s="704">
        <f t="shared" si="12"/>
        <v>100</v>
      </c>
      <c r="T46" s="703" t="s">
        <v>17</v>
      </c>
      <c r="U46" s="704">
        <f t="shared" si="13"/>
        <v>100</v>
      </c>
      <c r="V46" s="703" t="s">
        <v>17</v>
      </c>
      <c r="W46" s="704">
        <f t="shared" si="14"/>
        <v>100</v>
      </c>
      <c r="X46" s="1353"/>
      <c r="Y46" s="379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88" t="str">
        <f>A47</f>
        <v>成交单价（元/平方米）</v>
      </c>
      <c r="Q47" s="3788"/>
      <c r="R47" s="3789">
        <f>E47</f>
        <v>0</v>
      </c>
      <c r="S47" s="3789"/>
      <c r="T47" s="3789">
        <f>G47</f>
        <v>0</v>
      </c>
      <c r="U47" s="3789"/>
      <c r="V47" s="3789">
        <f>I47</f>
        <v>0</v>
      </c>
      <c r="W47" s="378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88" t="str">
        <f>A48</f>
        <v>比较价值（元/平方米）</v>
      </c>
      <c r="Q48" s="3788"/>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51" t="s">
        <v>3386</v>
      </c>
      <c r="E61" s="472"/>
      <c r="F61" s="472"/>
      <c r="G61" s="472"/>
      <c r="H61" s="472"/>
      <c r="I61" s="472"/>
      <c r="J61" s="472"/>
      <c r="K61" s="472"/>
      <c r="L61" s="473"/>
      <c r="M61" s="474"/>
      <c r="N61" s="930"/>
      <c r="O61" s="930"/>
      <c r="P61" s="1919"/>
      <c r="Q61" s="453"/>
    </row>
    <row r="62" spans="1:29" s="108" customFormat="1" ht="15.75" thickBot="1">
      <c r="A62" s="470"/>
      <c r="B62" s="459"/>
      <c r="C62" s="460">
        <v>100</v>
      </c>
      <c r="D62" s="461">
        <v>102</v>
      </c>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8" sqref="M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3372</v>
      </c>
      <c r="E1" s="3424" t="s">
        <v>3370</v>
      </c>
      <c r="F1" s="1877" t="s">
        <v>3371</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5.2</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71" t="s">
        <v>1770</v>
      </c>
      <c r="D4" s="3772"/>
      <c r="E4" s="3773" t="s">
        <v>1771</v>
      </c>
      <c r="F4" s="3774"/>
      <c r="G4" s="3771" t="s">
        <v>1772</v>
      </c>
      <c r="H4" s="3772"/>
      <c r="I4" s="3771" t="s">
        <v>1773</v>
      </c>
      <c r="J4" s="3772"/>
      <c r="K4" s="559" t="s">
        <v>1774</v>
      </c>
      <c r="L4" s="2713"/>
      <c r="M4" s="2714"/>
      <c r="N4" s="2714"/>
      <c r="O4" s="2714"/>
      <c r="P4" s="3775" t="s">
        <v>1775</v>
      </c>
      <c r="Q4" s="3776"/>
      <c r="R4" s="3757" t="s">
        <v>1771</v>
      </c>
      <c r="S4" s="3758"/>
      <c r="T4" s="3757" t="s">
        <v>1772</v>
      </c>
      <c r="U4" s="3758"/>
      <c r="V4" s="3783" t="s">
        <v>1773</v>
      </c>
      <c r="W4" s="3783"/>
      <c r="X4" s="1353"/>
      <c r="Y4" s="3757" t="s">
        <v>1775</v>
      </c>
      <c r="Z4" s="3758"/>
      <c r="AA4" s="3752" t="s">
        <v>1771</v>
      </c>
      <c r="AB4" s="3783" t="s">
        <v>1772</v>
      </c>
      <c r="AC4" s="3752" t="s">
        <v>1773</v>
      </c>
    </row>
    <row r="5" spans="1:29" ht="15">
      <c r="A5" s="358"/>
      <c r="B5" s="359"/>
      <c r="C5" s="3767" t="s">
        <v>1673</v>
      </c>
      <c r="D5" s="3764"/>
      <c r="E5" s="3761" t="str">
        <f>Sheet1!A2</f>
        <v>小屯西路</v>
      </c>
      <c r="F5" s="3762"/>
      <c r="G5" s="3767" t="str">
        <f>Sheet1!A3</f>
        <v>美域家园底商</v>
      </c>
      <c r="H5" s="3764"/>
      <c r="I5" s="3767" t="str">
        <f>Sheet1!A4</f>
        <v>美域家园西门底商</v>
      </c>
      <c r="J5" s="3764"/>
      <c r="K5" s="559"/>
      <c r="L5" s="2713"/>
      <c r="M5" s="2714"/>
      <c r="N5" s="2714"/>
      <c r="O5" s="2714"/>
      <c r="P5" s="3777"/>
      <c r="Q5" s="3778"/>
      <c r="R5" s="3759"/>
      <c r="S5" s="3760"/>
      <c r="T5" s="3759"/>
      <c r="U5" s="3760"/>
      <c r="V5" s="3783"/>
      <c r="W5" s="3783"/>
      <c r="X5" s="1353"/>
      <c r="Y5" s="3759"/>
      <c r="Z5" s="3760"/>
      <c r="AA5" s="3753"/>
      <c r="AB5" s="3783"/>
      <c r="AC5" s="3753"/>
    </row>
    <row r="6" spans="1:29" ht="15.75" thickBot="1">
      <c r="A6" s="360"/>
      <c r="B6" s="361"/>
      <c r="C6" s="3765" t="s">
        <v>1677</v>
      </c>
      <c r="D6" s="3766"/>
      <c r="E6" s="3768" t="s">
        <v>1677</v>
      </c>
      <c r="F6" s="3769"/>
      <c r="G6" s="3765" t="s">
        <v>1677</v>
      </c>
      <c r="H6" s="3766"/>
      <c r="I6" s="3765" t="s">
        <v>1677</v>
      </c>
      <c r="J6" s="3766"/>
      <c r="K6" s="559" t="s">
        <v>1678</v>
      </c>
      <c r="L6" s="2713"/>
      <c r="M6" s="2714"/>
      <c r="N6" s="2714"/>
      <c r="O6" s="2714"/>
      <c r="P6" s="3779"/>
      <c r="Q6" s="3780"/>
      <c r="R6" s="3759"/>
      <c r="S6" s="3760"/>
      <c r="T6" s="3781"/>
      <c r="U6" s="3782"/>
      <c r="V6" s="3783"/>
      <c r="W6" s="3783"/>
      <c r="X6" s="1353"/>
      <c r="Y6" s="3781"/>
      <c r="Z6" s="3782"/>
      <c r="AA6" s="3754"/>
      <c r="AB6" s="3783"/>
      <c r="AC6" s="3754"/>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5"/>
      <c r="M7" s="2716"/>
      <c r="N7" s="2716"/>
      <c r="O7" s="2716"/>
      <c r="P7" s="3755" t="s">
        <v>1680</v>
      </c>
      <c r="Q7" s="3784"/>
      <c r="R7" s="699" t="s">
        <v>14</v>
      </c>
      <c r="S7" s="700">
        <f t="shared" ref="S7:S15" si="0">F7</f>
        <v>100</v>
      </c>
      <c r="T7" s="699" t="s">
        <v>14</v>
      </c>
      <c r="U7" s="700">
        <f t="shared" ref="U7:U15" si="1">H7</f>
        <v>100</v>
      </c>
      <c r="V7" s="699" t="s">
        <v>14</v>
      </c>
      <c r="W7" s="700">
        <f t="shared" ref="W7:W15" si="2">J7</f>
        <v>100</v>
      </c>
      <c r="X7" s="701"/>
      <c r="Y7" s="3755" t="s">
        <v>1680</v>
      </c>
      <c r="Z7" s="3756"/>
      <c r="AA7" s="702">
        <f>D7/F7</f>
        <v>1</v>
      </c>
      <c r="AB7" s="702">
        <f>D7/H7</f>
        <v>1</v>
      </c>
      <c r="AC7" s="702">
        <f>D7/J7</f>
        <v>1</v>
      </c>
    </row>
    <row r="8" spans="1:29" s="108" customFormat="1" ht="15.75" thickBot="1">
      <c r="A8" s="362" t="s">
        <v>1681</v>
      </c>
      <c r="B8" s="363"/>
      <c r="C8" s="368" t="s">
        <v>3385</v>
      </c>
      <c r="D8" s="365">
        <v>100</v>
      </c>
      <c r="E8" s="368" t="s">
        <v>3405</v>
      </c>
      <c r="F8" s="367">
        <f>SUMIF(61:61,E8,62:62)-SUMIF(61:61,C8,62:62)+100</f>
        <v>102</v>
      </c>
      <c r="G8" s="368" t="s">
        <v>3405</v>
      </c>
      <c r="H8" s="365">
        <f>SUMIF(61:61,G8,62:62)-SUMIF(61:61,C8,62:62)+100</f>
        <v>102</v>
      </c>
      <c r="I8" s="368" t="s">
        <v>3405</v>
      </c>
      <c r="J8" s="365">
        <f>SUMIF(61:61,I8,62:62)-SUMIF(61:61,C8,62:62)+100</f>
        <v>102</v>
      </c>
      <c r="K8" s="560"/>
      <c r="L8" s="2715"/>
      <c r="M8" s="2716"/>
      <c r="N8" s="2716"/>
      <c r="O8" s="2716"/>
      <c r="P8" s="3755" t="s">
        <v>1683</v>
      </c>
      <c r="Q8" s="3756"/>
      <c r="R8" s="699" t="s">
        <v>14</v>
      </c>
      <c r="S8" s="700">
        <f t="shared" si="0"/>
        <v>102</v>
      </c>
      <c r="T8" s="699" t="s">
        <v>14</v>
      </c>
      <c r="U8" s="700">
        <f t="shared" si="1"/>
        <v>102</v>
      </c>
      <c r="V8" s="699" t="s">
        <v>14</v>
      </c>
      <c r="W8" s="700">
        <f t="shared" si="2"/>
        <v>102</v>
      </c>
      <c r="X8" s="701"/>
      <c r="Y8" s="3755" t="s">
        <v>1683</v>
      </c>
      <c r="Z8" s="3756"/>
      <c r="AA8" s="702">
        <f t="shared" ref="AA8:AA46" si="3">D8/F8</f>
        <v>0.98039215686274506</v>
      </c>
      <c r="AB8" s="702">
        <f t="shared" ref="AB8:AB46" si="4">D8/H8</f>
        <v>0.98039215686274506</v>
      </c>
      <c r="AC8" s="702">
        <f t="shared" ref="AC8:AC46" si="5">D8/J8</f>
        <v>0.98039215686274506</v>
      </c>
    </row>
    <row r="9" spans="1:29" s="108" customFormat="1">
      <c r="A9" s="369" t="s">
        <v>1684</v>
      </c>
      <c r="B9" s="63" t="s">
        <v>1685</v>
      </c>
      <c r="C9" s="3456" t="s">
        <v>3406</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70"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70"/>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702">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70"/>
      <c r="Q11" s="1341" t="str">
        <f t="shared" si="6"/>
        <v>容积率</v>
      </c>
      <c r="R11" s="699" t="s">
        <v>14</v>
      </c>
      <c r="S11" s="700">
        <f t="shared" si="0"/>
        <v>100</v>
      </c>
      <c r="T11" s="699" t="s">
        <v>14</v>
      </c>
      <c r="U11" s="700">
        <f t="shared" si="1"/>
        <v>100</v>
      </c>
      <c r="V11" s="699" t="s">
        <v>14</v>
      </c>
      <c r="W11" s="700">
        <f t="shared" si="2"/>
        <v>100</v>
      </c>
      <c r="X11" s="701"/>
      <c r="Y11" s="3702"/>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70"/>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70"/>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70"/>
      <c r="Q14" s="1341">
        <f t="shared" si="6"/>
        <v>111</v>
      </c>
      <c r="R14" s="699" t="s">
        <v>14</v>
      </c>
      <c r="S14" s="700">
        <f t="shared" si="0"/>
        <v>100</v>
      </c>
      <c r="T14" s="699" t="s">
        <v>14</v>
      </c>
      <c r="U14" s="700">
        <f t="shared" si="1"/>
        <v>100</v>
      </c>
      <c r="V14" s="699" t="s">
        <v>14</v>
      </c>
      <c r="W14" s="700">
        <f t="shared" si="2"/>
        <v>100</v>
      </c>
      <c r="X14" s="701"/>
      <c r="Y14" s="3702"/>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20"/>
      <c r="M15" s="2714"/>
      <c r="N15" s="2714"/>
      <c r="O15" s="2714"/>
      <c r="P15" s="3797" t="s">
        <v>1691</v>
      </c>
      <c r="Q15" s="1350" t="str">
        <f t="shared" si="6"/>
        <v>商业繁华度</v>
      </c>
      <c r="R15" s="703" t="s">
        <v>14</v>
      </c>
      <c r="S15" s="704">
        <f t="shared" si="0"/>
        <v>100</v>
      </c>
      <c r="T15" s="703" t="s">
        <v>14</v>
      </c>
      <c r="U15" s="704">
        <f t="shared" si="1"/>
        <v>100</v>
      </c>
      <c r="V15" s="703" t="s">
        <v>14</v>
      </c>
      <c r="W15" s="704">
        <f t="shared" si="2"/>
        <v>100</v>
      </c>
      <c r="X15" s="1353"/>
      <c r="Y15" s="3790"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798"/>
      <c r="Q16" s="1350"/>
      <c r="R16" s="703"/>
      <c r="S16" s="704"/>
      <c r="T16" s="703"/>
      <c r="U16" s="704"/>
      <c r="V16" s="703"/>
      <c r="W16" s="704"/>
      <c r="X16" s="1353"/>
      <c r="Y16" s="3791"/>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98"/>
      <c r="Q17" s="1350" t="str">
        <f>B17</f>
        <v>交通便捷度</v>
      </c>
      <c r="R17" s="703" t="s">
        <v>14</v>
      </c>
      <c r="S17" s="704">
        <f>F17</f>
        <v>100</v>
      </c>
      <c r="T17" s="703" t="s">
        <v>14</v>
      </c>
      <c r="U17" s="704">
        <f>H17</f>
        <v>100</v>
      </c>
      <c r="V17" s="703" t="s">
        <v>14</v>
      </c>
      <c r="W17" s="704">
        <f>J17</f>
        <v>100</v>
      </c>
      <c r="X17" s="1353"/>
      <c r="Y17" s="3791"/>
      <c r="Z17" s="1354" t="str">
        <f>Q17</f>
        <v>交通便捷度</v>
      </c>
      <c r="AA17" s="1351">
        <f t="shared" si="3"/>
        <v>1</v>
      </c>
      <c r="AB17" s="1351">
        <f t="shared" si="4"/>
        <v>1</v>
      </c>
      <c r="AC17" s="1351">
        <f t="shared" si="5"/>
        <v>1</v>
      </c>
    </row>
    <row r="18" spans="1:29" ht="15">
      <c r="A18" s="379"/>
      <c r="B18" s="407"/>
      <c r="C18" s="1899" t="s">
        <v>3393</v>
      </c>
      <c r="D18" s="401"/>
      <c r="E18" s="1901" t="s">
        <v>3393</v>
      </c>
      <c r="F18" s="404"/>
      <c r="G18" s="1900" t="s">
        <v>3393</v>
      </c>
      <c r="H18" s="399"/>
      <c r="I18" s="1901" t="s">
        <v>3393</v>
      </c>
      <c r="J18" s="399"/>
      <c r="K18" s="564"/>
      <c r="L18" s="2720"/>
      <c r="M18" s="2714"/>
      <c r="N18" s="2714"/>
      <c r="O18" s="2714"/>
      <c r="P18" s="3798"/>
      <c r="Q18" s="1350"/>
      <c r="R18" s="703"/>
      <c r="S18" s="704"/>
      <c r="T18" s="703"/>
      <c r="U18" s="704"/>
      <c r="V18" s="703"/>
      <c r="W18" s="704"/>
      <c r="X18" s="1353"/>
      <c r="Y18" s="3791"/>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0"/>
      <c r="M19" s="2714"/>
      <c r="N19" s="2714"/>
      <c r="O19" s="2714"/>
      <c r="P19" s="3798"/>
      <c r="Q19" s="1350" t="str">
        <f>B19</f>
        <v>公共配套设施</v>
      </c>
      <c r="R19" s="703" t="s">
        <v>14</v>
      </c>
      <c r="S19" s="704">
        <f>F19</f>
        <v>100</v>
      </c>
      <c r="T19" s="703" t="s">
        <v>14</v>
      </c>
      <c r="U19" s="704">
        <f>H19</f>
        <v>100</v>
      </c>
      <c r="V19" s="703" t="s">
        <v>14</v>
      </c>
      <c r="W19" s="704">
        <f>J19</f>
        <v>100</v>
      </c>
      <c r="X19" s="1353"/>
      <c r="Y19" s="3791"/>
      <c r="Z19" s="1354" t="str">
        <f>Q19</f>
        <v>公共配套设施</v>
      </c>
      <c r="AA19" s="1351">
        <f t="shared" si="3"/>
        <v>1</v>
      </c>
      <c r="AB19" s="1351">
        <f t="shared" si="4"/>
        <v>1</v>
      </c>
      <c r="AC19" s="1351">
        <f t="shared" si="5"/>
        <v>1</v>
      </c>
    </row>
    <row r="20" spans="1:29" ht="15">
      <c r="A20" s="379"/>
      <c r="B20" s="407"/>
      <c r="C20" s="1899" t="s">
        <v>3393</v>
      </c>
      <c r="D20" s="399"/>
      <c r="E20" s="1899" t="s">
        <v>3393</v>
      </c>
      <c r="F20" s="400"/>
      <c r="G20" s="1899" t="s">
        <v>3393</v>
      </c>
      <c r="H20" s="399"/>
      <c r="I20" s="1899" t="s">
        <v>3393</v>
      </c>
      <c r="J20" s="399"/>
      <c r="K20" s="564"/>
      <c r="L20" s="2720"/>
      <c r="M20" s="2714"/>
      <c r="N20" s="2714"/>
      <c r="O20" s="2714"/>
      <c r="P20" s="3798"/>
      <c r="Q20" s="1350"/>
      <c r="R20" s="703"/>
      <c r="S20" s="704"/>
      <c r="T20" s="703"/>
      <c r="U20" s="704"/>
      <c r="V20" s="703"/>
      <c r="W20" s="704"/>
      <c r="X20" s="1353"/>
      <c r="Y20" s="3791"/>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0"/>
      <c r="M21" s="2714"/>
      <c r="N21" s="2714"/>
      <c r="O21" s="2714"/>
      <c r="P21" s="3798"/>
      <c r="Q21" s="1350" t="str">
        <f>B21</f>
        <v>基础设施水平</v>
      </c>
      <c r="R21" s="703" t="s">
        <v>14</v>
      </c>
      <c r="S21" s="704">
        <f>F21</f>
        <v>100</v>
      </c>
      <c r="T21" s="703" t="s">
        <v>14</v>
      </c>
      <c r="U21" s="704">
        <f>H21</f>
        <v>100</v>
      </c>
      <c r="V21" s="703" t="s">
        <v>14</v>
      </c>
      <c r="W21" s="704">
        <f>J21</f>
        <v>100</v>
      </c>
      <c r="X21" s="1353"/>
      <c r="Y21" s="3791"/>
      <c r="Z21" s="1354" t="str">
        <f>Q21</f>
        <v>基础设施水平</v>
      </c>
      <c r="AA21" s="1351">
        <f t="shared" ref="AA21" si="8">D21/F21</f>
        <v>1</v>
      </c>
      <c r="AB21" s="1351">
        <f t="shared" ref="AB21" si="9">D21/H21</f>
        <v>1</v>
      </c>
      <c r="AC21" s="1351">
        <f t="shared" ref="AC21" si="10">D21/J21</f>
        <v>1</v>
      </c>
    </row>
    <row r="22" spans="1:29" ht="15">
      <c r="A22" s="379"/>
      <c r="B22" s="1129"/>
      <c r="C22" s="1899" t="s">
        <v>3407</v>
      </c>
      <c r="D22" s="399"/>
      <c r="E22" s="1899" t="s">
        <v>3407</v>
      </c>
      <c r="F22" s="400"/>
      <c r="G22" s="1899" t="s">
        <v>3407</v>
      </c>
      <c r="H22" s="399"/>
      <c r="I22" s="1899" t="s">
        <v>3407</v>
      </c>
      <c r="J22" s="399"/>
      <c r="K22" s="1128"/>
      <c r="L22" s="2720"/>
      <c r="M22" s="2714"/>
      <c r="N22" s="2714"/>
      <c r="O22" s="2714"/>
      <c r="P22" s="3798"/>
      <c r="Q22" s="1350"/>
      <c r="R22" s="703"/>
      <c r="S22" s="704"/>
      <c r="T22" s="703"/>
      <c r="U22" s="704"/>
      <c r="V22" s="703"/>
      <c r="W22" s="704"/>
      <c r="X22" s="1353"/>
      <c r="Y22" s="3791"/>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798"/>
      <c r="Q23" s="1350" t="str">
        <f>B23</f>
        <v>自然及人文环境</v>
      </c>
      <c r="R23" s="703" t="s">
        <v>14</v>
      </c>
      <c r="S23" s="704">
        <f>F23</f>
        <v>100</v>
      </c>
      <c r="T23" s="703" t="s">
        <v>14</v>
      </c>
      <c r="U23" s="704">
        <f>H23</f>
        <v>100</v>
      </c>
      <c r="V23" s="703" t="s">
        <v>14</v>
      </c>
      <c r="W23" s="704">
        <f>J23</f>
        <v>100</v>
      </c>
      <c r="X23" s="1353"/>
      <c r="Y23" s="3791"/>
      <c r="Z23" s="1354" t="str">
        <f>Q23</f>
        <v>自然及人文环境</v>
      </c>
      <c r="AA23" s="1351">
        <f t="shared" si="3"/>
        <v>1</v>
      </c>
      <c r="AB23" s="1351">
        <f t="shared" si="4"/>
        <v>1</v>
      </c>
      <c r="AC23" s="1351">
        <f t="shared" si="5"/>
        <v>1</v>
      </c>
    </row>
    <row r="24" spans="1:29" ht="15">
      <c r="A24" s="379"/>
      <c r="B24" s="407"/>
      <c r="C24" s="398" t="s">
        <v>3393</v>
      </c>
      <c r="D24" s="399"/>
      <c r="E24" s="398" t="s">
        <v>3393</v>
      </c>
      <c r="F24" s="400"/>
      <c r="G24" s="398" t="s">
        <v>3393</v>
      </c>
      <c r="H24" s="399"/>
      <c r="I24" s="398" t="s">
        <v>3393</v>
      </c>
      <c r="J24" s="399"/>
      <c r="K24" s="564"/>
      <c r="L24" s="2720"/>
      <c r="M24" s="2714"/>
      <c r="N24" s="2714"/>
      <c r="O24" s="2714"/>
      <c r="P24" s="3798"/>
      <c r="Q24" s="1350"/>
      <c r="R24" s="703"/>
      <c r="S24" s="704"/>
      <c r="T24" s="703"/>
      <c r="U24" s="704"/>
      <c r="V24" s="703"/>
      <c r="W24" s="704"/>
      <c r="X24" s="1353"/>
      <c r="Y24" s="3791"/>
      <c r="Z24" s="1354"/>
      <c r="AA24" s="1351">
        <v>1</v>
      </c>
      <c r="AB24" s="1351">
        <v>1</v>
      </c>
      <c r="AC24" s="1351">
        <v>1</v>
      </c>
    </row>
    <row r="25" spans="1:29" ht="15">
      <c r="A25" s="379"/>
      <c r="B25" s="375" t="s">
        <v>1780</v>
      </c>
      <c r="C25" s="565" t="s">
        <v>3408</v>
      </c>
      <c r="D25" s="386">
        <v>100</v>
      </c>
      <c r="E25" s="565" t="s">
        <v>3408</v>
      </c>
      <c r="F25" s="412">
        <f>SUMIF(86:86,E25,87:87)-SUMIF(86:86,C25,87:87)+100</f>
        <v>100</v>
      </c>
      <c r="G25" s="565" t="s">
        <v>3408</v>
      </c>
      <c r="H25" s="386">
        <f>SUMIF(86:86,G25,87:87)-SUMIF(86:86,C25,87:87)+100</f>
        <v>100</v>
      </c>
      <c r="I25" s="565" t="s">
        <v>3408</v>
      </c>
      <c r="J25" s="386">
        <f>SUMIF(86:86,I25,87:87)-SUMIF(86:86,C25,87:87)+100</f>
        <v>100</v>
      </c>
      <c r="K25" s="561">
        <v>3</v>
      </c>
      <c r="L25" s="2720"/>
      <c r="M25" s="2714"/>
      <c r="N25" s="2714"/>
      <c r="O25" s="2714"/>
      <c r="P25" s="3798"/>
      <c r="Q25" s="1350" t="str">
        <f t="shared" ref="Q25:Q46" si="11">B25</f>
        <v>临街状况</v>
      </c>
      <c r="R25" s="703" t="s">
        <v>14</v>
      </c>
      <c r="S25" s="704">
        <f>F25</f>
        <v>100</v>
      </c>
      <c r="T25" s="703" t="s">
        <v>14</v>
      </c>
      <c r="U25" s="704">
        <f>H25</f>
        <v>100</v>
      </c>
      <c r="V25" s="703" t="s">
        <v>14</v>
      </c>
      <c r="W25" s="704">
        <f>J25</f>
        <v>100</v>
      </c>
      <c r="X25" s="1353"/>
      <c r="Y25" s="3791"/>
      <c r="Z25" s="1354" t="str">
        <f>Q25</f>
        <v>临街状况</v>
      </c>
      <c r="AA25" s="1351">
        <f t="shared" si="3"/>
        <v>1</v>
      </c>
      <c r="AB25" s="1351">
        <f t="shared" si="4"/>
        <v>1</v>
      </c>
      <c r="AC25" s="1351">
        <f t="shared" si="5"/>
        <v>1</v>
      </c>
    </row>
    <row r="26" spans="1:29" ht="15">
      <c r="A26" s="379"/>
      <c r="B26" s="1131" t="s">
        <v>1781</v>
      </c>
      <c r="C26" s="3457" t="s">
        <v>3426</v>
      </c>
      <c r="D26" s="386">
        <v>100</v>
      </c>
      <c r="E26" s="3457" t="s">
        <v>3426</v>
      </c>
      <c r="F26" s="412">
        <f>SUMIF(88:88,E26,89:89)-SUMIF(88:88,C26,89:89)+100</f>
        <v>100</v>
      </c>
      <c r="G26" s="3457" t="s">
        <v>3426</v>
      </c>
      <c r="H26" s="386">
        <f>SUMIF(88:88,G26,89:89)-SUMIF(88:88,C26,89:89)+100</f>
        <v>100</v>
      </c>
      <c r="I26" s="3457" t="s">
        <v>3426</v>
      </c>
      <c r="J26" s="386">
        <f>SUMIF(88:88,I26,89:89)-SUMIF(88:88,C26,89:89)+100</f>
        <v>100</v>
      </c>
      <c r="K26" s="562"/>
      <c r="L26" s="2720"/>
      <c r="M26" s="2714"/>
      <c r="N26" s="2714"/>
      <c r="O26" s="2714"/>
      <c r="P26" s="3798"/>
      <c r="Q26" s="1350" t="str">
        <f t="shared" si="11"/>
        <v>平面位置/可视性</v>
      </c>
      <c r="R26" s="703" t="s">
        <v>14</v>
      </c>
      <c r="S26" s="704">
        <f>F26</f>
        <v>100</v>
      </c>
      <c r="T26" s="703" t="s">
        <v>14</v>
      </c>
      <c r="U26" s="704">
        <f>H26</f>
        <v>100</v>
      </c>
      <c r="V26" s="703" t="s">
        <v>14</v>
      </c>
      <c r="W26" s="704">
        <f>J26</f>
        <v>100</v>
      </c>
      <c r="X26" s="1353"/>
      <c r="Y26" s="3791"/>
      <c r="Z26" s="1354" t="str">
        <f>Q26</f>
        <v>平面位置/可视性</v>
      </c>
      <c r="AA26" s="1351">
        <f t="shared" si="3"/>
        <v>1</v>
      </c>
      <c r="AB26" s="1351">
        <f t="shared" si="4"/>
        <v>1</v>
      </c>
      <c r="AC26" s="1351">
        <f t="shared" si="5"/>
        <v>1</v>
      </c>
    </row>
    <row r="27" spans="1:29" s="108" customFormat="1" ht="15">
      <c r="A27" s="382"/>
      <c r="B27" s="402" t="s">
        <v>1782</v>
      </c>
      <c r="C27" s="1954" t="s">
        <v>3393</v>
      </c>
      <c r="D27" s="413">
        <v>100</v>
      </c>
      <c r="E27" s="1954" t="s">
        <v>3393</v>
      </c>
      <c r="F27" s="415">
        <f>SUMIF(90:90,E27,91:91)-SUMIF(90:90,C27,91:91)+100</f>
        <v>100</v>
      </c>
      <c r="G27" s="1954" t="s">
        <v>3393</v>
      </c>
      <c r="H27" s="413">
        <f>SUMIF(90:90,G27,91:91)-SUMIF(90:90,C27,91:91)+100</f>
        <v>100</v>
      </c>
      <c r="I27" s="1954" t="s">
        <v>3393</v>
      </c>
      <c r="J27" s="413">
        <f>SUMIF(90:90,I27,91:91)-SUMIF(90:90,C27,91:91)+100</f>
        <v>100</v>
      </c>
      <c r="K27" s="561">
        <v>3</v>
      </c>
      <c r="L27" s="2715"/>
      <c r="M27" s="2716"/>
      <c r="N27" s="2716"/>
      <c r="O27" s="2716"/>
      <c r="P27" s="3798"/>
      <c r="Q27" s="1341" t="str">
        <f t="shared" si="11"/>
        <v>人流量</v>
      </c>
      <c r="R27" s="699" t="s">
        <v>14</v>
      </c>
      <c r="S27" s="700">
        <f>F27</f>
        <v>100</v>
      </c>
      <c r="T27" s="699" t="s">
        <v>14</v>
      </c>
      <c r="U27" s="700">
        <f>H27</f>
        <v>100</v>
      </c>
      <c r="V27" s="699" t="s">
        <v>14</v>
      </c>
      <c r="W27" s="700">
        <f>J27</f>
        <v>100</v>
      </c>
      <c r="X27" s="701"/>
      <c r="Y27" s="3791"/>
      <c r="Z27" s="52" t="str">
        <f>Q27</f>
        <v>人流量</v>
      </c>
      <c r="AA27" s="1351">
        <f>D27/F27</f>
        <v>1</v>
      </c>
      <c r="AB27" s="1351">
        <f>D27/H27</f>
        <v>1</v>
      </c>
      <c r="AC27" s="1351">
        <f>D27/J27</f>
        <v>1</v>
      </c>
    </row>
    <row r="28" spans="1:29" ht="15.75" thickBot="1">
      <c r="A28" s="379"/>
      <c r="B28" s="375" t="s">
        <v>1783</v>
      </c>
      <c r="C28" s="565" t="s">
        <v>3409</v>
      </c>
      <c r="D28" s="386">
        <v>100</v>
      </c>
      <c r="E28" s="565" t="s">
        <v>3409</v>
      </c>
      <c r="F28" s="412">
        <f>SUMIF(92:92,E28,93:93)-SUMIF(92:92,C28,93:93)+100</f>
        <v>100</v>
      </c>
      <c r="G28" s="565" t="s">
        <v>3409</v>
      </c>
      <c r="H28" s="386">
        <f>SUMIF(92:92,G28,93:93)-SUMIF(92:92,C28,93:93)+100</f>
        <v>100</v>
      </c>
      <c r="I28" s="565" t="s">
        <v>3583</v>
      </c>
      <c r="J28" s="386">
        <f>SUMIF(92:92,I28,93:93)-SUMIF(92:92,C28,93:93)+100</f>
        <v>85</v>
      </c>
      <c r="K28" s="562"/>
      <c r="L28" s="2720"/>
      <c r="M28" s="2714"/>
      <c r="N28" s="2714"/>
      <c r="O28" s="2714"/>
      <c r="P28" s="3798"/>
      <c r="Q28" s="1350" t="str">
        <f t="shared" si="11"/>
        <v>楼层</v>
      </c>
      <c r="R28" s="703" t="s">
        <v>14</v>
      </c>
      <c r="S28" s="704">
        <f t="shared" ref="S28:S46" si="12">F28</f>
        <v>100</v>
      </c>
      <c r="T28" s="703" t="s">
        <v>14</v>
      </c>
      <c r="U28" s="704">
        <f t="shared" ref="U28:U46" si="13">H28</f>
        <v>100</v>
      </c>
      <c r="V28" s="703" t="s">
        <v>14</v>
      </c>
      <c r="W28" s="704">
        <f t="shared" ref="W28:W46" si="14">J28</f>
        <v>85</v>
      </c>
      <c r="X28" s="1353"/>
      <c r="Y28" s="3791"/>
      <c r="Z28" s="1354" t="str">
        <f t="shared" ref="Z28:Z46" si="15">Q28</f>
        <v>楼层</v>
      </c>
      <c r="AA28" s="1351">
        <f t="shared" si="3"/>
        <v>1</v>
      </c>
      <c r="AB28" s="1351">
        <f t="shared" si="4"/>
        <v>1</v>
      </c>
      <c r="AC28" s="1351">
        <f t="shared" si="5"/>
        <v>1.1764705882352942</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98"/>
      <c r="Q29" s="1350">
        <f t="shared" si="11"/>
        <v>111</v>
      </c>
      <c r="R29" s="703" t="s">
        <v>14</v>
      </c>
      <c r="S29" s="704">
        <f t="shared" si="12"/>
        <v>100</v>
      </c>
      <c r="T29" s="703" t="s">
        <v>14</v>
      </c>
      <c r="U29" s="704">
        <f t="shared" si="13"/>
        <v>100</v>
      </c>
      <c r="V29" s="703" t="s">
        <v>14</v>
      </c>
      <c r="W29" s="704">
        <f t="shared" si="14"/>
        <v>100</v>
      </c>
      <c r="X29" s="1353"/>
      <c r="Y29" s="3791"/>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98"/>
      <c r="Q30" s="1350">
        <f t="shared" si="11"/>
        <v>111</v>
      </c>
      <c r="R30" s="703" t="s">
        <v>14</v>
      </c>
      <c r="S30" s="704">
        <f t="shared" si="12"/>
        <v>100</v>
      </c>
      <c r="T30" s="703" t="s">
        <v>14</v>
      </c>
      <c r="U30" s="704">
        <f t="shared" si="13"/>
        <v>100</v>
      </c>
      <c r="V30" s="703" t="s">
        <v>14</v>
      </c>
      <c r="W30" s="704">
        <f t="shared" si="14"/>
        <v>100</v>
      </c>
      <c r="X30" s="1353"/>
      <c r="Y30" s="3791"/>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98"/>
      <c r="Q31" s="1350">
        <f t="shared" si="11"/>
        <v>111</v>
      </c>
      <c r="R31" s="703" t="s">
        <v>14</v>
      </c>
      <c r="S31" s="704">
        <f t="shared" si="12"/>
        <v>100</v>
      </c>
      <c r="T31" s="703" t="s">
        <v>14</v>
      </c>
      <c r="U31" s="704">
        <f t="shared" si="13"/>
        <v>100</v>
      </c>
      <c r="V31" s="703" t="s">
        <v>14</v>
      </c>
      <c r="W31" s="704">
        <f t="shared" si="14"/>
        <v>100</v>
      </c>
      <c r="X31" s="1353"/>
      <c r="Y31" s="3791"/>
      <c r="Z31" s="1354">
        <f t="shared" si="15"/>
        <v>111</v>
      </c>
      <c r="AA31" s="1351">
        <f t="shared" si="3"/>
        <v>1</v>
      </c>
      <c r="AB31" s="1351">
        <f t="shared" si="4"/>
        <v>1</v>
      </c>
      <c r="AC31" s="1351">
        <f t="shared" si="5"/>
        <v>1</v>
      </c>
    </row>
    <row r="32" spans="1:29" ht="15">
      <c r="A32" s="391" t="s">
        <v>1694</v>
      </c>
      <c r="B32" s="63" t="s">
        <v>1784</v>
      </c>
      <c r="C32" s="1908" t="s">
        <v>3414</v>
      </c>
      <c r="D32" s="418">
        <v>100</v>
      </c>
      <c r="E32" s="1908" t="s">
        <v>3414</v>
      </c>
      <c r="F32" s="412">
        <f>SUMIF(100:100,E32,101:101)-SUMIF(100:100,C32,101:101)+100</f>
        <v>100</v>
      </c>
      <c r="G32" s="1908" t="s">
        <v>3414</v>
      </c>
      <c r="H32" s="386">
        <f>SUMIF(100:100,G32,101:101)-SUMIF(100:100,C32,101:101)+100</f>
        <v>100</v>
      </c>
      <c r="I32" s="1908" t="s">
        <v>3414</v>
      </c>
      <c r="J32" s="418">
        <f>SUMIF(100:100,I32,101:101)-SUMIF(100:100,C32,101:101)+100</f>
        <v>100</v>
      </c>
      <c r="K32" s="561">
        <v>2</v>
      </c>
      <c r="L32" s="2720"/>
      <c r="M32" s="2714"/>
      <c r="N32" s="2714"/>
      <c r="O32" s="2714"/>
      <c r="P32" s="3792" t="s">
        <v>1696</v>
      </c>
      <c r="Q32" s="1350" t="str">
        <f t="shared" si="11"/>
        <v>商业类型</v>
      </c>
      <c r="R32" s="703" t="s">
        <v>14</v>
      </c>
      <c r="S32" s="704">
        <f t="shared" si="12"/>
        <v>100</v>
      </c>
      <c r="T32" s="703" t="s">
        <v>14</v>
      </c>
      <c r="U32" s="704">
        <f t="shared" si="13"/>
        <v>100</v>
      </c>
      <c r="V32" s="703" t="s">
        <v>14</v>
      </c>
      <c r="W32" s="704">
        <f t="shared" si="14"/>
        <v>100</v>
      </c>
      <c r="X32" s="1353"/>
      <c r="Y32" s="3795" t="s">
        <v>1696</v>
      </c>
      <c r="Z32" s="1354" t="str">
        <f t="shared" si="15"/>
        <v>商业类型</v>
      </c>
      <c r="AA32" s="1351">
        <f t="shared" si="3"/>
        <v>1</v>
      </c>
      <c r="AB32" s="1351">
        <f t="shared" si="4"/>
        <v>1</v>
      </c>
      <c r="AC32" s="1351">
        <f t="shared" si="5"/>
        <v>1</v>
      </c>
    </row>
    <row r="33" spans="1:29" s="422" customFormat="1" ht="15">
      <c r="A33" s="419"/>
      <c r="B33" s="375" t="s">
        <v>1697</v>
      </c>
      <c r="C33" s="420">
        <f>'数据-汇总表'!E31</f>
        <v>408.56</v>
      </c>
      <c r="D33" s="127">
        <v>100</v>
      </c>
      <c r="E33" s="381">
        <f>Sheet1!D2</f>
        <v>650</v>
      </c>
      <c r="F33" s="376">
        <f>LOOKUP(E33,103:103,104:104)-LOOKUP(C33,103:103,104:104)+100</f>
        <v>99</v>
      </c>
      <c r="G33" s="380">
        <f>Sheet1!D3</f>
        <v>559</v>
      </c>
      <c r="H33" s="127">
        <f>LOOKUP(G33,103:103,104:104)-LOOKUP(C33,103:103,104:104)+100</f>
        <v>99</v>
      </c>
      <c r="I33" s="380">
        <f>Sheet1!D4</f>
        <v>580</v>
      </c>
      <c r="J33" s="127">
        <f>LOOKUP(I33,103:103,104:104)-LOOKUP(C33,103:103,104:104)+100</f>
        <v>99</v>
      </c>
      <c r="K33" s="562"/>
      <c r="L33" s="2719"/>
      <c r="M33" s="2721"/>
      <c r="N33" s="2721"/>
      <c r="O33" s="2721"/>
      <c r="P33" s="3793"/>
      <c r="Q33" s="705" t="str">
        <f t="shared" si="11"/>
        <v>项目建筑规模</v>
      </c>
      <c r="R33" s="706" t="s">
        <v>14</v>
      </c>
      <c r="S33" s="707">
        <f t="shared" si="12"/>
        <v>99</v>
      </c>
      <c r="T33" s="706" t="s">
        <v>14</v>
      </c>
      <c r="U33" s="707">
        <f t="shared" si="13"/>
        <v>99</v>
      </c>
      <c r="V33" s="706" t="s">
        <v>14</v>
      </c>
      <c r="W33" s="707">
        <f t="shared" si="14"/>
        <v>99</v>
      </c>
      <c r="X33" s="708"/>
      <c r="Y33" s="3795"/>
      <c r="Z33" s="709" t="str">
        <f t="shared" si="15"/>
        <v>项目建筑规模</v>
      </c>
      <c r="AA33" s="1351">
        <f t="shared" si="3"/>
        <v>1.0101010101010102</v>
      </c>
      <c r="AB33" s="1351">
        <f t="shared" si="4"/>
        <v>1.0101010101010102</v>
      </c>
      <c r="AC33" s="1351">
        <f t="shared" si="5"/>
        <v>1.0101010101010102</v>
      </c>
    </row>
    <row r="34" spans="1:29" ht="15">
      <c r="A34" s="423"/>
      <c r="B34" s="375" t="s">
        <v>1698</v>
      </c>
      <c r="C34" s="1910" t="s">
        <v>3416</v>
      </c>
      <c r="D34" s="386">
        <v>100</v>
      </c>
      <c r="E34" s="1910" t="s">
        <v>3416</v>
      </c>
      <c r="F34" s="412">
        <f>SUMIF(105:105,E34,106:106)-SUMIF(105:105,C34,106:106)+100</f>
        <v>100</v>
      </c>
      <c r="G34" s="1910" t="s">
        <v>3416</v>
      </c>
      <c r="H34" s="386">
        <f>SUMIF(105:105,G34,106:106)-SUMIF(105:105,C34,106:106)+100</f>
        <v>100</v>
      </c>
      <c r="I34" s="1910" t="s">
        <v>3416</v>
      </c>
      <c r="J34" s="386">
        <f>SUMIF(105:105,I34,106:106)-SUMIF(105:105,C34,106:106)+100</f>
        <v>100</v>
      </c>
      <c r="K34" s="561">
        <v>2</v>
      </c>
      <c r="L34" s="2720"/>
      <c r="M34" s="2714"/>
      <c r="N34" s="2714"/>
      <c r="O34" s="2714"/>
      <c r="P34" s="3793"/>
      <c r="Q34" s="1350" t="str">
        <f t="shared" si="11"/>
        <v>建筑结构</v>
      </c>
      <c r="R34" s="703" t="s">
        <v>14</v>
      </c>
      <c r="S34" s="704">
        <f t="shared" si="12"/>
        <v>100</v>
      </c>
      <c r="T34" s="703" t="s">
        <v>14</v>
      </c>
      <c r="U34" s="704">
        <f t="shared" si="13"/>
        <v>100</v>
      </c>
      <c r="V34" s="703" t="s">
        <v>14</v>
      </c>
      <c r="W34" s="704">
        <f t="shared" si="14"/>
        <v>100</v>
      </c>
      <c r="X34" s="1353"/>
      <c r="Y34" s="3795"/>
      <c r="Z34" s="1354" t="str">
        <f t="shared" si="15"/>
        <v>建筑结构</v>
      </c>
      <c r="AA34" s="1351">
        <f t="shared" si="3"/>
        <v>1</v>
      </c>
      <c r="AB34" s="1351">
        <f t="shared" si="4"/>
        <v>1</v>
      </c>
      <c r="AC34" s="1351">
        <f t="shared" si="5"/>
        <v>1</v>
      </c>
    </row>
    <row r="35" spans="1:29" ht="15">
      <c r="A35" s="423"/>
      <c r="B35" s="375" t="s">
        <v>1785</v>
      </c>
      <c r="C35" s="1904" t="s">
        <v>3417</v>
      </c>
      <c r="D35" s="386">
        <v>100</v>
      </c>
      <c r="E35" s="1904" t="s">
        <v>3425</v>
      </c>
      <c r="F35" s="412">
        <f>SUMIF(107:107,E35,108:108)-SUMIF(107:107,C35,108:108)+100</f>
        <v>102</v>
      </c>
      <c r="G35" s="1904" t="s">
        <v>3417</v>
      </c>
      <c r="H35" s="386">
        <f>SUMIF(107:107,G35,108:108)-SUMIF(107:107,C35,108:108)+100</f>
        <v>100</v>
      </c>
      <c r="I35" s="1904" t="s">
        <v>3417</v>
      </c>
      <c r="J35" s="386">
        <f>SUMIF(107:107,I35,108:108)-SUMIF(107:107,C35,108:108)+100</f>
        <v>100</v>
      </c>
      <c r="K35" s="561">
        <v>2</v>
      </c>
      <c r="L35" s="2720"/>
      <c r="M35" s="2714"/>
      <c r="N35" s="2714"/>
      <c r="O35" s="2714"/>
      <c r="P35" s="3793"/>
      <c r="Q35" s="1350" t="str">
        <f t="shared" si="11"/>
        <v>公共部分装修</v>
      </c>
      <c r="R35" s="703" t="s">
        <v>14</v>
      </c>
      <c r="S35" s="704">
        <f t="shared" si="12"/>
        <v>102</v>
      </c>
      <c r="T35" s="703" t="s">
        <v>14</v>
      </c>
      <c r="U35" s="704">
        <f t="shared" si="13"/>
        <v>100</v>
      </c>
      <c r="V35" s="703" t="s">
        <v>14</v>
      </c>
      <c r="W35" s="704">
        <f t="shared" si="14"/>
        <v>100</v>
      </c>
      <c r="X35" s="1353"/>
      <c r="Y35" s="3795"/>
      <c r="Z35" s="1354" t="str">
        <f t="shared" si="15"/>
        <v>公共部分装修</v>
      </c>
      <c r="AA35" s="1351">
        <f t="shared" si="3"/>
        <v>0.98039215686274506</v>
      </c>
      <c r="AB35" s="1351">
        <f t="shared" si="4"/>
        <v>1</v>
      </c>
      <c r="AC35" s="1351">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0"/>
      <c r="M36" s="2714"/>
      <c r="N36" s="2714"/>
      <c r="O36" s="2714"/>
      <c r="P36" s="3793"/>
      <c r="Q36" s="1350" t="str">
        <f t="shared" si="11"/>
        <v>成新度</v>
      </c>
      <c r="R36" s="703" t="s">
        <v>14</v>
      </c>
      <c r="S36" s="704">
        <f t="shared" si="12"/>
        <v>100</v>
      </c>
      <c r="T36" s="703" t="s">
        <v>14</v>
      </c>
      <c r="U36" s="704">
        <f t="shared" si="13"/>
        <v>100</v>
      </c>
      <c r="V36" s="703" t="s">
        <v>14</v>
      </c>
      <c r="W36" s="704">
        <f t="shared" si="14"/>
        <v>100</v>
      </c>
      <c r="X36" s="1353"/>
      <c r="Y36" s="3795"/>
      <c r="Z36" s="1354" t="str">
        <f t="shared" si="15"/>
        <v>成新度</v>
      </c>
      <c r="AA36" s="1351">
        <f t="shared" si="3"/>
        <v>1</v>
      </c>
      <c r="AB36" s="1351">
        <f t="shared" si="4"/>
        <v>1</v>
      </c>
      <c r="AC36" s="1351">
        <f t="shared" si="5"/>
        <v>1</v>
      </c>
    </row>
    <row r="37" spans="1:29" s="108" customFormat="1" ht="15">
      <c r="A37" s="424"/>
      <c r="B37" s="375" t="s">
        <v>1787</v>
      </c>
      <c r="C37" s="1904" t="s">
        <v>3418</v>
      </c>
      <c r="D37" s="127">
        <v>100</v>
      </c>
      <c r="E37" s="1904" t="s">
        <v>3418</v>
      </c>
      <c r="F37" s="412">
        <f>SUMIF(112:112,E37,113:113)-SUMIF(112:112,C37,113:113)+100</f>
        <v>100</v>
      </c>
      <c r="G37" s="1904" t="s">
        <v>3418</v>
      </c>
      <c r="H37" s="386">
        <f>SUMIF(112:112,G37,113:113)-SUMIF(112:112,C37,113:113)+100</f>
        <v>100</v>
      </c>
      <c r="I37" s="1904" t="s">
        <v>3418</v>
      </c>
      <c r="J37" s="386">
        <f>SUMIF(112:112,I37,113:113)-SUMIF(112:112,C37,113:113)+100</f>
        <v>100</v>
      </c>
      <c r="K37" s="561">
        <v>1</v>
      </c>
      <c r="L37" s="2715"/>
      <c r="M37" s="2716"/>
      <c r="N37" s="2716"/>
      <c r="O37" s="2716"/>
      <c r="P37" s="3793"/>
      <c r="Q37" s="1341" t="str">
        <f t="shared" si="11"/>
        <v>市政基础设施</v>
      </c>
      <c r="R37" s="699" t="s">
        <v>14</v>
      </c>
      <c r="S37" s="700">
        <f t="shared" si="12"/>
        <v>100</v>
      </c>
      <c r="T37" s="699" t="s">
        <v>14</v>
      </c>
      <c r="U37" s="700">
        <f t="shared" si="13"/>
        <v>100</v>
      </c>
      <c r="V37" s="699" t="s">
        <v>14</v>
      </c>
      <c r="W37" s="700">
        <f t="shared" si="14"/>
        <v>100</v>
      </c>
      <c r="X37" s="701"/>
      <c r="Y37" s="3795"/>
      <c r="Z37" s="52" t="str">
        <f t="shared" si="15"/>
        <v>市政基础设施</v>
      </c>
      <c r="AA37" s="702">
        <f t="shared" si="3"/>
        <v>1</v>
      </c>
      <c r="AB37" s="702">
        <f t="shared" si="4"/>
        <v>1</v>
      </c>
      <c r="AC37" s="702">
        <f t="shared" si="5"/>
        <v>1</v>
      </c>
    </row>
    <row r="38" spans="1:29" ht="15">
      <c r="A38" s="423"/>
      <c r="B38" s="375" t="s">
        <v>1788</v>
      </c>
      <c r="C38" s="1904" t="s">
        <v>3421</v>
      </c>
      <c r="D38" s="386">
        <v>100</v>
      </c>
      <c r="E38" s="1904" t="s">
        <v>3419</v>
      </c>
      <c r="F38" s="412">
        <f>SUMIF(114:114,E38,115:115)-SUMIF(114:114,C38,115:115)+100</f>
        <v>102</v>
      </c>
      <c r="G38" s="1904" t="s">
        <v>3421</v>
      </c>
      <c r="H38" s="386">
        <f>SUMIF(114:114,G38,115:115)-SUMIF(114:114,C38,115:115)+100</f>
        <v>100</v>
      </c>
      <c r="I38" s="1904" t="s">
        <v>3419</v>
      </c>
      <c r="J38" s="386">
        <f>SUMIF(114:114,I38,115:115)-SUMIF(114:114,C38,115:115)+100</f>
        <v>102</v>
      </c>
      <c r="K38" s="561">
        <v>2</v>
      </c>
      <c r="L38" s="2720"/>
      <c r="M38" s="2714"/>
      <c r="N38" s="2714"/>
      <c r="O38" s="2714"/>
      <c r="P38" s="3793" t="s">
        <v>1696</v>
      </c>
      <c r="Q38" s="1350" t="str">
        <f t="shared" si="11"/>
        <v>业态</v>
      </c>
      <c r="R38" s="703" t="s">
        <v>14</v>
      </c>
      <c r="S38" s="704">
        <f t="shared" si="12"/>
        <v>102</v>
      </c>
      <c r="T38" s="703" t="s">
        <v>14</v>
      </c>
      <c r="U38" s="704">
        <f t="shared" si="13"/>
        <v>100</v>
      </c>
      <c r="V38" s="703" t="s">
        <v>14</v>
      </c>
      <c r="W38" s="704">
        <f t="shared" si="14"/>
        <v>102</v>
      </c>
      <c r="X38" s="1353"/>
      <c r="Y38" s="3795" t="s">
        <v>1696</v>
      </c>
      <c r="Z38" s="1354" t="str">
        <f t="shared" si="15"/>
        <v>业态</v>
      </c>
      <c r="AA38" s="1351">
        <f t="shared" si="3"/>
        <v>0.98039215686274506</v>
      </c>
      <c r="AB38" s="1351">
        <f t="shared" si="4"/>
        <v>1</v>
      </c>
      <c r="AC38" s="1351">
        <f t="shared" si="5"/>
        <v>0.98039215686274506</v>
      </c>
    </row>
    <row r="39" spans="1:29" ht="15">
      <c r="A39" s="423"/>
      <c r="B39" s="375" t="s">
        <v>1789</v>
      </c>
      <c r="C39" s="1904" t="s">
        <v>3423</v>
      </c>
      <c r="D39" s="386">
        <v>100</v>
      </c>
      <c r="E39" s="1904" t="s">
        <v>3423</v>
      </c>
      <c r="F39" s="412">
        <f>SUMIF(116:116,E39,117:117)-SUMIF(116:116,C39,117:117)+100</f>
        <v>100</v>
      </c>
      <c r="G39" s="1904" t="s">
        <v>3423</v>
      </c>
      <c r="H39" s="386">
        <f>SUMIF(116:116,G39,117:117)-SUMIF(116:116,C39,117:117)+100</f>
        <v>100</v>
      </c>
      <c r="I39" s="1904" t="s">
        <v>3423</v>
      </c>
      <c r="J39" s="386">
        <f>SUMIF(116:116,I39,117:117)-SUMIF(116:116,C39,117:117)+100</f>
        <v>100</v>
      </c>
      <c r="K39" s="561">
        <v>1</v>
      </c>
      <c r="L39" s="2720"/>
      <c r="M39" s="2714"/>
      <c r="N39" s="2714"/>
      <c r="O39" s="2714"/>
      <c r="P39" s="3793"/>
      <c r="Q39" s="1350" t="str">
        <f t="shared" si="11"/>
        <v>层高</v>
      </c>
      <c r="R39" s="703" t="s">
        <v>14</v>
      </c>
      <c r="S39" s="704">
        <f t="shared" si="12"/>
        <v>100</v>
      </c>
      <c r="T39" s="703" t="s">
        <v>14</v>
      </c>
      <c r="U39" s="704">
        <f t="shared" si="13"/>
        <v>100</v>
      </c>
      <c r="V39" s="703" t="s">
        <v>14</v>
      </c>
      <c r="W39" s="704">
        <f t="shared" si="14"/>
        <v>100</v>
      </c>
      <c r="X39" s="1353"/>
      <c r="Y39" s="3795"/>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93"/>
      <c r="Q40" s="1350" t="str">
        <f t="shared" si="11"/>
        <v>单套建筑面积</v>
      </c>
      <c r="R40" s="703" t="s">
        <v>14</v>
      </c>
      <c r="S40" s="704">
        <f t="shared" si="12"/>
        <v>100</v>
      </c>
      <c r="T40" s="703" t="s">
        <v>14</v>
      </c>
      <c r="U40" s="704">
        <f t="shared" si="13"/>
        <v>100</v>
      </c>
      <c r="V40" s="703" t="s">
        <v>14</v>
      </c>
      <c r="W40" s="704">
        <f t="shared" si="14"/>
        <v>100</v>
      </c>
      <c r="X40" s="1353"/>
      <c r="Y40" s="3795"/>
      <c r="Z40" s="1354" t="str">
        <f t="shared" si="15"/>
        <v>单套建筑面积</v>
      </c>
      <c r="AA40" s="1351">
        <f t="shared" si="3"/>
        <v>1</v>
      </c>
      <c r="AB40" s="1351">
        <f t="shared" si="4"/>
        <v>1</v>
      </c>
      <c r="AC40" s="1351">
        <f t="shared" si="5"/>
        <v>1</v>
      </c>
    </row>
    <row r="41" spans="1:29" s="422" customFormat="1" ht="15">
      <c r="A41" s="419"/>
      <c r="B41" s="1352" t="s">
        <v>1791</v>
      </c>
      <c r="C41" s="565" t="s">
        <v>3424</v>
      </c>
      <c r="D41" s="386">
        <v>100</v>
      </c>
      <c r="E41" s="565" t="s">
        <v>3424</v>
      </c>
      <c r="F41" s="412">
        <f>SUMIF(120:120,E41,121:121)-SUMIF(120:120,C41,121:121)+100</f>
        <v>100</v>
      </c>
      <c r="G41" s="565" t="s">
        <v>3424</v>
      </c>
      <c r="H41" s="386">
        <f>SUMIF(120:120,G41,121:121)-SUMIF(120:120,C41,121:121)+100</f>
        <v>100</v>
      </c>
      <c r="I41" s="565" t="s">
        <v>3424</v>
      </c>
      <c r="J41" s="386">
        <f>SUMIF(120:120,I41,121:121)-SUMIF(120:120,C41,121:121)+100</f>
        <v>100</v>
      </c>
      <c r="K41" s="561">
        <v>2</v>
      </c>
      <c r="L41" s="2719"/>
      <c r="M41" s="2721"/>
      <c r="N41" s="2721"/>
      <c r="O41" s="2721"/>
      <c r="P41" s="3793"/>
      <c r="Q41" s="705" t="str">
        <f t="shared" si="11"/>
        <v>进深比</v>
      </c>
      <c r="R41" s="706" t="s">
        <v>14</v>
      </c>
      <c r="S41" s="707">
        <f t="shared" si="12"/>
        <v>100</v>
      </c>
      <c r="T41" s="706" t="s">
        <v>14</v>
      </c>
      <c r="U41" s="707">
        <f t="shared" si="13"/>
        <v>100</v>
      </c>
      <c r="V41" s="706" t="s">
        <v>14</v>
      </c>
      <c r="W41" s="707">
        <f t="shared" si="14"/>
        <v>100</v>
      </c>
      <c r="X41" s="708"/>
      <c r="Y41" s="3795"/>
      <c r="Z41" s="709" t="str">
        <f t="shared" si="15"/>
        <v>进深比</v>
      </c>
      <c r="AA41" s="1351">
        <f t="shared" si="3"/>
        <v>1</v>
      </c>
      <c r="AB41" s="1351">
        <f t="shared" si="4"/>
        <v>1</v>
      </c>
      <c r="AC41" s="1351">
        <f t="shared" si="5"/>
        <v>1</v>
      </c>
    </row>
    <row r="42" spans="1:29" ht="15">
      <c r="A42" s="423"/>
      <c r="B42" s="375" t="s">
        <v>1792</v>
      </c>
      <c r="C42" s="1904" t="s">
        <v>3571</v>
      </c>
      <c r="D42" s="386">
        <v>100</v>
      </c>
      <c r="E42" s="1904" t="s">
        <v>3571</v>
      </c>
      <c r="F42" s="412">
        <f>SUMIF(122:122,E42,123:123)-SUMIF(122:122,C42,123:123)+100</f>
        <v>100</v>
      </c>
      <c r="G42" s="1904" t="s">
        <v>3571</v>
      </c>
      <c r="H42" s="386">
        <f>SUMIF(122:122,G42,123:123)-SUMIF(122:122,C42,123:123)+100</f>
        <v>100</v>
      </c>
      <c r="I42" s="1904" t="s">
        <v>3571</v>
      </c>
      <c r="J42" s="386">
        <f>SUMIF(122:122,I42,123:123)-SUMIF(122:122,C42,123:123)+100</f>
        <v>100</v>
      </c>
      <c r="K42" s="561">
        <v>2</v>
      </c>
      <c r="L42" s="2720"/>
      <c r="M42" s="2714"/>
      <c r="N42" s="2714"/>
      <c r="O42" s="2714"/>
      <c r="P42" s="3793"/>
      <c r="Q42" s="1350" t="str">
        <f t="shared" si="11"/>
        <v>内部装修</v>
      </c>
      <c r="R42" s="703" t="s">
        <v>14</v>
      </c>
      <c r="S42" s="704">
        <f t="shared" si="12"/>
        <v>100</v>
      </c>
      <c r="T42" s="703" t="s">
        <v>14</v>
      </c>
      <c r="U42" s="704">
        <f t="shared" si="13"/>
        <v>100</v>
      </c>
      <c r="V42" s="703" t="s">
        <v>14</v>
      </c>
      <c r="W42" s="704">
        <f t="shared" si="14"/>
        <v>100</v>
      </c>
      <c r="X42" s="1353"/>
      <c r="Y42" s="3795"/>
      <c r="Z42" s="1354" t="str">
        <f t="shared" si="15"/>
        <v>内部装修</v>
      </c>
      <c r="AA42" s="1351">
        <f t="shared" si="3"/>
        <v>1</v>
      </c>
      <c r="AB42" s="1351">
        <f t="shared" si="4"/>
        <v>1</v>
      </c>
      <c r="AC42" s="1351">
        <f t="shared" si="5"/>
        <v>1</v>
      </c>
    </row>
    <row r="43" spans="1:29" ht="15.75" thickBot="1">
      <c r="A43" s="423"/>
      <c r="B43" s="375" t="s">
        <v>1707</v>
      </c>
      <c r="C43" s="1904" t="s">
        <v>3393</v>
      </c>
      <c r="D43" s="386">
        <v>100</v>
      </c>
      <c r="E43" s="1904" t="s">
        <v>3393</v>
      </c>
      <c r="F43" s="412">
        <f>SUMIF(124:124,E43,125:125)-SUMIF(124:124,C43,125:125)+100</f>
        <v>100</v>
      </c>
      <c r="G43" s="1904" t="s">
        <v>3393</v>
      </c>
      <c r="H43" s="386">
        <f>SUMIF(124:124,G43,125:125)-SUMIF(124:124,C43,125:125)+100</f>
        <v>100</v>
      </c>
      <c r="I43" s="1904" t="s">
        <v>3393</v>
      </c>
      <c r="J43" s="386">
        <f>SUMIF(124:124,I43,125:125)-SUMIF(124:124,C43,125:125)+100</f>
        <v>100</v>
      </c>
      <c r="K43" s="561">
        <v>2</v>
      </c>
      <c r="L43" s="2720"/>
      <c r="M43" s="2714"/>
      <c r="N43" s="2714"/>
      <c r="O43" s="2714"/>
      <c r="P43" s="3793"/>
      <c r="Q43" s="1350" t="str">
        <f t="shared" si="11"/>
        <v>内部装修维护情况</v>
      </c>
      <c r="R43" s="703" t="s">
        <v>14</v>
      </c>
      <c r="S43" s="704">
        <f t="shared" si="12"/>
        <v>100</v>
      </c>
      <c r="T43" s="703" t="s">
        <v>14</v>
      </c>
      <c r="U43" s="704">
        <f t="shared" si="13"/>
        <v>100</v>
      </c>
      <c r="V43" s="703" t="s">
        <v>14</v>
      </c>
      <c r="W43" s="704">
        <f t="shared" si="14"/>
        <v>100</v>
      </c>
      <c r="X43" s="1353"/>
      <c r="Y43" s="3795"/>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93"/>
      <c r="Q44" s="1341">
        <f t="shared" si="11"/>
        <v>111</v>
      </c>
      <c r="R44" s="699" t="s">
        <v>14</v>
      </c>
      <c r="S44" s="700">
        <f t="shared" si="12"/>
        <v>100</v>
      </c>
      <c r="T44" s="699" t="s">
        <v>14</v>
      </c>
      <c r="U44" s="700">
        <f t="shared" si="13"/>
        <v>100</v>
      </c>
      <c r="V44" s="699" t="s">
        <v>14</v>
      </c>
      <c r="W44" s="700">
        <f t="shared" si="14"/>
        <v>100</v>
      </c>
      <c r="X44" s="701"/>
      <c r="Y44" s="3795"/>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93"/>
      <c r="Q45" s="1350">
        <f t="shared" si="11"/>
        <v>111</v>
      </c>
      <c r="R45" s="703" t="s">
        <v>14</v>
      </c>
      <c r="S45" s="704">
        <f t="shared" si="12"/>
        <v>100</v>
      </c>
      <c r="T45" s="703" t="s">
        <v>14</v>
      </c>
      <c r="U45" s="704">
        <f t="shared" si="13"/>
        <v>100</v>
      </c>
      <c r="V45" s="703" t="s">
        <v>14</v>
      </c>
      <c r="W45" s="704">
        <f t="shared" si="14"/>
        <v>100</v>
      </c>
      <c r="X45" s="1353"/>
      <c r="Y45" s="3795"/>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94"/>
      <c r="Q46" s="1350">
        <f t="shared" si="11"/>
        <v>111</v>
      </c>
      <c r="R46" s="703" t="s">
        <v>14</v>
      </c>
      <c r="S46" s="704">
        <f t="shared" si="12"/>
        <v>100</v>
      </c>
      <c r="T46" s="703" t="s">
        <v>14</v>
      </c>
      <c r="U46" s="704">
        <f t="shared" si="13"/>
        <v>100</v>
      </c>
      <c r="V46" s="703" t="s">
        <v>14</v>
      </c>
      <c r="W46" s="704">
        <f t="shared" si="14"/>
        <v>100</v>
      </c>
      <c r="X46" s="1353"/>
      <c r="Y46" s="3796"/>
      <c r="Z46" s="1354">
        <f t="shared" si="15"/>
        <v>111</v>
      </c>
      <c r="AA46" s="1351">
        <f t="shared" si="3"/>
        <v>1</v>
      </c>
      <c r="AB46" s="1351">
        <f t="shared" si="4"/>
        <v>1</v>
      </c>
      <c r="AC46" s="1351">
        <f t="shared" si="5"/>
        <v>1</v>
      </c>
    </row>
    <row r="47" spans="1:29" ht="15">
      <c r="A47" s="430" t="s">
        <v>1708</v>
      </c>
      <c r="B47" s="431"/>
      <c r="C47" s="1152" t="s">
        <v>0</v>
      </c>
      <c r="D47" s="1153"/>
      <c r="E47" s="1154">
        <f>ROUND(Sheet1!E2,2)</f>
        <v>5.2</v>
      </c>
      <c r="F47" s="1155"/>
      <c r="G47" s="1156">
        <f>ROUND(Sheet1!E3,2)</f>
        <v>5.6</v>
      </c>
      <c r="H47" s="1157"/>
      <c r="I47" s="1154">
        <f>ROUND(Sheet1!E4,2)</f>
        <v>4.5</v>
      </c>
      <c r="J47" s="1157"/>
      <c r="K47" s="712"/>
      <c r="L47" s="2722"/>
      <c r="M47" s="2723"/>
      <c r="N47" s="2714"/>
      <c r="O47" s="2723"/>
      <c r="P47" s="3788" t="str">
        <f>A47</f>
        <v>成交单价（元/平方米）</v>
      </c>
      <c r="Q47" s="3788"/>
      <c r="R47" s="3783">
        <f>E47</f>
        <v>5.2</v>
      </c>
      <c r="S47" s="3783"/>
      <c r="T47" s="3783">
        <f>G47</f>
        <v>5.6</v>
      </c>
      <c r="U47" s="3783"/>
      <c r="V47" s="3783">
        <f>I47</f>
        <v>4.5</v>
      </c>
      <c r="W47" s="3783"/>
      <c r="X47" s="688"/>
      <c r="Y47" s="710"/>
      <c r="Z47" s="688"/>
      <c r="AA47" s="688"/>
      <c r="AB47" s="688"/>
      <c r="AC47" s="688"/>
    </row>
    <row r="48" spans="1:29" ht="15.75" thickBot="1">
      <c r="A48" s="437" t="s">
        <v>1793</v>
      </c>
      <c r="B48" s="438"/>
      <c r="C48" s="1158">
        <f>R49</f>
        <v>5.2</v>
      </c>
      <c r="D48" s="2315" t="s">
        <v>2137</v>
      </c>
      <c r="E48" s="1159">
        <f>R48</f>
        <v>4.9000000000000004</v>
      </c>
      <c r="F48" s="2316"/>
      <c r="G48" s="1158">
        <f>T48</f>
        <v>5.5</v>
      </c>
      <c r="H48" s="2316"/>
      <c r="I48" s="1159">
        <f>V48</f>
        <v>5.0999999999999996</v>
      </c>
      <c r="J48" s="2316"/>
      <c r="K48" s="2318">
        <f>F48+H48+J48</f>
        <v>0</v>
      </c>
      <c r="L48" s="2722"/>
      <c r="M48" s="2723"/>
      <c r="N48" s="2714"/>
      <c r="O48" s="2723"/>
      <c r="P48" s="3788" t="str">
        <f>A48</f>
        <v>比较价值（元/平方米）</v>
      </c>
      <c r="Q48" s="3788"/>
      <c r="R48" s="3789">
        <f>IF(F1="售价",ROUND(PRODUCT(R47,AA7:AA46),0),ROUND(PRODUCT(R47,AA7:AA46),1))</f>
        <v>4.9000000000000004</v>
      </c>
      <c r="S48" s="3789"/>
      <c r="T48" s="3789">
        <f>IF(F1="售价",ROUND(PRODUCT(T47,AB7:AB46),0),ROUND(PRODUCT(T47,AB7:AB46),1))</f>
        <v>5.5</v>
      </c>
      <c r="U48" s="3789"/>
      <c r="V48" s="3789">
        <f>IF(F1="售价",ROUND(PRODUCT(V47,AC7:AC46),0),ROUND(PRODUCT(V47,AC7:AC46),1))</f>
        <v>5.0999999999999996</v>
      </c>
      <c r="W48" s="3789"/>
      <c r="X48" s="688"/>
      <c r="Y48" s="688"/>
      <c r="Z48" s="688"/>
      <c r="AA48" s="688"/>
      <c r="AB48" s="688"/>
      <c r="AC48" s="688"/>
    </row>
    <row r="49" spans="1:29" ht="15.75" thickBot="1">
      <c r="A49" s="441" t="s">
        <v>1794</v>
      </c>
      <c r="B49" s="442"/>
      <c r="C49" s="1161">
        <f>R49</f>
        <v>5.2</v>
      </c>
      <c r="D49" s="1161"/>
      <c r="E49" s="1161"/>
      <c r="F49" s="1161"/>
      <c r="G49" s="1161"/>
      <c r="H49" s="1161"/>
      <c r="I49" s="1161"/>
      <c r="J49" s="1161"/>
      <c r="K49" s="713"/>
      <c r="L49" s="2722"/>
      <c r="M49" s="2723"/>
      <c r="N49" s="2714"/>
      <c r="O49" s="2723"/>
      <c r="P49" s="3785" t="str">
        <f>A49</f>
        <v>估价对象XX用房的比较价值（楼面单价，元/平方米）</v>
      </c>
      <c r="Q49" s="3786"/>
      <c r="R49" s="3787">
        <f>IF(F1="售价",ROUND(IF(D48="简单平均",AVERAGE(R48:V48),R48*F48+T48*H48+V48*J48),0),ROUND(IF(D48="简单平均",AVERAGE(R48:V48),R48*F48+T48*H48+V48*J48),1))</f>
        <v>5.2</v>
      </c>
      <c r="S49" s="3787"/>
      <c r="T49" s="3787"/>
      <c r="U49" s="3787"/>
      <c r="V49" s="3787"/>
      <c r="W49" s="378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6.1224489795918435E-2</v>
      </c>
      <c r="F52" s="449" t="str">
        <f>IF(OR(E52&gt;=0.3,E52&lt;=-0.3),"超过30%","")</f>
        <v/>
      </c>
      <c r="G52" s="448">
        <f>IF(G47&lt;G48,G48/G47-1,G47/G48-1)</f>
        <v>1.8181818181818077E-2</v>
      </c>
      <c r="H52" s="449" t="str">
        <f>IF(OR(G52&gt;=0.3,G52&lt;=-0.3),"超过30%","")</f>
        <v/>
      </c>
      <c r="I52" s="448">
        <f>IF(I47&lt;I48,I48/I47-1,I47/I48-1)</f>
        <v>0.1333333333333333</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0.12244897959183665</v>
      </c>
      <c r="F53" s="449" t="str">
        <f>IF(OR(E53&gt;=0.2,E53&lt;=-0.2),"超过20%","")</f>
        <v/>
      </c>
      <c r="G53" s="448">
        <f>IF(G48&lt;I48,I48/G48-1,G48/I48-1)</f>
        <v>7.8431372549019773E-2</v>
      </c>
      <c r="H53" s="449" t="str">
        <f>IF(OR(G53&gt;=0.2,G53&lt;=-0.2),"超过20%","")</f>
        <v/>
      </c>
      <c r="I53" s="448">
        <f>IF(I48&lt;E48,E48/I48-1,I48/E48-1)</f>
        <v>4.0816326530612068E-2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7.6923076923076872E-2</v>
      </c>
      <c r="F54" s="449" t="str">
        <f>IF(OR(E54&gt;=0.3,E54&lt;=-0.3),"超过30%","")</f>
        <v/>
      </c>
      <c r="G54" s="448">
        <f>IF(G47&lt;I47,I47/G47-1,G47/I47-1)</f>
        <v>0.24444444444444446</v>
      </c>
      <c r="H54" s="449" t="str">
        <f>IF(OR(G54&gt;=0.3,G54&lt;=-0.3),"超过30%","")</f>
        <v/>
      </c>
      <c r="I54" s="448">
        <f>IF(I47&lt;E47,E47/I47-1,I47/E47-1)</f>
        <v>0.15555555555555567</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1" t="s">
        <v>3386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97</v>
      </c>
      <c r="E81" s="493">
        <f>D81-$K19</f>
        <v>94</v>
      </c>
      <c r="F81" s="493">
        <f>E81-$K19</f>
        <v>91</v>
      </c>
      <c r="G81" s="493">
        <f>F81-$K19</f>
        <v>88</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3387</v>
      </c>
      <c r="D86" s="3452" t="s">
        <v>3388</v>
      </c>
      <c r="E86" s="3452" t="s">
        <v>3389</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3390</v>
      </c>
      <c r="D88" s="3452" t="s">
        <v>3391</v>
      </c>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3392</v>
      </c>
      <c r="D90" s="503" t="s">
        <v>3393</v>
      </c>
      <c r="E90" s="503" t="s">
        <v>3394</v>
      </c>
      <c r="F90" s="503" t="s">
        <v>3395</v>
      </c>
      <c r="G90" s="503" t="s">
        <v>3396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3397</v>
      </c>
      <c r="D92" s="503" t="s">
        <v>3410</v>
      </c>
      <c r="E92" s="3453" t="s">
        <v>3411</v>
      </c>
      <c r="F92" s="3452" t="s">
        <v>3582</v>
      </c>
      <c r="G92" s="3452" t="s">
        <v>3584</v>
      </c>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f>(C93+E93)/2</f>
        <v>80</v>
      </c>
      <c r="G93" s="485">
        <f>(C93+D93)/2</f>
        <v>85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3" t="s">
        <v>3412</v>
      </c>
      <c r="D100" s="3454" t="s">
        <v>3413</v>
      </c>
      <c r="E100" s="3454" t="s">
        <v>3415</v>
      </c>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300</v>
      </c>
      <c r="F103" s="544">
        <v>500</v>
      </c>
      <c r="G103" s="544">
        <v>1000</v>
      </c>
      <c r="H103" s="544">
        <v>2000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3398</v>
      </c>
      <c r="D105" s="3452" t="s">
        <v>3585</v>
      </c>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3399</v>
      </c>
      <c r="D107" s="3452" t="s">
        <v>3400</v>
      </c>
      <c r="E107" s="3452" t="s">
        <v>3427</v>
      </c>
      <c r="F107" s="3455" t="s">
        <v>3428</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3401</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2" t="s">
        <v>3420</v>
      </c>
      <c r="D114" s="3452" t="s">
        <v>3422</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3402</v>
      </c>
      <c r="D116" s="3452" t="s">
        <v>3403</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55" t="s">
        <v>3404</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3399</v>
      </c>
      <c r="D122" s="3452" t="s">
        <v>3400</v>
      </c>
      <c r="E122" s="3452" t="s">
        <v>3429</v>
      </c>
      <c r="F122" s="3455" t="s">
        <v>3428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408.56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71" t="s">
        <v>1770</v>
      </c>
      <c r="D4" s="3772"/>
      <c r="E4" s="3773" t="s">
        <v>1771</v>
      </c>
      <c r="F4" s="3774"/>
      <c r="G4" s="3771" t="s">
        <v>1772</v>
      </c>
      <c r="H4" s="3772"/>
      <c r="I4" s="3771" t="s">
        <v>1773</v>
      </c>
      <c r="J4" s="3772"/>
      <c r="K4" s="559" t="s">
        <v>1774</v>
      </c>
      <c r="L4" s="2713"/>
      <c r="M4" s="2714"/>
      <c r="N4" s="2714"/>
      <c r="O4" s="2714"/>
      <c r="P4" s="3805" t="s">
        <v>1775</v>
      </c>
      <c r="Q4" s="3806"/>
      <c r="R4" s="3800" t="s">
        <v>1771</v>
      </c>
      <c r="S4" s="3801"/>
      <c r="T4" s="3800" t="s">
        <v>1772</v>
      </c>
      <c r="U4" s="3801"/>
      <c r="V4" s="3809" t="s">
        <v>1773</v>
      </c>
      <c r="W4" s="3809"/>
      <c r="X4" s="1956"/>
      <c r="Y4" s="3800" t="s">
        <v>1775</v>
      </c>
      <c r="Z4" s="3801"/>
      <c r="AA4" s="3799" t="s">
        <v>1771</v>
      </c>
      <c r="AB4" s="3799" t="s">
        <v>1772</v>
      </c>
      <c r="AC4" s="3802" t="s">
        <v>1773</v>
      </c>
    </row>
    <row r="5" spans="1:29" ht="15">
      <c r="A5" s="358"/>
      <c r="B5" s="359"/>
      <c r="C5" s="3767" t="s">
        <v>1673</v>
      </c>
      <c r="D5" s="3764"/>
      <c r="E5" s="3761" t="s">
        <v>1674</v>
      </c>
      <c r="F5" s="3762"/>
      <c r="G5" s="3767" t="s">
        <v>1675</v>
      </c>
      <c r="H5" s="3764"/>
      <c r="I5" s="3767" t="s">
        <v>1676</v>
      </c>
      <c r="J5" s="3764"/>
      <c r="K5" s="559"/>
      <c r="L5" s="2713"/>
      <c r="M5" s="2714"/>
      <c r="N5" s="2714"/>
      <c r="O5" s="2714"/>
      <c r="P5" s="3807"/>
      <c r="Q5" s="3778"/>
      <c r="R5" s="3759"/>
      <c r="S5" s="3760"/>
      <c r="T5" s="3759"/>
      <c r="U5" s="3760"/>
      <c r="V5" s="3783"/>
      <c r="W5" s="3783"/>
      <c r="X5" s="1353"/>
      <c r="Y5" s="3759"/>
      <c r="Z5" s="3760"/>
      <c r="AA5" s="3753"/>
      <c r="AB5" s="3753"/>
      <c r="AC5" s="3803"/>
    </row>
    <row r="6" spans="1:29" ht="15.75" thickBot="1">
      <c r="A6" s="360"/>
      <c r="B6" s="361"/>
      <c r="C6" s="3765" t="s">
        <v>1677</v>
      </c>
      <c r="D6" s="3766"/>
      <c r="E6" s="3768" t="s">
        <v>1677</v>
      </c>
      <c r="F6" s="3769"/>
      <c r="G6" s="3765" t="s">
        <v>1677</v>
      </c>
      <c r="H6" s="3766"/>
      <c r="I6" s="3765" t="s">
        <v>1677</v>
      </c>
      <c r="J6" s="3766"/>
      <c r="K6" s="559" t="s">
        <v>1678</v>
      </c>
      <c r="L6" s="2713"/>
      <c r="M6" s="2714"/>
      <c r="N6" s="2714"/>
      <c r="O6" s="2714"/>
      <c r="P6" s="3808"/>
      <c r="Q6" s="3780"/>
      <c r="R6" s="3759"/>
      <c r="S6" s="3760"/>
      <c r="T6" s="3781"/>
      <c r="U6" s="3782"/>
      <c r="V6" s="3783"/>
      <c r="W6" s="3783"/>
      <c r="X6" s="1353"/>
      <c r="Y6" s="3781"/>
      <c r="Z6" s="3782"/>
      <c r="AA6" s="3754"/>
      <c r="AB6" s="3754"/>
      <c r="AC6" s="3804"/>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10" t="s">
        <v>1680</v>
      </c>
      <c r="Q7" s="3784"/>
      <c r="R7" s="699" t="s">
        <v>14</v>
      </c>
      <c r="S7" s="700">
        <f t="shared" ref="S7:S15" si="0">F7</f>
        <v>0</v>
      </c>
      <c r="T7" s="699" t="s">
        <v>14</v>
      </c>
      <c r="U7" s="700">
        <f t="shared" ref="U7:U15" si="1">H7</f>
        <v>0</v>
      </c>
      <c r="V7" s="699" t="s">
        <v>14</v>
      </c>
      <c r="W7" s="700">
        <f t="shared" ref="W7:W15" si="2">J7</f>
        <v>0</v>
      </c>
      <c r="X7" s="701"/>
      <c r="Y7" s="3755" t="s">
        <v>1680</v>
      </c>
      <c r="Z7" s="375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10" t="s">
        <v>1683</v>
      </c>
      <c r="Q8" s="3756"/>
      <c r="R8" s="699" t="s">
        <v>14</v>
      </c>
      <c r="S8" s="700">
        <f t="shared" si="0"/>
        <v>100</v>
      </c>
      <c r="T8" s="699" t="s">
        <v>14</v>
      </c>
      <c r="U8" s="700">
        <f t="shared" si="1"/>
        <v>100</v>
      </c>
      <c r="V8" s="699" t="s">
        <v>14</v>
      </c>
      <c r="W8" s="700">
        <f t="shared" si="2"/>
        <v>100</v>
      </c>
      <c r="X8" s="701"/>
      <c r="Y8" s="3755" t="s">
        <v>1683</v>
      </c>
      <c r="Z8" s="375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70"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70"/>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0"/>
      <c r="Q11" s="1341" t="str">
        <f t="shared" si="6"/>
        <v>容积率</v>
      </c>
      <c r="R11" s="699" t="s">
        <v>14</v>
      </c>
      <c r="S11" s="700">
        <f t="shared" si="0"/>
        <v>100</v>
      </c>
      <c r="T11" s="699" t="s">
        <v>14</v>
      </c>
      <c r="U11" s="700">
        <f t="shared" si="1"/>
        <v>100</v>
      </c>
      <c r="V11" s="699" t="s">
        <v>14</v>
      </c>
      <c r="W11" s="700">
        <f t="shared" si="2"/>
        <v>100</v>
      </c>
      <c r="X11" s="701"/>
      <c r="Y11" s="3702"/>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70"/>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70"/>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770"/>
      <c r="Q14" s="1341">
        <f t="shared" si="6"/>
        <v>111</v>
      </c>
      <c r="R14" s="699" t="s">
        <v>14</v>
      </c>
      <c r="S14" s="700">
        <f t="shared" si="0"/>
        <v>100</v>
      </c>
      <c r="T14" s="699" t="s">
        <v>14</v>
      </c>
      <c r="U14" s="700">
        <f t="shared" si="1"/>
        <v>100</v>
      </c>
      <c r="V14" s="699" t="s">
        <v>14</v>
      </c>
      <c r="W14" s="700">
        <f t="shared" si="2"/>
        <v>100</v>
      </c>
      <c r="X14" s="701"/>
      <c r="Y14" s="3702"/>
      <c r="Z14" s="52">
        <f t="shared" si="7"/>
        <v>111</v>
      </c>
      <c r="AA14" s="702">
        <f t="shared" si="3"/>
        <v>1</v>
      </c>
      <c r="AB14" s="702">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97" t="s">
        <v>1691</v>
      </c>
      <c r="Q15" s="1350" t="str">
        <f t="shared" si="6"/>
        <v>办公集聚程度</v>
      </c>
      <c r="R15" s="703" t="s">
        <v>14</v>
      </c>
      <c r="S15" s="704">
        <f t="shared" si="0"/>
        <v>100</v>
      </c>
      <c r="T15" s="703" t="s">
        <v>14</v>
      </c>
      <c r="U15" s="704">
        <f t="shared" si="1"/>
        <v>100</v>
      </c>
      <c r="V15" s="703" t="s">
        <v>14</v>
      </c>
      <c r="W15" s="704">
        <f t="shared" si="2"/>
        <v>100</v>
      </c>
      <c r="X15" s="1353"/>
      <c r="Y15" s="3790"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798"/>
      <c r="Q16" s="1350"/>
      <c r="R16" s="703"/>
      <c r="S16" s="704"/>
      <c r="T16" s="703"/>
      <c r="U16" s="704"/>
      <c r="V16" s="703"/>
      <c r="W16" s="704"/>
      <c r="X16" s="1353"/>
      <c r="Y16" s="3791"/>
      <c r="Z16" s="1354"/>
      <c r="AA16" s="1351">
        <v>1</v>
      </c>
      <c r="AB16" s="1351">
        <v>1</v>
      </c>
      <c r="AC16" s="1960">
        <v>1</v>
      </c>
    </row>
    <row r="17" spans="1:29" ht="15">
      <c r="A17" s="379"/>
      <c r="B17" s="578"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98"/>
      <c r="Q17" s="1350" t="str">
        <f>B17</f>
        <v>交通便捷度</v>
      </c>
      <c r="R17" s="703" t="s">
        <v>14</v>
      </c>
      <c r="S17" s="704">
        <f>F17</f>
        <v>100</v>
      </c>
      <c r="T17" s="703" t="s">
        <v>14</v>
      </c>
      <c r="U17" s="704">
        <f>H17</f>
        <v>100</v>
      </c>
      <c r="V17" s="703" t="s">
        <v>14</v>
      </c>
      <c r="W17" s="704">
        <f>J17</f>
        <v>100</v>
      </c>
      <c r="X17" s="1353"/>
      <c r="Y17" s="3791"/>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798"/>
      <c r="Q18" s="1350"/>
      <c r="R18" s="703"/>
      <c r="S18" s="704"/>
      <c r="T18" s="703"/>
      <c r="U18" s="704"/>
      <c r="V18" s="703"/>
      <c r="W18" s="704"/>
      <c r="X18" s="1353"/>
      <c r="Y18" s="3791"/>
      <c r="Z18" s="1354"/>
      <c r="AA18" s="1351">
        <v>1</v>
      </c>
      <c r="AB18" s="1351">
        <v>1</v>
      </c>
      <c r="AC18" s="1960">
        <v>1</v>
      </c>
    </row>
    <row r="19" spans="1:29" ht="15">
      <c r="A19" s="379"/>
      <c r="B19" s="578"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98"/>
      <c r="Q19" s="1350" t="str">
        <f>B19</f>
        <v>公共配套设施</v>
      </c>
      <c r="R19" s="703" t="s">
        <v>14</v>
      </c>
      <c r="S19" s="704">
        <f>F19</f>
        <v>100</v>
      </c>
      <c r="T19" s="703" t="s">
        <v>14</v>
      </c>
      <c r="U19" s="704">
        <f>H19</f>
        <v>100</v>
      </c>
      <c r="V19" s="703" t="s">
        <v>14</v>
      </c>
      <c r="W19" s="704">
        <f>J19</f>
        <v>100</v>
      </c>
      <c r="X19" s="1353"/>
      <c r="Y19" s="3791"/>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798"/>
      <c r="Q20" s="1350"/>
      <c r="R20" s="703"/>
      <c r="S20" s="704"/>
      <c r="T20" s="703"/>
      <c r="U20" s="704"/>
      <c r="V20" s="703"/>
      <c r="W20" s="704"/>
      <c r="X20" s="1353"/>
      <c r="Y20" s="3791"/>
      <c r="Z20" s="1354"/>
      <c r="AA20" s="1351">
        <v>1</v>
      </c>
      <c r="AB20" s="1351">
        <v>1</v>
      </c>
      <c r="AC20" s="1960">
        <v>1</v>
      </c>
    </row>
    <row r="21" spans="1:29" ht="15">
      <c r="A21" s="379"/>
      <c r="B21" s="580"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98"/>
      <c r="Q21" s="1350" t="str">
        <f>B21</f>
        <v>基础设施水平</v>
      </c>
      <c r="R21" s="703" t="s">
        <v>14</v>
      </c>
      <c r="S21" s="704">
        <f>F21</f>
        <v>100</v>
      </c>
      <c r="T21" s="703" t="s">
        <v>14</v>
      </c>
      <c r="U21" s="704">
        <f>H21</f>
        <v>100</v>
      </c>
      <c r="V21" s="703" t="s">
        <v>14</v>
      </c>
      <c r="W21" s="704">
        <f>J21</f>
        <v>100</v>
      </c>
      <c r="X21" s="1353"/>
      <c r="Y21" s="3791"/>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798"/>
      <c r="Q22" s="1350"/>
      <c r="R22" s="703"/>
      <c r="S22" s="704"/>
      <c r="T22" s="703"/>
      <c r="U22" s="704"/>
      <c r="V22" s="703"/>
      <c r="W22" s="704"/>
      <c r="X22" s="1353"/>
      <c r="Y22" s="3791"/>
      <c r="Z22" s="1354"/>
      <c r="AA22" s="1351">
        <v>1</v>
      </c>
      <c r="AB22" s="1351">
        <v>1</v>
      </c>
      <c r="AC22" s="1960">
        <v>1</v>
      </c>
    </row>
    <row r="23" spans="1:29" ht="15">
      <c r="A23" s="379"/>
      <c r="B23" s="578"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98"/>
      <c r="Q23" s="1350" t="str">
        <f>B23</f>
        <v>环境质量</v>
      </c>
      <c r="R23" s="703" t="s">
        <v>14</v>
      </c>
      <c r="S23" s="704">
        <f>F23</f>
        <v>100</v>
      </c>
      <c r="T23" s="703" t="s">
        <v>14</v>
      </c>
      <c r="U23" s="704">
        <f>H23</f>
        <v>100</v>
      </c>
      <c r="V23" s="703" t="s">
        <v>14</v>
      </c>
      <c r="W23" s="704">
        <f>J23</f>
        <v>100</v>
      </c>
      <c r="X23" s="1353"/>
      <c r="Y23" s="3791"/>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798"/>
      <c r="Q24" s="1350"/>
      <c r="R24" s="703"/>
      <c r="S24" s="704"/>
      <c r="T24" s="703"/>
      <c r="U24" s="704"/>
      <c r="V24" s="703"/>
      <c r="W24" s="704"/>
      <c r="X24" s="1353"/>
      <c r="Y24" s="3791"/>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98"/>
      <c r="Q25" s="1350" t="str">
        <f>B25</f>
        <v>毗邻道路的类型与等级</v>
      </c>
      <c r="R25" s="703" t="s">
        <v>14</v>
      </c>
      <c r="S25" s="704">
        <f>F25</f>
        <v>100</v>
      </c>
      <c r="T25" s="703" t="s">
        <v>14</v>
      </c>
      <c r="U25" s="704">
        <f>H25</f>
        <v>100</v>
      </c>
      <c r="V25" s="703" t="s">
        <v>14</v>
      </c>
      <c r="W25" s="704">
        <f>J25</f>
        <v>100</v>
      </c>
      <c r="X25" s="1353"/>
      <c r="Y25" s="3791"/>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98"/>
      <c r="Q26" s="1350"/>
      <c r="R26" s="703"/>
      <c r="S26" s="704"/>
      <c r="T26" s="703"/>
      <c r="U26" s="704"/>
      <c r="V26" s="703"/>
      <c r="W26" s="704"/>
      <c r="X26" s="1353"/>
      <c r="Y26" s="3791"/>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98"/>
      <c r="Q27" s="1350" t="str">
        <f t="shared" ref="Q27:Q47" si="11">B27</f>
        <v>楼层</v>
      </c>
      <c r="R27" s="703" t="s">
        <v>14</v>
      </c>
      <c r="S27" s="704">
        <f>F27</f>
        <v>100</v>
      </c>
      <c r="T27" s="703" t="s">
        <v>14</v>
      </c>
      <c r="U27" s="704">
        <f>H27</f>
        <v>100</v>
      </c>
      <c r="V27" s="703" t="s">
        <v>14</v>
      </c>
      <c r="W27" s="704">
        <f>J27</f>
        <v>100</v>
      </c>
      <c r="X27" s="1353"/>
      <c r="Y27" s="3791"/>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98"/>
      <c r="Q28" s="1341" t="str">
        <f t="shared" si="11"/>
        <v>朝向</v>
      </c>
      <c r="R28" s="699" t="s">
        <v>14</v>
      </c>
      <c r="S28" s="700">
        <f>F28</f>
        <v>100</v>
      </c>
      <c r="T28" s="699" t="s">
        <v>14</v>
      </c>
      <c r="U28" s="700">
        <f>H28</f>
        <v>100</v>
      </c>
      <c r="V28" s="699" t="s">
        <v>14</v>
      </c>
      <c r="W28" s="700">
        <f>J28</f>
        <v>100</v>
      </c>
      <c r="X28" s="701"/>
      <c r="Y28" s="379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98"/>
      <c r="Q29" s="1350">
        <f t="shared" si="11"/>
        <v>111</v>
      </c>
      <c r="R29" s="703" t="s">
        <v>14</v>
      </c>
      <c r="S29" s="704">
        <f t="shared" ref="S29:S47" si="12">F29</f>
        <v>100</v>
      </c>
      <c r="T29" s="703" t="s">
        <v>14</v>
      </c>
      <c r="U29" s="704">
        <f t="shared" ref="U29:U47" si="13">H29</f>
        <v>100</v>
      </c>
      <c r="V29" s="703" t="s">
        <v>14</v>
      </c>
      <c r="W29" s="704">
        <f t="shared" ref="W29:W47" si="14">J29</f>
        <v>100</v>
      </c>
      <c r="X29" s="1353"/>
      <c r="Y29" s="379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98"/>
      <c r="Q30" s="1350">
        <f t="shared" si="11"/>
        <v>111</v>
      </c>
      <c r="R30" s="703" t="s">
        <v>14</v>
      </c>
      <c r="S30" s="704">
        <f t="shared" si="12"/>
        <v>100</v>
      </c>
      <c r="T30" s="703" t="s">
        <v>14</v>
      </c>
      <c r="U30" s="704">
        <f t="shared" si="13"/>
        <v>100</v>
      </c>
      <c r="V30" s="703" t="s">
        <v>14</v>
      </c>
      <c r="W30" s="704">
        <f t="shared" si="14"/>
        <v>100</v>
      </c>
      <c r="X30" s="1353"/>
      <c r="Y30" s="379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98"/>
      <c r="Q31" s="1350">
        <f t="shared" si="11"/>
        <v>111</v>
      </c>
      <c r="R31" s="703" t="s">
        <v>14</v>
      </c>
      <c r="S31" s="704">
        <f t="shared" si="12"/>
        <v>100</v>
      </c>
      <c r="T31" s="703" t="s">
        <v>14</v>
      </c>
      <c r="U31" s="704">
        <f t="shared" si="13"/>
        <v>100</v>
      </c>
      <c r="V31" s="703" t="s">
        <v>14</v>
      </c>
      <c r="W31" s="704">
        <f t="shared" si="14"/>
        <v>100</v>
      </c>
      <c r="X31" s="1353"/>
      <c r="Y31" s="3791"/>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98"/>
      <c r="Q32" s="1350">
        <f t="shared" si="11"/>
        <v>111</v>
      </c>
      <c r="R32" s="703" t="s">
        <v>14</v>
      </c>
      <c r="S32" s="704">
        <f t="shared" si="12"/>
        <v>100</v>
      </c>
      <c r="T32" s="703" t="s">
        <v>14</v>
      </c>
      <c r="U32" s="704">
        <f t="shared" si="13"/>
        <v>100</v>
      </c>
      <c r="V32" s="703" t="s">
        <v>14</v>
      </c>
      <c r="W32" s="704">
        <f t="shared" si="14"/>
        <v>100</v>
      </c>
      <c r="X32" s="1353"/>
      <c r="Y32" s="379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92" t="s">
        <v>1696</v>
      </c>
      <c r="Q33" s="1350" t="str">
        <f t="shared" si="11"/>
        <v>建筑类型</v>
      </c>
      <c r="R33" s="703" t="s">
        <v>14</v>
      </c>
      <c r="S33" s="704">
        <f t="shared" si="12"/>
        <v>100</v>
      </c>
      <c r="T33" s="703" t="s">
        <v>14</v>
      </c>
      <c r="U33" s="704">
        <f t="shared" si="13"/>
        <v>100</v>
      </c>
      <c r="V33" s="703" t="s">
        <v>14</v>
      </c>
      <c r="W33" s="704">
        <f t="shared" si="14"/>
        <v>100</v>
      </c>
      <c r="X33" s="1353"/>
      <c r="Y33" s="379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93"/>
      <c r="Q34" s="705" t="str">
        <f t="shared" si="11"/>
        <v>项目建筑规模</v>
      </c>
      <c r="R34" s="706" t="s">
        <v>14</v>
      </c>
      <c r="S34" s="707" t="e">
        <f t="shared" si="12"/>
        <v>#N/A</v>
      </c>
      <c r="T34" s="706" t="s">
        <v>14</v>
      </c>
      <c r="U34" s="707" t="e">
        <f t="shared" si="13"/>
        <v>#N/A</v>
      </c>
      <c r="V34" s="706" t="s">
        <v>14</v>
      </c>
      <c r="W34" s="707" t="e">
        <f t="shared" si="14"/>
        <v>#N/A</v>
      </c>
      <c r="X34" s="708"/>
      <c r="Y34" s="379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93"/>
      <c r="Q35" s="1350" t="str">
        <f t="shared" si="11"/>
        <v>建筑结构</v>
      </c>
      <c r="R35" s="703" t="s">
        <v>14</v>
      </c>
      <c r="S35" s="704">
        <f t="shared" si="12"/>
        <v>100</v>
      </c>
      <c r="T35" s="703" t="s">
        <v>14</v>
      </c>
      <c r="U35" s="704">
        <f t="shared" si="13"/>
        <v>100</v>
      </c>
      <c r="V35" s="703" t="s">
        <v>14</v>
      </c>
      <c r="W35" s="704">
        <f t="shared" si="14"/>
        <v>100</v>
      </c>
      <c r="X35" s="1353"/>
      <c r="Y35" s="379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93"/>
      <c r="Q36" s="1350" t="str">
        <f t="shared" si="11"/>
        <v>公共部分装修</v>
      </c>
      <c r="R36" s="703" t="s">
        <v>14</v>
      </c>
      <c r="S36" s="704">
        <f t="shared" si="12"/>
        <v>100</v>
      </c>
      <c r="T36" s="703" t="s">
        <v>14</v>
      </c>
      <c r="U36" s="704">
        <f t="shared" si="13"/>
        <v>100</v>
      </c>
      <c r="V36" s="703" t="s">
        <v>14</v>
      </c>
      <c r="W36" s="704">
        <f t="shared" si="14"/>
        <v>100</v>
      </c>
      <c r="X36" s="1353"/>
      <c r="Y36" s="379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93"/>
      <c r="Q37" s="1350" t="str">
        <f t="shared" si="11"/>
        <v>成新度</v>
      </c>
      <c r="R37" s="703" t="s">
        <v>14</v>
      </c>
      <c r="S37" s="704" t="e">
        <f t="shared" si="12"/>
        <v>#N/A</v>
      </c>
      <c r="T37" s="703" t="s">
        <v>14</v>
      </c>
      <c r="U37" s="704" t="e">
        <f t="shared" si="13"/>
        <v>#N/A</v>
      </c>
      <c r="V37" s="703" t="s">
        <v>14</v>
      </c>
      <c r="W37" s="704" t="e">
        <f t="shared" si="14"/>
        <v>#N/A</v>
      </c>
      <c r="X37" s="1353"/>
      <c r="Y37" s="379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93"/>
      <c r="Q38" s="1341" t="str">
        <f t="shared" si="11"/>
        <v>写字楼等级</v>
      </c>
      <c r="R38" s="699" t="s">
        <v>14</v>
      </c>
      <c r="S38" s="700">
        <f t="shared" si="12"/>
        <v>100</v>
      </c>
      <c r="T38" s="699" t="s">
        <v>14</v>
      </c>
      <c r="U38" s="700">
        <f t="shared" si="13"/>
        <v>100</v>
      </c>
      <c r="V38" s="699" t="s">
        <v>14</v>
      </c>
      <c r="W38" s="700">
        <f t="shared" si="14"/>
        <v>100</v>
      </c>
      <c r="X38" s="701"/>
      <c r="Y38" s="379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93" t="s">
        <v>1696</v>
      </c>
      <c r="Q39" s="1350" t="str">
        <f t="shared" si="11"/>
        <v>物业管理</v>
      </c>
      <c r="R39" s="703" t="s">
        <v>14</v>
      </c>
      <c r="S39" s="704">
        <f t="shared" si="12"/>
        <v>100</v>
      </c>
      <c r="T39" s="703" t="s">
        <v>14</v>
      </c>
      <c r="U39" s="704">
        <f t="shared" si="13"/>
        <v>100</v>
      </c>
      <c r="V39" s="703" t="s">
        <v>14</v>
      </c>
      <c r="W39" s="704">
        <f t="shared" si="14"/>
        <v>100</v>
      </c>
      <c r="X39" s="1353"/>
      <c r="Y39" s="379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93"/>
      <c r="Q40" s="1350" t="str">
        <f t="shared" si="11"/>
        <v>市政基础设施</v>
      </c>
      <c r="R40" s="703" t="s">
        <v>14</v>
      </c>
      <c r="S40" s="704">
        <f t="shared" si="12"/>
        <v>100</v>
      </c>
      <c r="T40" s="703" t="s">
        <v>14</v>
      </c>
      <c r="U40" s="704">
        <f t="shared" si="13"/>
        <v>100</v>
      </c>
      <c r="V40" s="703" t="s">
        <v>14</v>
      </c>
      <c r="W40" s="704">
        <f t="shared" si="14"/>
        <v>100</v>
      </c>
      <c r="X40" s="1353"/>
      <c r="Y40" s="379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93"/>
      <c r="Q41" s="1350" t="str">
        <f t="shared" si="11"/>
        <v>层高</v>
      </c>
      <c r="R41" s="703" t="s">
        <v>14</v>
      </c>
      <c r="S41" s="704">
        <f t="shared" si="12"/>
        <v>100</v>
      </c>
      <c r="T41" s="703" t="s">
        <v>14</v>
      </c>
      <c r="U41" s="704">
        <f t="shared" si="13"/>
        <v>100</v>
      </c>
      <c r="V41" s="703" t="s">
        <v>14</v>
      </c>
      <c r="W41" s="704">
        <f t="shared" si="14"/>
        <v>100</v>
      </c>
      <c r="X41" s="1353"/>
      <c r="Y41" s="379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3"/>
      <c r="Q42" s="705" t="str">
        <f t="shared" si="11"/>
        <v>单套建筑面积</v>
      </c>
      <c r="R42" s="706" t="s">
        <v>14</v>
      </c>
      <c r="S42" s="707">
        <f t="shared" si="12"/>
        <v>100</v>
      </c>
      <c r="T42" s="706" t="s">
        <v>14</v>
      </c>
      <c r="U42" s="707">
        <f t="shared" si="13"/>
        <v>100</v>
      </c>
      <c r="V42" s="706" t="s">
        <v>14</v>
      </c>
      <c r="W42" s="707">
        <f t="shared" si="14"/>
        <v>100</v>
      </c>
      <c r="X42" s="708"/>
      <c r="Y42" s="379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93"/>
      <c r="Q43" s="1350" t="str">
        <f t="shared" si="11"/>
        <v>内部装修</v>
      </c>
      <c r="R43" s="703" t="s">
        <v>14</v>
      </c>
      <c r="S43" s="704">
        <f t="shared" si="12"/>
        <v>100</v>
      </c>
      <c r="T43" s="703" t="s">
        <v>14</v>
      </c>
      <c r="U43" s="704">
        <f t="shared" si="13"/>
        <v>100</v>
      </c>
      <c r="V43" s="703" t="s">
        <v>14</v>
      </c>
      <c r="W43" s="704">
        <f t="shared" si="14"/>
        <v>100</v>
      </c>
      <c r="X43" s="1353"/>
      <c r="Y43" s="379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93"/>
      <c r="Q44" s="1350" t="str">
        <f t="shared" si="11"/>
        <v>内部装修维护情况</v>
      </c>
      <c r="R44" s="703" t="s">
        <v>14</v>
      </c>
      <c r="S44" s="704">
        <f t="shared" si="12"/>
        <v>100</v>
      </c>
      <c r="T44" s="703" t="s">
        <v>14</v>
      </c>
      <c r="U44" s="704">
        <f t="shared" si="13"/>
        <v>100</v>
      </c>
      <c r="V44" s="703" t="s">
        <v>14</v>
      </c>
      <c r="W44" s="704">
        <f t="shared" si="14"/>
        <v>100</v>
      </c>
      <c r="X44" s="1353"/>
      <c r="Y44" s="379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93"/>
      <c r="Q45" s="1341">
        <f t="shared" si="11"/>
        <v>111</v>
      </c>
      <c r="R45" s="699" t="s">
        <v>14</v>
      </c>
      <c r="S45" s="700">
        <f t="shared" si="12"/>
        <v>100</v>
      </c>
      <c r="T45" s="699" t="s">
        <v>14</v>
      </c>
      <c r="U45" s="700">
        <f t="shared" si="13"/>
        <v>100</v>
      </c>
      <c r="V45" s="699" t="s">
        <v>14</v>
      </c>
      <c r="W45" s="700">
        <f t="shared" si="14"/>
        <v>100</v>
      </c>
      <c r="X45" s="701"/>
      <c r="Y45" s="379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3"/>
      <c r="Q46" s="1350">
        <f t="shared" si="11"/>
        <v>111</v>
      </c>
      <c r="R46" s="703" t="s">
        <v>14</v>
      </c>
      <c r="S46" s="704">
        <f t="shared" si="12"/>
        <v>100</v>
      </c>
      <c r="T46" s="703" t="s">
        <v>14</v>
      </c>
      <c r="U46" s="704">
        <f t="shared" si="13"/>
        <v>100</v>
      </c>
      <c r="V46" s="703" t="s">
        <v>14</v>
      </c>
      <c r="W46" s="704">
        <f t="shared" si="14"/>
        <v>100</v>
      </c>
      <c r="X46" s="1353"/>
      <c r="Y46" s="379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4"/>
      <c r="Q47" s="1350">
        <f t="shared" si="11"/>
        <v>111</v>
      </c>
      <c r="R47" s="703" t="s">
        <v>14</v>
      </c>
      <c r="S47" s="704">
        <f t="shared" si="12"/>
        <v>100</v>
      </c>
      <c r="T47" s="703" t="s">
        <v>14</v>
      </c>
      <c r="U47" s="704">
        <f t="shared" si="13"/>
        <v>100</v>
      </c>
      <c r="V47" s="703" t="s">
        <v>14</v>
      </c>
      <c r="W47" s="704">
        <f t="shared" si="14"/>
        <v>100</v>
      </c>
      <c r="X47" s="1353"/>
      <c r="Y47" s="379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770" t="str">
        <f>A48</f>
        <v>成交单价（元/平方米）</v>
      </c>
      <c r="Q48" s="3788"/>
      <c r="R48" s="3789">
        <f>E48</f>
        <v>0</v>
      </c>
      <c r="S48" s="3789"/>
      <c r="T48" s="3789">
        <f>G48</f>
        <v>0</v>
      </c>
      <c r="U48" s="3789"/>
      <c r="V48" s="3789">
        <f>I48</f>
        <v>0</v>
      </c>
      <c r="W48" s="3789"/>
      <c r="X48" s="397"/>
      <c r="Y48" s="710"/>
      <c r="Z48" s="397"/>
      <c r="AA48" s="397"/>
      <c r="AB48" s="397"/>
      <c r="AC48" s="577"/>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770" t="str">
        <f>A49</f>
        <v>比较价值（元/平方米）</v>
      </c>
      <c r="Q49" s="3788"/>
      <c r="R49" s="3789" t="e">
        <f>IF(F1="售价",ROUND(PRODUCT(R48,AA7:AA47),0),ROUND(PRODUCT(R48,AA7:AA47),1))</f>
        <v>#DIV/0!</v>
      </c>
      <c r="S49" s="3789"/>
      <c r="T49" s="3789" t="e">
        <f>IF(F1="售价",ROUND(PRODUCT(T48,AB7:AB47),0),ROUND(PRODUCT(T48,AB7:AB47),1))</f>
        <v>#DIV/0!</v>
      </c>
      <c r="U49" s="3789"/>
      <c r="V49" s="3789" t="e">
        <f>IF(F1="售价",ROUND(PRODUCT(V48,AC7:AC47),0),ROUND(PRODUCT(V48,AC7:AC47),1))</f>
        <v>#DIV/0!</v>
      </c>
      <c r="W49" s="3789"/>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3"/>
      <c r="L50" s="2722"/>
      <c r="M50" s="2714"/>
      <c r="N50" s="2714"/>
      <c r="O50" s="2714"/>
      <c r="P50" s="3811" t="str">
        <f>A50</f>
        <v>估价对象XX用房的比较价值（楼面单价，元/平方米）</v>
      </c>
      <c r="Q50" s="3812"/>
      <c r="R50" s="3813" t="e">
        <f>IF(F1="售价",ROUND(IF(D49="简单平均",AVERAGE(R49:V49),R49*F49+T49*H49+V49*J49),0),ROUND(IF(D49="简单平均",AVERAGE(R49:V49),R49*F49+T49*H49+V49*J49),1))</f>
        <v>#DIV/0!</v>
      </c>
      <c r="S50" s="3813"/>
      <c r="T50" s="3813"/>
      <c r="U50" s="3813"/>
      <c r="V50" s="3813"/>
      <c r="W50" s="381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408.56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71" t="s">
        <v>1770</v>
      </c>
      <c r="D4" s="3772"/>
      <c r="E4" s="3773" t="s">
        <v>1771</v>
      </c>
      <c r="F4" s="3774"/>
      <c r="G4" s="3771" t="s">
        <v>1772</v>
      </c>
      <c r="H4" s="3772"/>
      <c r="I4" s="3771" t="s">
        <v>1773</v>
      </c>
      <c r="J4" s="3772"/>
      <c r="K4" s="559" t="s">
        <v>1774</v>
      </c>
      <c r="L4" s="911"/>
      <c r="M4" s="912"/>
      <c r="N4" s="912"/>
      <c r="O4" s="912"/>
      <c r="P4" s="3775" t="s">
        <v>1775</v>
      </c>
      <c r="Q4" s="3776"/>
      <c r="R4" s="3757" t="s">
        <v>1771</v>
      </c>
      <c r="S4" s="3758"/>
      <c r="T4" s="3757" t="s">
        <v>1772</v>
      </c>
      <c r="U4" s="3758"/>
      <c r="V4" s="3783" t="s">
        <v>1773</v>
      </c>
      <c r="W4" s="3783"/>
      <c r="X4" s="1353"/>
      <c r="Y4" s="3757" t="s">
        <v>1775</v>
      </c>
      <c r="Z4" s="3758"/>
      <c r="AA4" s="3752" t="s">
        <v>1771</v>
      </c>
      <c r="AB4" s="3753" t="s">
        <v>1772</v>
      </c>
      <c r="AC4" s="3752" t="s">
        <v>1773</v>
      </c>
    </row>
    <row r="5" spans="1:29" ht="15">
      <c r="A5" s="358"/>
      <c r="B5" s="359"/>
      <c r="C5" s="3767" t="s">
        <v>1673</v>
      </c>
      <c r="D5" s="3764"/>
      <c r="E5" s="3761" t="s">
        <v>1674</v>
      </c>
      <c r="F5" s="3762"/>
      <c r="G5" s="3767" t="s">
        <v>1675</v>
      </c>
      <c r="H5" s="3764"/>
      <c r="I5" s="3767" t="s">
        <v>1676</v>
      </c>
      <c r="J5" s="3764"/>
      <c r="K5" s="559"/>
      <c r="L5" s="911"/>
      <c r="M5" s="912"/>
      <c r="N5" s="912"/>
      <c r="O5" s="912"/>
      <c r="P5" s="3777"/>
      <c r="Q5" s="3778"/>
      <c r="R5" s="3759"/>
      <c r="S5" s="3760"/>
      <c r="T5" s="3759"/>
      <c r="U5" s="3760"/>
      <c r="V5" s="3783"/>
      <c r="W5" s="3783"/>
      <c r="X5" s="1353"/>
      <c r="Y5" s="3759"/>
      <c r="Z5" s="3760"/>
      <c r="AA5" s="3753"/>
      <c r="AB5" s="3753"/>
      <c r="AC5" s="3753"/>
    </row>
    <row r="6" spans="1:29" ht="15.75" thickBot="1">
      <c r="A6" s="360"/>
      <c r="B6" s="361"/>
      <c r="C6" s="3765" t="s">
        <v>1677</v>
      </c>
      <c r="D6" s="3766"/>
      <c r="E6" s="3768" t="s">
        <v>1677</v>
      </c>
      <c r="F6" s="3769"/>
      <c r="G6" s="3765" t="s">
        <v>1677</v>
      </c>
      <c r="H6" s="3766"/>
      <c r="I6" s="3765" t="s">
        <v>1677</v>
      </c>
      <c r="J6" s="3766"/>
      <c r="K6" s="559" t="s">
        <v>1678</v>
      </c>
      <c r="L6" s="911"/>
      <c r="M6" s="912"/>
      <c r="N6" s="912"/>
      <c r="O6" s="912"/>
      <c r="P6" s="3779"/>
      <c r="Q6" s="3780"/>
      <c r="R6" s="3759"/>
      <c r="S6" s="3760"/>
      <c r="T6" s="3781"/>
      <c r="U6" s="3782"/>
      <c r="V6" s="3783"/>
      <c r="W6" s="3783"/>
      <c r="X6" s="1353"/>
      <c r="Y6" s="3781"/>
      <c r="Z6" s="3782"/>
      <c r="AA6" s="3754"/>
      <c r="AB6" s="3754"/>
      <c r="AC6" s="3754"/>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3"/>
      <c r="M7" s="914"/>
      <c r="N7" s="914"/>
      <c r="O7" s="914"/>
      <c r="P7" s="3755" t="s">
        <v>1680</v>
      </c>
      <c r="Q7" s="3784"/>
      <c r="R7" s="699" t="s">
        <v>14</v>
      </c>
      <c r="S7" s="700">
        <f t="shared" ref="S7:S15" si="0">F7</f>
        <v>0</v>
      </c>
      <c r="T7" s="699" t="s">
        <v>14</v>
      </c>
      <c r="U7" s="700">
        <f t="shared" ref="U7:U15" si="1">H7</f>
        <v>0</v>
      </c>
      <c r="V7" s="699" t="s">
        <v>14</v>
      </c>
      <c r="W7" s="700">
        <f t="shared" ref="W7:W15" si="2">J7</f>
        <v>0</v>
      </c>
      <c r="X7" s="701"/>
      <c r="Y7" s="3755" t="s">
        <v>1680</v>
      </c>
      <c r="Z7" s="375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55" t="s">
        <v>1683</v>
      </c>
      <c r="Q8" s="3756"/>
      <c r="R8" s="699" t="s">
        <v>14</v>
      </c>
      <c r="S8" s="700">
        <f t="shared" si="0"/>
        <v>100</v>
      </c>
      <c r="T8" s="699" t="s">
        <v>14</v>
      </c>
      <c r="U8" s="700">
        <f t="shared" si="1"/>
        <v>100</v>
      </c>
      <c r="V8" s="699" t="s">
        <v>14</v>
      </c>
      <c r="W8" s="700">
        <f t="shared" si="2"/>
        <v>100</v>
      </c>
      <c r="X8" s="701"/>
      <c r="Y8" s="3755" t="s">
        <v>1683</v>
      </c>
      <c r="Z8" s="375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88"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88"/>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88"/>
      <c r="Q11" s="1341" t="str">
        <f t="shared" si="6"/>
        <v>容积率</v>
      </c>
      <c r="R11" s="699" t="s">
        <v>14</v>
      </c>
      <c r="S11" s="700">
        <f t="shared" si="0"/>
        <v>100</v>
      </c>
      <c r="T11" s="699" t="s">
        <v>14</v>
      </c>
      <c r="U11" s="700">
        <f t="shared" si="1"/>
        <v>100</v>
      </c>
      <c r="V11" s="699" t="s">
        <v>14</v>
      </c>
      <c r="W11" s="700">
        <f t="shared" si="2"/>
        <v>100</v>
      </c>
      <c r="X11" s="701"/>
      <c r="Y11" s="370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88"/>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88"/>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88"/>
      <c r="Q14" s="1341">
        <f t="shared" si="6"/>
        <v>111</v>
      </c>
      <c r="R14" s="699" t="s">
        <v>14</v>
      </c>
      <c r="S14" s="700">
        <f t="shared" si="0"/>
        <v>100</v>
      </c>
      <c r="T14" s="699" t="s">
        <v>14</v>
      </c>
      <c r="U14" s="700">
        <f t="shared" si="1"/>
        <v>100</v>
      </c>
      <c r="V14" s="699" t="s">
        <v>14</v>
      </c>
      <c r="W14" s="700">
        <f t="shared" si="2"/>
        <v>100</v>
      </c>
      <c r="X14" s="701"/>
      <c r="Y14" s="3702"/>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90" t="s">
        <v>1691</v>
      </c>
      <c r="Q15" s="1350" t="str">
        <f t="shared" si="6"/>
        <v>产业集聚程度</v>
      </c>
      <c r="R15" s="703" t="s">
        <v>14</v>
      </c>
      <c r="S15" s="704">
        <f t="shared" si="0"/>
        <v>100</v>
      </c>
      <c r="T15" s="703" t="s">
        <v>14</v>
      </c>
      <c r="U15" s="704">
        <f t="shared" si="1"/>
        <v>100</v>
      </c>
      <c r="V15" s="703" t="s">
        <v>14</v>
      </c>
      <c r="W15" s="704">
        <f t="shared" si="2"/>
        <v>100</v>
      </c>
      <c r="X15" s="1353"/>
      <c r="Y15" s="379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91"/>
      <c r="Q16" s="1350"/>
      <c r="R16" s="703"/>
      <c r="S16" s="704"/>
      <c r="T16" s="703"/>
      <c r="U16" s="704"/>
      <c r="V16" s="703"/>
      <c r="W16" s="704"/>
      <c r="X16" s="1353"/>
      <c r="Y16" s="3791"/>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91"/>
      <c r="Q17" s="1350" t="str">
        <f>B17</f>
        <v>交通便捷度</v>
      </c>
      <c r="R17" s="703" t="s">
        <v>14</v>
      </c>
      <c r="S17" s="704">
        <f>F17</f>
        <v>100</v>
      </c>
      <c r="T17" s="703" t="s">
        <v>14</v>
      </c>
      <c r="U17" s="704">
        <f>H17</f>
        <v>100</v>
      </c>
      <c r="V17" s="703" t="s">
        <v>14</v>
      </c>
      <c r="W17" s="704">
        <f>J17</f>
        <v>100</v>
      </c>
      <c r="X17" s="1353"/>
      <c r="Y17" s="379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91"/>
      <c r="Q18" s="1350"/>
      <c r="R18" s="703"/>
      <c r="S18" s="704"/>
      <c r="T18" s="703"/>
      <c r="U18" s="704"/>
      <c r="V18" s="703"/>
      <c r="W18" s="704"/>
      <c r="X18" s="1353"/>
      <c r="Y18" s="3791"/>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91"/>
      <c r="Q19" s="1350" t="str">
        <f>B19</f>
        <v>公共配套设施</v>
      </c>
      <c r="R19" s="703" t="s">
        <v>14</v>
      </c>
      <c r="S19" s="704">
        <f>F19</f>
        <v>100</v>
      </c>
      <c r="T19" s="703" t="s">
        <v>14</v>
      </c>
      <c r="U19" s="704">
        <f>H19</f>
        <v>100</v>
      </c>
      <c r="V19" s="703" t="s">
        <v>14</v>
      </c>
      <c r="W19" s="704">
        <f>J19</f>
        <v>100</v>
      </c>
      <c r="X19" s="1353"/>
      <c r="Y19" s="379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91"/>
      <c r="Q20" s="1350"/>
      <c r="R20" s="703"/>
      <c r="S20" s="704"/>
      <c r="T20" s="703"/>
      <c r="U20" s="704"/>
      <c r="V20" s="703"/>
      <c r="W20" s="704"/>
      <c r="X20" s="1353"/>
      <c r="Y20" s="3791"/>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91"/>
      <c r="Q21" s="1350" t="str">
        <f>B21</f>
        <v>基础设施水平</v>
      </c>
      <c r="R21" s="703" t="s">
        <v>14</v>
      </c>
      <c r="S21" s="704">
        <f>F21</f>
        <v>100</v>
      </c>
      <c r="T21" s="703" t="s">
        <v>14</v>
      </c>
      <c r="U21" s="704">
        <f>H21</f>
        <v>100</v>
      </c>
      <c r="V21" s="703" t="s">
        <v>14</v>
      </c>
      <c r="W21" s="704">
        <f>J21</f>
        <v>100</v>
      </c>
      <c r="X21" s="1353"/>
      <c r="Y21" s="379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91"/>
      <c r="Q22" s="1350"/>
      <c r="R22" s="703"/>
      <c r="S22" s="704"/>
      <c r="T22" s="703"/>
      <c r="U22" s="704"/>
      <c r="V22" s="703"/>
      <c r="W22" s="704"/>
      <c r="X22" s="1353"/>
      <c r="Y22" s="3791"/>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91"/>
      <c r="Q23" s="1350" t="str">
        <f>B23</f>
        <v>环境质量</v>
      </c>
      <c r="R23" s="703" t="s">
        <v>14</v>
      </c>
      <c r="S23" s="704">
        <f>F23</f>
        <v>100</v>
      </c>
      <c r="T23" s="703" t="s">
        <v>14</v>
      </c>
      <c r="U23" s="704">
        <f>H23</f>
        <v>100</v>
      </c>
      <c r="V23" s="703" t="s">
        <v>14</v>
      </c>
      <c r="W23" s="704">
        <f>J23</f>
        <v>100</v>
      </c>
      <c r="X23" s="1353"/>
      <c r="Y23" s="379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91"/>
      <c r="Q24" s="1350"/>
      <c r="R24" s="703"/>
      <c r="S24" s="704"/>
      <c r="T24" s="703"/>
      <c r="U24" s="704"/>
      <c r="V24" s="703"/>
      <c r="W24" s="704"/>
      <c r="X24" s="1353"/>
      <c r="Y24" s="379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91"/>
      <c r="Q25" s="1350">
        <f>B25</f>
        <v>111</v>
      </c>
      <c r="R25" s="703" t="s">
        <v>14</v>
      </c>
      <c r="S25" s="704">
        <f>F25</f>
        <v>100</v>
      </c>
      <c r="T25" s="703" t="s">
        <v>14</v>
      </c>
      <c r="U25" s="704">
        <f>H25</f>
        <v>100</v>
      </c>
      <c r="V25" s="703" t="s">
        <v>14</v>
      </c>
      <c r="W25" s="704">
        <f>J25</f>
        <v>100</v>
      </c>
      <c r="X25" s="1353"/>
      <c r="Y25" s="379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91"/>
      <c r="Q26" s="1350">
        <f t="shared" ref="Q26:Q40" si="11">B26</f>
        <v>111</v>
      </c>
      <c r="R26" s="703" t="s">
        <v>14</v>
      </c>
      <c r="S26" s="704">
        <f>F26</f>
        <v>100</v>
      </c>
      <c r="T26" s="703" t="s">
        <v>14</v>
      </c>
      <c r="U26" s="704">
        <f>H26</f>
        <v>100</v>
      </c>
      <c r="V26" s="703" t="s">
        <v>14</v>
      </c>
      <c r="W26" s="704">
        <f>J26</f>
        <v>100</v>
      </c>
      <c r="X26" s="1353"/>
      <c r="Y26" s="379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91"/>
      <c r="Q27" s="1341">
        <f t="shared" si="11"/>
        <v>111</v>
      </c>
      <c r="R27" s="699" t="s">
        <v>14</v>
      </c>
      <c r="S27" s="700">
        <f>F27</f>
        <v>100</v>
      </c>
      <c r="T27" s="699" t="s">
        <v>14</v>
      </c>
      <c r="U27" s="700">
        <f>H27</f>
        <v>100</v>
      </c>
      <c r="V27" s="699" t="s">
        <v>14</v>
      </c>
      <c r="W27" s="700">
        <f>J27</f>
        <v>100</v>
      </c>
      <c r="X27" s="701"/>
      <c r="Y27" s="379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91"/>
      <c r="Q28" s="1350">
        <f t="shared" si="11"/>
        <v>111</v>
      </c>
      <c r="R28" s="703" t="s">
        <v>14</v>
      </c>
      <c r="S28" s="704">
        <f t="shared" ref="S28:S40" si="12">F28</f>
        <v>100</v>
      </c>
      <c r="T28" s="703" t="s">
        <v>14</v>
      </c>
      <c r="U28" s="704">
        <f t="shared" ref="U28:U40" si="13">H28</f>
        <v>100</v>
      </c>
      <c r="V28" s="703" t="s">
        <v>14</v>
      </c>
      <c r="W28" s="704">
        <f t="shared" ref="W28:W40" si="14">J28</f>
        <v>100</v>
      </c>
      <c r="X28" s="1353"/>
      <c r="Y28" s="379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814" t="s">
        <v>1696</v>
      </c>
      <c r="Q29" s="1350" t="str">
        <f t="shared" si="11"/>
        <v>建筑类型</v>
      </c>
      <c r="R29" s="703" t="s">
        <v>14</v>
      </c>
      <c r="S29" s="704">
        <f t="shared" si="12"/>
        <v>100</v>
      </c>
      <c r="T29" s="703" t="s">
        <v>14</v>
      </c>
      <c r="U29" s="704">
        <f t="shared" si="13"/>
        <v>100</v>
      </c>
      <c r="V29" s="703" t="s">
        <v>14</v>
      </c>
      <c r="W29" s="704">
        <f t="shared" si="14"/>
        <v>100</v>
      </c>
      <c r="X29" s="1353"/>
      <c r="Y29" s="379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95"/>
      <c r="Q30" s="705" t="str">
        <f t="shared" si="11"/>
        <v>项目建筑规模</v>
      </c>
      <c r="R30" s="706" t="s">
        <v>14</v>
      </c>
      <c r="S30" s="707" t="e">
        <f t="shared" si="12"/>
        <v>#N/A</v>
      </c>
      <c r="T30" s="706" t="s">
        <v>14</v>
      </c>
      <c r="U30" s="707" t="e">
        <f t="shared" si="13"/>
        <v>#N/A</v>
      </c>
      <c r="V30" s="706" t="s">
        <v>14</v>
      </c>
      <c r="W30" s="707" t="e">
        <f t="shared" si="14"/>
        <v>#N/A</v>
      </c>
      <c r="X30" s="708"/>
      <c r="Y30" s="379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95"/>
      <c r="Q31" s="1350" t="str">
        <f t="shared" si="11"/>
        <v>建筑结构</v>
      </c>
      <c r="R31" s="703" t="s">
        <v>14</v>
      </c>
      <c r="S31" s="704">
        <f t="shared" si="12"/>
        <v>100</v>
      </c>
      <c r="T31" s="703" t="s">
        <v>14</v>
      </c>
      <c r="U31" s="704">
        <f t="shared" si="13"/>
        <v>100</v>
      </c>
      <c r="V31" s="703" t="s">
        <v>14</v>
      </c>
      <c r="W31" s="704">
        <f t="shared" si="14"/>
        <v>100</v>
      </c>
      <c r="X31" s="1353"/>
      <c r="Y31" s="379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95"/>
      <c r="Q32" s="1350" t="str">
        <f t="shared" si="11"/>
        <v>公共部分装修</v>
      </c>
      <c r="R32" s="703" t="s">
        <v>14</v>
      </c>
      <c r="S32" s="704">
        <f t="shared" si="12"/>
        <v>100</v>
      </c>
      <c r="T32" s="703" t="s">
        <v>14</v>
      </c>
      <c r="U32" s="704">
        <f t="shared" si="13"/>
        <v>100</v>
      </c>
      <c r="V32" s="703" t="s">
        <v>14</v>
      </c>
      <c r="W32" s="704">
        <f t="shared" si="14"/>
        <v>100</v>
      </c>
      <c r="X32" s="1353"/>
      <c r="Y32" s="379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95"/>
      <c r="Q33" s="1350" t="str">
        <f t="shared" si="11"/>
        <v>成新度</v>
      </c>
      <c r="R33" s="703" t="s">
        <v>14</v>
      </c>
      <c r="S33" s="704" t="e">
        <f t="shared" si="12"/>
        <v>#N/A</v>
      </c>
      <c r="T33" s="703" t="s">
        <v>14</v>
      </c>
      <c r="U33" s="704" t="e">
        <f t="shared" si="13"/>
        <v>#N/A</v>
      </c>
      <c r="V33" s="703" t="s">
        <v>14</v>
      </c>
      <c r="W33" s="704" t="e">
        <f t="shared" si="14"/>
        <v>#N/A</v>
      </c>
      <c r="X33" s="1353"/>
      <c r="Y33" s="379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95"/>
      <c r="Q34" s="1341" t="str">
        <f t="shared" si="11"/>
        <v>物业管理</v>
      </c>
      <c r="R34" s="699" t="s">
        <v>14</v>
      </c>
      <c r="S34" s="700">
        <f t="shared" si="12"/>
        <v>100</v>
      </c>
      <c r="T34" s="699" t="s">
        <v>14</v>
      </c>
      <c r="U34" s="700">
        <f t="shared" si="13"/>
        <v>100</v>
      </c>
      <c r="V34" s="699" t="s">
        <v>14</v>
      </c>
      <c r="W34" s="700">
        <f t="shared" si="14"/>
        <v>100</v>
      </c>
      <c r="X34" s="701"/>
      <c r="Y34" s="379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95" t="s">
        <v>1696</v>
      </c>
      <c r="Q35" s="1350" t="str">
        <f t="shared" si="11"/>
        <v>市政基础设施</v>
      </c>
      <c r="R35" s="703" t="s">
        <v>14</v>
      </c>
      <c r="S35" s="704">
        <f t="shared" si="12"/>
        <v>100</v>
      </c>
      <c r="T35" s="703" t="s">
        <v>14</v>
      </c>
      <c r="U35" s="704">
        <f t="shared" si="13"/>
        <v>100</v>
      </c>
      <c r="V35" s="703" t="s">
        <v>14</v>
      </c>
      <c r="W35" s="704">
        <f t="shared" si="14"/>
        <v>100</v>
      </c>
      <c r="X35" s="1353"/>
      <c r="Y35" s="379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95"/>
      <c r="Q36" s="1350" t="str">
        <f t="shared" si="11"/>
        <v>内部装修</v>
      </c>
      <c r="R36" s="703" t="s">
        <v>14</v>
      </c>
      <c r="S36" s="704">
        <f t="shared" si="12"/>
        <v>100</v>
      </c>
      <c r="T36" s="703" t="s">
        <v>14</v>
      </c>
      <c r="U36" s="704">
        <f t="shared" si="13"/>
        <v>100</v>
      </c>
      <c r="V36" s="703" t="s">
        <v>14</v>
      </c>
      <c r="W36" s="704">
        <f t="shared" si="14"/>
        <v>100</v>
      </c>
      <c r="X36" s="1353"/>
      <c r="Y36" s="379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95"/>
      <c r="Q37" s="1350" t="str">
        <f t="shared" si="11"/>
        <v>内部装修状况</v>
      </c>
      <c r="R37" s="703" t="s">
        <v>14</v>
      </c>
      <c r="S37" s="704">
        <f t="shared" si="12"/>
        <v>100</v>
      </c>
      <c r="T37" s="703" t="s">
        <v>14</v>
      </c>
      <c r="U37" s="704">
        <f t="shared" si="13"/>
        <v>100</v>
      </c>
      <c r="V37" s="703" t="s">
        <v>14</v>
      </c>
      <c r="W37" s="704">
        <f t="shared" si="14"/>
        <v>100</v>
      </c>
      <c r="X37" s="1353"/>
      <c r="Y37" s="379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95"/>
      <c r="Q38" s="705">
        <f t="shared" si="11"/>
        <v>111</v>
      </c>
      <c r="R38" s="706" t="s">
        <v>14</v>
      </c>
      <c r="S38" s="707">
        <f t="shared" si="12"/>
        <v>100</v>
      </c>
      <c r="T38" s="706" t="s">
        <v>14</v>
      </c>
      <c r="U38" s="707">
        <f t="shared" si="13"/>
        <v>100</v>
      </c>
      <c r="V38" s="706" t="s">
        <v>14</v>
      </c>
      <c r="W38" s="707">
        <f t="shared" si="14"/>
        <v>100</v>
      </c>
      <c r="X38" s="708"/>
      <c r="Y38" s="379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95"/>
      <c r="Q39" s="1350">
        <f t="shared" si="11"/>
        <v>111</v>
      </c>
      <c r="R39" s="703" t="s">
        <v>14</v>
      </c>
      <c r="S39" s="704">
        <f t="shared" si="12"/>
        <v>100</v>
      </c>
      <c r="T39" s="703" t="s">
        <v>14</v>
      </c>
      <c r="U39" s="704">
        <f t="shared" si="13"/>
        <v>100</v>
      </c>
      <c r="V39" s="703" t="s">
        <v>14</v>
      </c>
      <c r="W39" s="704">
        <f t="shared" si="14"/>
        <v>100</v>
      </c>
      <c r="X39" s="1353"/>
      <c r="Y39" s="379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96"/>
      <c r="Q40" s="1350">
        <f t="shared" si="11"/>
        <v>111</v>
      </c>
      <c r="R40" s="703" t="s">
        <v>14</v>
      </c>
      <c r="S40" s="704">
        <f t="shared" si="12"/>
        <v>100</v>
      </c>
      <c r="T40" s="703" t="s">
        <v>14</v>
      </c>
      <c r="U40" s="704">
        <f t="shared" si="13"/>
        <v>100</v>
      </c>
      <c r="V40" s="703" t="s">
        <v>14</v>
      </c>
      <c r="W40" s="704">
        <f t="shared" si="14"/>
        <v>100</v>
      </c>
      <c r="X40" s="1353"/>
      <c r="Y40" s="379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88" t="str">
        <f>A41</f>
        <v>成交单价（元/平方米）</v>
      </c>
      <c r="Q41" s="3788"/>
      <c r="R41" s="3789">
        <f>E41</f>
        <v>0</v>
      </c>
      <c r="S41" s="3789"/>
      <c r="T41" s="3789">
        <f>G41</f>
        <v>0</v>
      </c>
      <c r="U41" s="3789"/>
      <c r="V41" s="3789">
        <f>I41</f>
        <v>0</v>
      </c>
      <c r="W41" s="378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88" t="str">
        <f>A42</f>
        <v>比较价值（元/平方米）</v>
      </c>
      <c r="Q42" s="3788"/>
      <c r="R42" s="3789" t="e">
        <f>IF(F1="售价",ROUND(PRODUCT(R41,AA7:AA40),0),ROUND(PRODUCT(R41,AA7:AA40),1))</f>
        <v>#DIV/0!</v>
      </c>
      <c r="S42" s="3789"/>
      <c r="T42" s="3789" t="e">
        <f>IF(F1="售价",ROUND(PRODUCT(T41,AB7:AB40),0),ROUND(PRODUCT(T41,AB7:AB40),1))</f>
        <v>#DIV/0!</v>
      </c>
      <c r="U42" s="3789"/>
      <c r="V42" s="3789" t="e">
        <f>IF(F1="售价",ROUND(PRODUCT(V41,AC7:AC40),0),ROUND(PRODUCT(V41,AC7:AC40),1))</f>
        <v>#DIV/0!</v>
      </c>
      <c r="W42" s="378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71" t="s">
        <v>1770</v>
      </c>
      <c r="D4" s="3772"/>
      <c r="E4" s="3773" t="s">
        <v>1771</v>
      </c>
      <c r="F4" s="3774"/>
      <c r="G4" s="3771" t="s">
        <v>1772</v>
      </c>
      <c r="H4" s="3772"/>
      <c r="I4" s="3771" t="s">
        <v>1773</v>
      </c>
      <c r="J4" s="3772"/>
      <c r="K4" s="559" t="s">
        <v>1774</v>
      </c>
      <c r="L4" s="2713"/>
      <c r="M4" s="2714"/>
      <c r="N4" s="2714"/>
      <c r="O4" s="2714"/>
      <c r="P4" s="3775" t="s">
        <v>1775</v>
      </c>
      <c r="Q4" s="3776"/>
      <c r="R4" s="3757" t="s">
        <v>1771</v>
      </c>
      <c r="S4" s="3758"/>
      <c r="T4" s="3757" t="s">
        <v>1772</v>
      </c>
      <c r="U4" s="3758"/>
      <c r="V4" s="3783" t="s">
        <v>1773</v>
      </c>
      <c r="W4" s="3783"/>
      <c r="X4" s="1353"/>
      <c r="Y4" s="3757" t="s">
        <v>1775</v>
      </c>
      <c r="Z4" s="3758"/>
      <c r="AA4" s="3752" t="s">
        <v>1771</v>
      </c>
      <c r="AB4" s="3753" t="s">
        <v>1772</v>
      </c>
      <c r="AC4" s="3752" t="s">
        <v>1773</v>
      </c>
    </row>
    <row r="5" spans="1:29" ht="15">
      <c r="A5" s="358"/>
      <c r="B5" s="359"/>
      <c r="C5" s="3767" t="s">
        <v>1673</v>
      </c>
      <c r="D5" s="3764"/>
      <c r="E5" s="3761" t="s">
        <v>1674</v>
      </c>
      <c r="F5" s="3762"/>
      <c r="G5" s="3767" t="s">
        <v>1675</v>
      </c>
      <c r="H5" s="3764"/>
      <c r="I5" s="3767" t="s">
        <v>1676</v>
      </c>
      <c r="J5" s="3764"/>
      <c r="K5" s="559"/>
      <c r="L5" s="2713"/>
      <c r="M5" s="2714"/>
      <c r="N5" s="2714"/>
      <c r="O5" s="2714"/>
      <c r="P5" s="3777"/>
      <c r="Q5" s="3778"/>
      <c r="R5" s="3759"/>
      <c r="S5" s="3760"/>
      <c r="T5" s="3759"/>
      <c r="U5" s="3760"/>
      <c r="V5" s="3783"/>
      <c r="W5" s="3783"/>
      <c r="X5" s="1353"/>
      <c r="Y5" s="3759"/>
      <c r="Z5" s="3760"/>
      <c r="AA5" s="3753"/>
      <c r="AB5" s="3753"/>
      <c r="AC5" s="3753"/>
    </row>
    <row r="6" spans="1:29" ht="15.75" thickBot="1">
      <c r="A6" s="360"/>
      <c r="B6" s="361"/>
      <c r="C6" s="3765" t="s">
        <v>1677</v>
      </c>
      <c r="D6" s="3766"/>
      <c r="E6" s="3768" t="s">
        <v>1677</v>
      </c>
      <c r="F6" s="3769"/>
      <c r="G6" s="3765" t="s">
        <v>1677</v>
      </c>
      <c r="H6" s="3766"/>
      <c r="I6" s="3765" t="s">
        <v>1677</v>
      </c>
      <c r="J6" s="3766"/>
      <c r="K6" s="559" t="s">
        <v>1678</v>
      </c>
      <c r="L6" s="2713"/>
      <c r="M6" s="2714"/>
      <c r="N6" s="2714"/>
      <c r="O6" s="2714"/>
      <c r="P6" s="3779"/>
      <c r="Q6" s="3780"/>
      <c r="R6" s="3759"/>
      <c r="S6" s="3760"/>
      <c r="T6" s="3781"/>
      <c r="U6" s="3782"/>
      <c r="V6" s="3783"/>
      <c r="W6" s="3783"/>
      <c r="X6" s="1353"/>
      <c r="Y6" s="3781"/>
      <c r="Z6" s="3782"/>
      <c r="AA6" s="3754"/>
      <c r="AB6" s="3754"/>
      <c r="AC6" s="3754"/>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5" t="s">
        <v>1680</v>
      </c>
      <c r="Q7" s="3784"/>
      <c r="R7" s="699" t="s">
        <v>14</v>
      </c>
      <c r="S7" s="700">
        <f t="shared" ref="S7:S14" si="0">F7</f>
        <v>0</v>
      </c>
      <c r="T7" s="699" t="s">
        <v>14</v>
      </c>
      <c r="U7" s="700">
        <f t="shared" ref="U7:U14" si="1">H7</f>
        <v>0</v>
      </c>
      <c r="V7" s="699" t="s">
        <v>14</v>
      </c>
      <c r="W7" s="700">
        <f t="shared" ref="W7:W14" si="2">J7</f>
        <v>0</v>
      </c>
      <c r="X7" s="701"/>
      <c r="Y7" s="3755" t="s">
        <v>1680</v>
      </c>
      <c r="Z7" s="375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5" t="s">
        <v>1683</v>
      </c>
      <c r="Q8" s="3756"/>
      <c r="R8" s="699" t="s">
        <v>14</v>
      </c>
      <c r="S8" s="700">
        <f t="shared" si="0"/>
        <v>100</v>
      </c>
      <c r="T8" s="699" t="s">
        <v>14</v>
      </c>
      <c r="U8" s="700">
        <f t="shared" si="1"/>
        <v>100</v>
      </c>
      <c r="V8" s="699" t="s">
        <v>14</v>
      </c>
      <c r="W8" s="700">
        <f t="shared" si="2"/>
        <v>100</v>
      </c>
      <c r="X8" s="701"/>
      <c r="Y8" s="3755" t="s">
        <v>1683</v>
      </c>
      <c r="Z8" s="3756"/>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88" t="s">
        <v>1686</v>
      </c>
      <c r="Q9" s="1341" t="str">
        <f t="shared" ref="Q9:Q14" si="6">B9</f>
        <v>用途</v>
      </c>
      <c r="R9" s="699" t="s">
        <v>14</v>
      </c>
      <c r="S9" s="700">
        <f t="shared" si="0"/>
        <v>100</v>
      </c>
      <c r="T9" s="699" t="s">
        <v>14</v>
      </c>
      <c r="U9" s="700">
        <f t="shared" si="1"/>
        <v>100</v>
      </c>
      <c r="V9" s="699" t="s">
        <v>14</v>
      </c>
      <c r="W9" s="700">
        <f t="shared" si="2"/>
        <v>100</v>
      </c>
      <c r="X9" s="701"/>
      <c r="Y9" s="3702" t="s">
        <v>1687</v>
      </c>
      <c r="Z9" s="52" t="str">
        <f t="shared" ref="Z9:Z14" si="7">Q9</f>
        <v>用途</v>
      </c>
      <c r="AA9" s="702">
        <f t="shared" si="3"/>
        <v>1</v>
      </c>
      <c r="AB9" s="702">
        <f t="shared" si="4"/>
        <v>1</v>
      </c>
      <c r="AC9" s="702">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88"/>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88"/>
      <c r="Q11" s="1341">
        <f t="shared" si="6"/>
        <v>111</v>
      </c>
      <c r="R11" s="699" t="s">
        <v>14</v>
      </c>
      <c r="S11" s="700">
        <f t="shared" si="0"/>
        <v>100</v>
      </c>
      <c r="T11" s="699" t="s">
        <v>14</v>
      </c>
      <c r="U11" s="700">
        <f t="shared" si="1"/>
        <v>100</v>
      </c>
      <c r="V11" s="699" t="s">
        <v>14</v>
      </c>
      <c r="W11" s="700">
        <f t="shared" si="2"/>
        <v>100</v>
      </c>
      <c r="X11" s="701"/>
      <c r="Y11" s="3702"/>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88"/>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88"/>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702">
        <f t="shared" si="5"/>
        <v>1</v>
      </c>
    </row>
    <row r="14" spans="1:29" ht="15">
      <c r="A14" s="355" t="s">
        <v>1690</v>
      </c>
      <c r="B14" s="576"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90" t="s">
        <v>1691</v>
      </c>
      <c r="Q14" s="1350" t="str">
        <f t="shared" si="6"/>
        <v>交通便捷度</v>
      </c>
      <c r="R14" s="703" t="s">
        <v>14</v>
      </c>
      <c r="S14" s="704">
        <f t="shared" si="0"/>
        <v>100</v>
      </c>
      <c r="T14" s="703" t="s">
        <v>14</v>
      </c>
      <c r="U14" s="704">
        <f t="shared" si="1"/>
        <v>100</v>
      </c>
      <c r="V14" s="703" t="s">
        <v>14</v>
      </c>
      <c r="W14" s="704">
        <f t="shared" si="2"/>
        <v>100</v>
      </c>
      <c r="X14" s="1353"/>
      <c r="Y14" s="3790"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791"/>
      <c r="Q15" s="1350"/>
      <c r="R15" s="703"/>
      <c r="S15" s="704"/>
      <c r="T15" s="703"/>
      <c r="U15" s="704"/>
      <c r="V15" s="703"/>
      <c r="W15" s="704"/>
      <c r="X15" s="1353"/>
      <c r="Y15" s="3791"/>
      <c r="Z15" s="1354"/>
      <c r="AA15" s="1351">
        <v>1</v>
      </c>
      <c r="AB15" s="1351">
        <v>1</v>
      </c>
      <c r="AC15" s="1351">
        <v>1</v>
      </c>
    </row>
    <row r="16" spans="1:29" ht="15">
      <c r="A16" s="358"/>
      <c r="B16" s="578"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91"/>
      <c r="Q16" s="1350" t="str">
        <f>B16</f>
        <v>公共配套设施</v>
      </c>
      <c r="R16" s="703" t="s">
        <v>14</v>
      </c>
      <c r="S16" s="704">
        <f>F16</f>
        <v>100</v>
      </c>
      <c r="T16" s="703" t="s">
        <v>14</v>
      </c>
      <c r="U16" s="704">
        <f>H16</f>
        <v>100</v>
      </c>
      <c r="V16" s="703" t="s">
        <v>14</v>
      </c>
      <c r="W16" s="704">
        <f>J16</f>
        <v>100</v>
      </c>
      <c r="X16" s="1353"/>
      <c r="Y16" s="3791"/>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791"/>
      <c r="Q17" s="1350"/>
      <c r="R17" s="703"/>
      <c r="S17" s="704"/>
      <c r="T17" s="703"/>
      <c r="U17" s="704"/>
      <c r="V17" s="703"/>
      <c r="W17" s="704"/>
      <c r="X17" s="1353"/>
      <c r="Y17" s="3791"/>
      <c r="Z17" s="1354"/>
      <c r="AA17" s="1351">
        <v>1</v>
      </c>
      <c r="AB17" s="1351">
        <v>1</v>
      </c>
      <c r="AC17" s="1351">
        <v>1</v>
      </c>
    </row>
    <row r="18" spans="1:29" ht="15">
      <c r="A18" s="358"/>
      <c r="B18" s="580"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91"/>
      <c r="Q18" s="1350" t="str">
        <f>B18</f>
        <v>基础设施水平</v>
      </c>
      <c r="R18" s="703" t="s">
        <v>14</v>
      </c>
      <c r="S18" s="704">
        <f>F18</f>
        <v>100</v>
      </c>
      <c r="T18" s="703" t="s">
        <v>14</v>
      </c>
      <c r="U18" s="704">
        <f>H18</f>
        <v>100</v>
      </c>
      <c r="V18" s="703" t="s">
        <v>14</v>
      </c>
      <c r="W18" s="704">
        <f>J18</f>
        <v>100</v>
      </c>
      <c r="X18" s="1353"/>
      <c r="Y18" s="3791"/>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791"/>
      <c r="Q19" s="1350"/>
      <c r="R19" s="703"/>
      <c r="S19" s="704"/>
      <c r="T19" s="703"/>
      <c r="U19" s="704"/>
      <c r="V19" s="703"/>
      <c r="W19" s="704"/>
      <c r="X19" s="1353"/>
      <c r="Y19" s="3791"/>
      <c r="Z19" s="1354"/>
      <c r="AA19" s="1351">
        <v>1</v>
      </c>
      <c r="AB19" s="1351">
        <v>1</v>
      </c>
      <c r="AC19" s="1351">
        <v>1</v>
      </c>
    </row>
    <row r="20" spans="1:29" ht="15">
      <c r="A20" s="358"/>
      <c r="B20" s="578"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91"/>
      <c r="Q20" s="1350" t="str">
        <f>B20</f>
        <v>自然及人文环境</v>
      </c>
      <c r="R20" s="703" t="s">
        <v>14</v>
      </c>
      <c r="S20" s="704">
        <f>F20</f>
        <v>100</v>
      </c>
      <c r="T20" s="703" t="s">
        <v>14</v>
      </c>
      <c r="U20" s="704">
        <f>H20</f>
        <v>100</v>
      </c>
      <c r="V20" s="703" t="s">
        <v>14</v>
      </c>
      <c r="W20" s="704">
        <f>J20</f>
        <v>100</v>
      </c>
      <c r="X20" s="1353"/>
      <c r="Y20" s="3791"/>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791"/>
      <c r="Q21" s="1350"/>
      <c r="R21" s="703"/>
      <c r="S21" s="704"/>
      <c r="T21" s="703"/>
      <c r="U21" s="704"/>
      <c r="V21" s="703"/>
      <c r="W21" s="704"/>
      <c r="X21" s="1353"/>
      <c r="Y21" s="3791"/>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91"/>
      <c r="Q22" s="1350" t="str">
        <f>B22</f>
        <v>楼层</v>
      </c>
      <c r="R22" s="703" t="s">
        <v>14</v>
      </c>
      <c r="S22" s="704">
        <f>F22</f>
        <v>100</v>
      </c>
      <c r="T22" s="703" t="s">
        <v>14</v>
      </c>
      <c r="U22" s="704">
        <f>H22</f>
        <v>100</v>
      </c>
      <c r="V22" s="703" t="s">
        <v>14</v>
      </c>
      <c r="W22" s="704">
        <f>J22</f>
        <v>100</v>
      </c>
      <c r="X22" s="1353"/>
      <c r="Y22" s="3791"/>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91"/>
      <c r="Q23" s="1350">
        <f>B23</f>
        <v>111</v>
      </c>
      <c r="R23" s="703" t="s">
        <v>14</v>
      </c>
      <c r="S23" s="704">
        <f>F23</f>
        <v>100</v>
      </c>
      <c r="T23" s="703" t="s">
        <v>14</v>
      </c>
      <c r="U23" s="704">
        <f>H23</f>
        <v>100</v>
      </c>
      <c r="V23" s="703" t="s">
        <v>14</v>
      </c>
      <c r="W23" s="704">
        <f>J23</f>
        <v>100</v>
      </c>
      <c r="X23" s="1353"/>
      <c r="Y23" s="3791"/>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91"/>
      <c r="Q24" s="1350">
        <f t="shared" ref="Q24:Q36" si="11">B24</f>
        <v>111</v>
      </c>
      <c r="R24" s="703" t="s">
        <v>14</v>
      </c>
      <c r="S24" s="704">
        <f>F24</f>
        <v>100</v>
      </c>
      <c r="T24" s="703" t="s">
        <v>14</v>
      </c>
      <c r="U24" s="704">
        <f>H24</f>
        <v>100</v>
      </c>
      <c r="V24" s="703" t="s">
        <v>14</v>
      </c>
      <c r="W24" s="704">
        <f>J24</f>
        <v>100</v>
      </c>
      <c r="X24" s="1353"/>
      <c r="Y24" s="3791"/>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91"/>
      <c r="Q25" s="1341">
        <f t="shared" si="11"/>
        <v>111</v>
      </c>
      <c r="R25" s="699" t="s">
        <v>14</v>
      </c>
      <c r="S25" s="700">
        <f>F25</f>
        <v>100</v>
      </c>
      <c r="T25" s="699" t="s">
        <v>14</v>
      </c>
      <c r="U25" s="700">
        <f>H25</f>
        <v>100</v>
      </c>
      <c r="V25" s="699" t="s">
        <v>14</v>
      </c>
      <c r="W25" s="700">
        <f>J25</f>
        <v>100</v>
      </c>
      <c r="X25" s="701"/>
      <c r="Y25" s="3791"/>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95"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95"/>
      <c r="Q27" s="705" t="str">
        <f t="shared" si="11"/>
        <v>项目停车位配比</v>
      </c>
      <c r="R27" s="706" t="s">
        <v>14</v>
      </c>
      <c r="S27" s="707">
        <f t="shared" si="12"/>
        <v>100</v>
      </c>
      <c r="T27" s="706" t="s">
        <v>14</v>
      </c>
      <c r="U27" s="707">
        <f t="shared" si="13"/>
        <v>100</v>
      </c>
      <c r="V27" s="706" t="s">
        <v>14</v>
      </c>
      <c r="W27" s="707">
        <f t="shared" si="14"/>
        <v>100</v>
      </c>
      <c r="X27" s="708"/>
      <c r="Y27" s="3795"/>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95"/>
      <c r="Q28" s="1350" t="str">
        <f t="shared" si="11"/>
        <v>公共部分装修</v>
      </c>
      <c r="R28" s="703" t="s">
        <v>14</v>
      </c>
      <c r="S28" s="704">
        <f t="shared" si="12"/>
        <v>100</v>
      </c>
      <c r="T28" s="703" t="s">
        <v>14</v>
      </c>
      <c r="U28" s="704">
        <f t="shared" si="13"/>
        <v>100</v>
      </c>
      <c r="V28" s="703" t="s">
        <v>14</v>
      </c>
      <c r="W28" s="704">
        <f t="shared" si="14"/>
        <v>100</v>
      </c>
      <c r="X28" s="1353"/>
      <c r="Y28" s="3795"/>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95"/>
      <c r="Q29" s="1350" t="str">
        <f t="shared" si="11"/>
        <v>成新率</v>
      </c>
      <c r="R29" s="703" t="s">
        <v>14</v>
      </c>
      <c r="S29" s="704" t="e">
        <f t="shared" si="12"/>
        <v>#N/A</v>
      </c>
      <c r="T29" s="703" t="s">
        <v>14</v>
      </c>
      <c r="U29" s="704" t="e">
        <f t="shared" si="13"/>
        <v>#N/A</v>
      </c>
      <c r="V29" s="703" t="s">
        <v>14</v>
      </c>
      <c r="W29" s="704" t="e">
        <f t="shared" si="14"/>
        <v>#N/A</v>
      </c>
      <c r="X29" s="1353"/>
      <c r="Y29" s="3795"/>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95"/>
      <c r="Q30" s="1350" t="str">
        <f t="shared" si="11"/>
        <v>物业等级</v>
      </c>
      <c r="R30" s="703" t="s">
        <v>14</v>
      </c>
      <c r="S30" s="704">
        <f t="shared" si="12"/>
        <v>100</v>
      </c>
      <c r="T30" s="703" t="s">
        <v>14</v>
      </c>
      <c r="U30" s="704">
        <f t="shared" si="13"/>
        <v>100</v>
      </c>
      <c r="V30" s="703" t="s">
        <v>14</v>
      </c>
      <c r="W30" s="704">
        <f t="shared" si="14"/>
        <v>100</v>
      </c>
      <c r="X30" s="1353"/>
      <c r="Y30" s="3795"/>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95"/>
      <c r="Q31" s="1341" t="str">
        <f t="shared" si="11"/>
        <v>停车位面积</v>
      </c>
      <c r="R31" s="699" t="s">
        <v>14</v>
      </c>
      <c r="S31" s="700" t="e">
        <f t="shared" si="12"/>
        <v>#N/A</v>
      </c>
      <c r="T31" s="699" t="s">
        <v>14</v>
      </c>
      <c r="U31" s="700" t="e">
        <f t="shared" si="13"/>
        <v>#N/A</v>
      </c>
      <c r="V31" s="699" t="s">
        <v>14</v>
      </c>
      <c r="W31" s="700" t="e">
        <f t="shared" si="14"/>
        <v>#N/A</v>
      </c>
      <c r="X31" s="701"/>
      <c r="Y31" s="3795"/>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95" t="s">
        <v>1696</v>
      </c>
      <c r="Q32" s="1350" t="str">
        <f t="shared" si="11"/>
        <v>车位类型</v>
      </c>
      <c r="R32" s="703" t="s">
        <v>14</v>
      </c>
      <c r="S32" s="704">
        <f t="shared" si="12"/>
        <v>100</v>
      </c>
      <c r="T32" s="703" t="s">
        <v>14</v>
      </c>
      <c r="U32" s="704">
        <f t="shared" si="13"/>
        <v>100</v>
      </c>
      <c r="V32" s="703" t="s">
        <v>14</v>
      </c>
      <c r="W32" s="704">
        <f t="shared" si="14"/>
        <v>100</v>
      </c>
      <c r="X32" s="1353"/>
      <c r="Y32" s="3795"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95"/>
      <c r="Q33" s="1350" t="str">
        <f t="shared" si="11"/>
        <v>是否直接入户</v>
      </c>
      <c r="R33" s="703" t="s">
        <v>14</v>
      </c>
      <c r="S33" s="704">
        <f t="shared" si="12"/>
        <v>100</v>
      </c>
      <c r="T33" s="703" t="s">
        <v>14</v>
      </c>
      <c r="U33" s="704">
        <f t="shared" si="13"/>
        <v>100</v>
      </c>
      <c r="V33" s="703" t="s">
        <v>14</v>
      </c>
      <c r="W33" s="704">
        <f t="shared" si="14"/>
        <v>100</v>
      </c>
      <c r="X33" s="1353"/>
      <c r="Y33" s="3795"/>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95"/>
      <c r="Q34" s="1350">
        <f t="shared" si="11"/>
        <v>111</v>
      </c>
      <c r="R34" s="703" t="s">
        <v>14</v>
      </c>
      <c r="S34" s="704">
        <f t="shared" si="12"/>
        <v>100</v>
      </c>
      <c r="T34" s="703" t="s">
        <v>14</v>
      </c>
      <c r="U34" s="704">
        <f t="shared" si="13"/>
        <v>100</v>
      </c>
      <c r="V34" s="703" t="s">
        <v>14</v>
      </c>
      <c r="W34" s="704">
        <f t="shared" si="14"/>
        <v>100</v>
      </c>
      <c r="X34" s="1353"/>
      <c r="Y34" s="3795"/>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95"/>
      <c r="Q35" s="705">
        <f t="shared" si="11"/>
        <v>111</v>
      </c>
      <c r="R35" s="706" t="s">
        <v>14</v>
      </c>
      <c r="S35" s="707">
        <f t="shared" si="12"/>
        <v>100</v>
      </c>
      <c r="T35" s="706" t="s">
        <v>14</v>
      </c>
      <c r="U35" s="707">
        <f t="shared" si="13"/>
        <v>100</v>
      </c>
      <c r="V35" s="706" t="s">
        <v>14</v>
      </c>
      <c r="W35" s="707">
        <f t="shared" si="14"/>
        <v>100</v>
      </c>
      <c r="X35" s="708"/>
      <c r="Y35" s="3795"/>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95"/>
      <c r="Q36" s="1350">
        <f t="shared" si="11"/>
        <v>111</v>
      </c>
      <c r="R36" s="703" t="s">
        <v>14</v>
      </c>
      <c r="S36" s="704">
        <f t="shared" si="12"/>
        <v>100</v>
      </c>
      <c r="T36" s="703" t="s">
        <v>14</v>
      </c>
      <c r="U36" s="704">
        <f t="shared" si="13"/>
        <v>100</v>
      </c>
      <c r="V36" s="703" t="s">
        <v>14</v>
      </c>
      <c r="W36" s="704">
        <f t="shared" si="14"/>
        <v>100</v>
      </c>
      <c r="X36" s="1353"/>
      <c r="Y36" s="3795"/>
      <c r="Z36" s="1354">
        <f t="shared" si="15"/>
        <v>111</v>
      </c>
      <c r="AA36" s="1351">
        <f t="shared" si="3"/>
        <v>1</v>
      </c>
      <c r="AB36" s="1351">
        <f t="shared" si="4"/>
        <v>1</v>
      </c>
      <c r="AC36" s="1351">
        <f t="shared" si="5"/>
        <v>1</v>
      </c>
    </row>
    <row r="37" spans="1:29" ht="15">
      <c r="A37" s="430" t="s">
        <v>1844</v>
      </c>
      <c r="B37" s="1971" t="s">
        <v>3348</v>
      </c>
      <c r="C37" s="1152" t="s">
        <v>0</v>
      </c>
      <c r="D37" s="1153"/>
      <c r="E37" s="1154"/>
      <c r="F37" s="1155"/>
      <c r="G37" s="1156"/>
      <c r="H37" s="1157"/>
      <c r="I37" s="1154"/>
      <c r="J37" s="1157"/>
      <c r="K37" s="567"/>
      <c r="L37" s="2722"/>
      <c r="M37" s="2723"/>
      <c r="N37" s="2714"/>
      <c r="O37" s="2723"/>
      <c r="P37" s="3788" t="str">
        <f>A37</f>
        <v>成交单价</v>
      </c>
      <c r="Q37" s="3788"/>
      <c r="R37" s="3789">
        <f>E37</f>
        <v>0</v>
      </c>
      <c r="S37" s="3789"/>
      <c r="T37" s="3789">
        <f>G37</f>
        <v>0</v>
      </c>
      <c r="U37" s="3789"/>
      <c r="V37" s="3789">
        <f>I37</f>
        <v>0</v>
      </c>
      <c r="W37" s="378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88" t="str">
        <f>A38</f>
        <v>比较价值（元/平方米）</v>
      </c>
      <c r="Q38" s="3788"/>
      <c r="R38" s="3789" t="e">
        <f>IF(F1="售价",ROUND(PRODUCT(R37,AA7:AA36),0),ROUND(PRODUCT(R37,AA7:AA36),1))</f>
        <v>#DIV/0!</v>
      </c>
      <c r="S38" s="3789"/>
      <c r="T38" s="3789" t="e">
        <f>IF(F1="售价",ROUND(PRODUCT(T37,AB7:AB36),0),ROUND(PRODUCT(T37,AB7:AB36),1))</f>
        <v>#DIV/0!</v>
      </c>
      <c r="U38" s="3789"/>
      <c r="V38" s="3789" t="e">
        <f>IF(F1="售价",ROUND(PRODUCT(V37,AC7:AC36),0),ROUND(PRODUCT(V37,AC7:AC36),1))</f>
        <v>#DIV/0!</v>
      </c>
      <c r="W38" s="378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2"/>
      <c r="M39" s="2723"/>
      <c r="N39" s="2723"/>
      <c r="O39" s="2723"/>
      <c r="P39" s="3785" t="str">
        <f>A39</f>
        <v>估价对象XX用房的比较价值（楼面单价，元/平方米）</v>
      </c>
      <c r="Q39" s="3786"/>
      <c r="R39" s="3815" t="e">
        <f>IF(F1="售价",ROUND(IF(D38="简单平均",AVERAGE(R38:W38),R38*F38+T38*H38+V38*J38),0),ROUND(IF(D38="简单平均",AVERAGE(R38:V38),R38*F38+T38*H38+V38*J38),1))</f>
        <v>#DIV/0!</v>
      </c>
      <c r="S39" s="3815"/>
      <c r="T39" s="3815"/>
      <c r="U39" s="3815"/>
      <c r="V39" s="3815"/>
      <c r="W39" s="381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71" t="s">
        <v>1770</v>
      </c>
      <c r="D4" s="3772"/>
      <c r="E4" s="3773" t="s">
        <v>1771</v>
      </c>
      <c r="F4" s="3774"/>
      <c r="G4" s="3771" t="s">
        <v>1772</v>
      </c>
      <c r="H4" s="3772"/>
      <c r="I4" s="3771" t="s">
        <v>1773</v>
      </c>
      <c r="J4" s="3772"/>
      <c r="K4" s="559" t="s">
        <v>1774</v>
      </c>
      <c r="L4" s="2713"/>
      <c r="M4" s="2714"/>
      <c r="N4" s="2714"/>
      <c r="O4" s="2714"/>
      <c r="P4" s="3775" t="s">
        <v>1775</v>
      </c>
      <c r="Q4" s="3776"/>
      <c r="R4" s="3757" t="s">
        <v>1771</v>
      </c>
      <c r="S4" s="3758"/>
      <c r="T4" s="3757" t="s">
        <v>1772</v>
      </c>
      <c r="U4" s="3758"/>
      <c r="V4" s="3783" t="s">
        <v>1773</v>
      </c>
      <c r="W4" s="3783"/>
      <c r="X4" s="1353"/>
      <c r="Y4" s="3757" t="s">
        <v>1775</v>
      </c>
      <c r="Z4" s="3758"/>
      <c r="AA4" s="3752" t="s">
        <v>1771</v>
      </c>
      <c r="AB4" s="3753" t="s">
        <v>1772</v>
      </c>
      <c r="AC4" s="3752" t="s">
        <v>1773</v>
      </c>
    </row>
    <row r="5" spans="1:29" ht="15">
      <c r="A5" s="358"/>
      <c r="B5" s="359"/>
      <c r="C5" s="3767" t="s">
        <v>1673</v>
      </c>
      <c r="D5" s="3764"/>
      <c r="E5" s="3761" t="s">
        <v>1674</v>
      </c>
      <c r="F5" s="3762"/>
      <c r="G5" s="3767" t="s">
        <v>1675</v>
      </c>
      <c r="H5" s="3764"/>
      <c r="I5" s="3767" t="s">
        <v>1676</v>
      </c>
      <c r="J5" s="3764"/>
      <c r="K5" s="559"/>
      <c r="L5" s="2713"/>
      <c r="M5" s="2714"/>
      <c r="N5" s="2714"/>
      <c r="O5" s="2714"/>
      <c r="P5" s="3777"/>
      <c r="Q5" s="3778"/>
      <c r="R5" s="3759"/>
      <c r="S5" s="3760"/>
      <c r="T5" s="3759"/>
      <c r="U5" s="3760"/>
      <c r="V5" s="3783"/>
      <c r="W5" s="3783"/>
      <c r="X5" s="1353"/>
      <c r="Y5" s="3759"/>
      <c r="Z5" s="3760"/>
      <c r="AA5" s="3753"/>
      <c r="AB5" s="3753"/>
      <c r="AC5" s="3753"/>
    </row>
    <row r="6" spans="1:29" ht="15.75" thickBot="1">
      <c r="A6" s="360"/>
      <c r="B6" s="361"/>
      <c r="C6" s="3765" t="s">
        <v>1677</v>
      </c>
      <c r="D6" s="3766"/>
      <c r="E6" s="3768" t="s">
        <v>1677</v>
      </c>
      <c r="F6" s="3769"/>
      <c r="G6" s="3765" t="s">
        <v>1677</v>
      </c>
      <c r="H6" s="3766"/>
      <c r="I6" s="3765" t="s">
        <v>1677</v>
      </c>
      <c r="J6" s="3766"/>
      <c r="K6" s="559" t="s">
        <v>1678</v>
      </c>
      <c r="L6" s="2713"/>
      <c r="M6" s="2714"/>
      <c r="N6" s="2714"/>
      <c r="O6" s="2714"/>
      <c r="P6" s="3779"/>
      <c r="Q6" s="3780"/>
      <c r="R6" s="3759"/>
      <c r="S6" s="3760"/>
      <c r="T6" s="3781"/>
      <c r="U6" s="3782"/>
      <c r="V6" s="3783"/>
      <c r="W6" s="3783"/>
      <c r="X6" s="1353"/>
      <c r="Y6" s="3781"/>
      <c r="Z6" s="3782"/>
      <c r="AA6" s="3754"/>
      <c r="AB6" s="3754"/>
      <c r="AC6" s="3754"/>
    </row>
    <row r="7" spans="1:29" s="108" customFormat="1" ht="15.75" thickBot="1">
      <c r="A7" s="362" t="s">
        <v>1679</v>
      </c>
      <c r="B7" s="363"/>
      <c r="C7" s="364">
        <f>'数据-取费表'!B2</f>
        <v>45062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55" t="s">
        <v>1680</v>
      </c>
      <c r="Q7" s="3784"/>
      <c r="R7" s="699" t="s">
        <v>14</v>
      </c>
      <c r="S7" s="700">
        <f t="shared" ref="S7:S14" si="0">F7</f>
        <v>0</v>
      </c>
      <c r="T7" s="699" t="s">
        <v>14</v>
      </c>
      <c r="U7" s="700">
        <f t="shared" ref="U7:U14" si="1">H7</f>
        <v>0</v>
      </c>
      <c r="V7" s="699" t="s">
        <v>14</v>
      </c>
      <c r="W7" s="700">
        <f t="shared" ref="W7:W14" si="2">J7</f>
        <v>0</v>
      </c>
      <c r="X7" s="701"/>
      <c r="Y7" s="3755" t="s">
        <v>1680</v>
      </c>
      <c r="Z7" s="375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5" t="s">
        <v>1683</v>
      </c>
      <c r="Q8" s="3756"/>
      <c r="R8" s="699" t="s">
        <v>14</v>
      </c>
      <c r="S8" s="700">
        <f t="shared" si="0"/>
        <v>100</v>
      </c>
      <c r="T8" s="699" t="s">
        <v>14</v>
      </c>
      <c r="U8" s="700">
        <f t="shared" si="1"/>
        <v>100</v>
      </c>
      <c r="V8" s="699" t="s">
        <v>14</v>
      </c>
      <c r="W8" s="700">
        <f t="shared" si="2"/>
        <v>100</v>
      </c>
      <c r="X8" s="701"/>
      <c r="Y8" s="3755" t="s">
        <v>1683</v>
      </c>
      <c r="Z8" s="375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88" t="s">
        <v>1686</v>
      </c>
      <c r="Q9" s="1341" t="str">
        <f t="shared" ref="Q9:Q14" si="6">B9</f>
        <v>用途</v>
      </c>
      <c r="R9" s="699" t="s">
        <v>14</v>
      </c>
      <c r="S9" s="700">
        <f t="shared" si="0"/>
        <v>100</v>
      </c>
      <c r="T9" s="699" t="s">
        <v>14</v>
      </c>
      <c r="U9" s="700">
        <f t="shared" si="1"/>
        <v>100</v>
      </c>
      <c r="V9" s="699" t="s">
        <v>14</v>
      </c>
      <c r="W9" s="700">
        <f t="shared" si="2"/>
        <v>100</v>
      </c>
      <c r="X9" s="701"/>
      <c r="Y9" s="370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88"/>
      <c r="Q10" s="1341" t="str">
        <f t="shared" si="6"/>
        <v>土地使用年限（年）</v>
      </c>
      <c r="R10" s="699" t="s">
        <v>14</v>
      </c>
      <c r="S10" s="700">
        <f t="shared" si="0"/>
        <v>100</v>
      </c>
      <c r="T10" s="699" t="s">
        <v>14</v>
      </c>
      <c r="U10" s="700">
        <f t="shared" si="1"/>
        <v>100</v>
      </c>
      <c r="V10" s="699" t="s">
        <v>14</v>
      </c>
      <c r="W10" s="700">
        <f t="shared" si="2"/>
        <v>100</v>
      </c>
      <c r="X10" s="701"/>
      <c r="Y10" s="370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88"/>
      <c r="Q11" s="1341">
        <f t="shared" si="6"/>
        <v>111</v>
      </c>
      <c r="R11" s="699" t="s">
        <v>14</v>
      </c>
      <c r="S11" s="700">
        <f t="shared" si="0"/>
        <v>100</v>
      </c>
      <c r="T11" s="699" t="s">
        <v>14</v>
      </c>
      <c r="U11" s="700">
        <f t="shared" si="1"/>
        <v>100</v>
      </c>
      <c r="V11" s="699" t="s">
        <v>14</v>
      </c>
      <c r="W11" s="700">
        <f t="shared" si="2"/>
        <v>100</v>
      </c>
      <c r="X11" s="701"/>
      <c r="Y11" s="370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88"/>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88"/>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90" t="s">
        <v>1691</v>
      </c>
      <c r="Q14" s="1350" t="str">
        <f t="shared" si="6"/>
        <v>交通便捷度</v>
      </c>
      <c r="R14" s="703" t="s">
        <v>14</v>
      </c>
      <c r="S14" s="704">
        <f t="shared" si="0"/>
        <v>100</v>
      </c>
      <c r="T14" s="703" t="s">
        <v>14</v>
      </c>
      <c r="U14" s="704">
        <f t="shared" si="1"/>
        <v>100</v>
      </c>
      <c r="V14" s="703" t="s">
        <v>14</v>
      </c>
      <c r="W14" s="704">
        <f t="shared" si="2"/>
        <v>100</v>
      </c>
      <c r="X14" s="1353"/>
      <c r="Y14" s="379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91"/>
      <c r="Q15" s="1350"/>
      <c r="R15" s="703"/>
      <c r="S15" s="704"/>
      <c r="T15" s="703"/>
      <c r="U15" s="704"/>
      <c r="V15" s="703"/>
      <c r="W15" s="704"/>
      <c r="X15" s="1353"/>
      <c r="Y15" s="3791"/>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91"/>
      <c r="Q16" s="1350" t="str">
        <f>B16</f>
        <v>公共配套设施</v>
      </c>
      <c r="R16" s="703" t="s">
        <v>14</v>
      </c>
      <c r="S16" s="704">
        <f>F16</f>
        <v>100</v>
      </c>
      <c r="T16" s="703" t="s">
        <v>14</v>
      </c>
      <c r="U16" s="704">
        <f>H16</f>
        <v>100</v>
      </c>
      <c r="V16" s="703" t="s">
        <v>14</v>
      </c>
      <c r="W16" s="704">
        <f>J16</f>
        <v>100</v>
      </c>
      <c r="X16" s="1353"/>
      <c r="Y16" s="379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91"/>
      <c r="Q17" s="1350"/>
      <c r="R17" s="703"/>
      <c r="S17" s="704"/>
      <c r="T17" s="703"/>
      <c r="U17" s="704"/>
      <c r="V17" s="703"/>
      <c r="W17" s="704"/>
      <c r="X17" s="1353"/>
      <c r="Y17" s="3791"/>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91"/>
      <c r="Q18" s="1350" t="str">
        <f>B18</f>
        <v>基础设施水平</v>
      </c>
      <c r="R18" s="703" t="s">
        <v>14</v>
      </c>
      <c r="S18" s="704">
        <f>F18</f>
        <v>100</v>
      </c>
      <c r="T18" s="703" t="s">
        <v>14</v>
      </c>
      <c r="U18" s="704">
        <f>H18</f>
        <v>100</v>
      </c>
      <c r="V18" s="703" t="s">
        <v>14</v>
      </c>
      <c r="W18" s="704">
        <f>J18</f>
        <v>100</v>
      </c>
      <c r="X18" s="1353"/>
      <c r="Y18" s="379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91"/>
      <c r="Q19" s="1350"/>
      <c r="R19" s="703"/>
      <c r="S19" s="704"/>
      <c r="T19" s="703"/>
      <c r="U19" s="704"/>
      <c r="V19" s="703"/>
      <c r="W19" s="704"/>
      <c r="X19" s="1353"/>
      <c r="Y19" s="3791"/>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91"/>
      <c r="Q20" s="1350" t="str">
        <f>B20</f>
        <v>自然及人文环境</v>
      </c>
      <c r="R20" s="703" t="s">
        <v>14</v>
      </c>
      <c r="S20" s="704">
        <f>F20</f>
        <v>100</v>
      </c>
      <c r="T20" s="703" t="s">
        <v>14</v>
      </c>
      <c r="U20" s="704">
        <f>H20</f>
        <v>100</v>
      </c>
      <c r="V20" s="703" t="s">
        <v>14</v>
      </c>
      <c r="W20" s="704">
        <f>J20</f>
        <v>100</v>
      </c>
      <c r="X20" s="1353"/>
      <c r="Y20" s="379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91"/>
      <c r="Q21" s="1350"/>
      <c r="R21" s="703"/>
      <c r="S21" s="704"/>
      <c r="T21" s="703"/>
      <c r="U21" s="704"/>
      <c r="V21" s="703"/>
      <c r="W21" s="704"/>
      <c r="X21" s="1353"/>
      <c r="Y21" s="379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91"/>
      <c r="Q22" s="1350" t="str">
        <f>B22</f>
        <v>楼层</v>
      </c>
      <c r="R22" s="703" t="s">
        <v>14</v>
      </c>
      <c r="S22" s="704">
        <f>F22</f>
        <v>100</v>
      </c>
      <c r="T22" s="703" t="s">
        <v>14</v>
      </c>
      <c r="U22" s="704">
        <f>H22</f>
        <v>100</v>
      </c>
      <c r="V22" s="703" t="s">
        <v>14</v>
      </c>
      <c r="W22" s="704">
        <f>J22</f>
        <v>100</v>
      </c>
      <c r="X22" s="1353"/>
      <c r="Y22" s="379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91"/>
      <c r="Q23" s="1350">
        <f>B23</f>
        <v>111</v>
      </c>
      <c r="R23" s="703" t="s">
        <v>14</v>
      </c>
      <c r="S23" s="704">
        <f>F23</f>
        <v>100</v>
      </c>
      <c r="T23" s="703" t="s">
        <v>14</v>
      </c>
      <c r="U23" s="704">
        <f>H23</f>
        <v>100</v>
      </c>
      <c r="V23" s="703" t="s">
        <v>14</v>
      </c>
      <c r="W23" s="704">
        <f>J23</f>
        <v>100</v>
      </c>
      <c r="X23" s="1353"/>
      <c r="Y23" s="379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91"/>
      <c r="Q24" s="1350">
        <f t="shared" ref="Q24:Q34" si="11">B24</f>
        <v>111</v>
      </c>
      <c r="R24" s="703" t="s">
        <v>14</v>
      </c>
      <c r="S24" s="704">
        <f>F24</f>
        <v>100</v>
      </c>
      <c r="T24" s="703" t="s">
        <v>14</v>
      </c>
      <c r="U24" s="704">
        <f>H24</f>
        <v>100</v>
      </c>
      <c r="V24" s="703" t="s">
        <v>14</v>
      </c>
      <c r="W24" s="704">
        <f>J24</f>
        <v>100</v>
      </c>
      <c r="X24" s="1353"/>
      <c r="Y24" s="3791"/>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791"/>
      <c r="Q25" s="1341">
        <f t="shared" si="11"/>
        <v>111</v>
      </c>
      <c r="R25" s="699" t="s">
        <v>14</v>
      </c>
      <c r="S25" s="700">
        <f>F25</f>
        <v>100</v>
      </c>
      <c r="T25" s="699" t="s">
        <v>14</v>
      </c>
      <c r="U25" s="700">
        <f>H25</f>
        <v>100</v>
      </c>
      <c r="V25" s="699" t="s">
        <v>14</v>
      </c>
      <c r="W25" s="700">
        <f>J25</f>
        <v>100</v>
      </c>
      <c r="X25" s="701"/>
      <c r="Y25" s="3791"/>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81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9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95"/>
      <c r="Q27" s="705" t="str">
        <f t="shared" si="11"/>
        <v>成新率</v>
      </c>
      <c r="R27" s="706" t="s">
        <v>14</v>
      </c>
      <c r="S27" s="707" t="e">
        <f t="shared" si="12"/>
        <v>#N/A</v>
      </c>
      <c r="T27" s="706" t="s">
        <v>14</v>
      </c>
      <c r="U27" s="707" t="e">
        <f t="shared" si="13"/>
        <v>#N/A</v>
      </c>
      <c r="V27" s="706" t="s">
        <v>14</v>
      </c>
      <c r="W27" s="707" t="e">
        <f t="shared" si="14"/>
        <v>#N/A</v>
      </c>
      <c r="X27" s="708"/>
      <c r="Y27" s="379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95"/>
      <c r="Q28" s="1350" t="str">
        <f t="shared" si="11"/>
        <v>物业等级</v>
      </c>
      <c r="R28" s="703" t="s">
        <v>14</v>
      </c>
      <c r="S28" s="704">
        <f t="shared" si="12"/>
        <v>100</v>
      </c>
      <c r="T28" s="703" t="s">
        <v>14</v>
      </c>
      <c r="U28" s="704">
        <f t="shared" si="13"/>
        <v>100</v>
      </c>
      <c r="V28" s="703" t="s">
        <v>14</v>
      </c>
      <c r="W28" s="704">
        <f t="shared" si="14"/>
        <v>100</v>
      </c>
      <c r="X28" s="1353"/>
      <c r="Y28" s="3795"/>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95"/>
      <c r="Q29" s="1350" t="str">
        <f t="shared" si="11"/>
        <v>有无电梯</v>
      </c>
      <c r="R29" s="703" t="s">
        <v>14</v>
      </c>
      <c r="S29" s="704">
        <f t="shared" si="12"/>
        <v>100</v>
      </c>
      <c r="T29" s="703" t="s">
        <v>14</v>
      </c>
      <c r="U29" s="704">
        <f t="shared" si="13"/>
        <v>100</v>
      </c>
      <c r="V29" s="703" t="s">
        <v>14</v>
      </c>
      <c r="W29" s="704">
        <f t="shared" si="14"/>
        <v>100</v>
      </c>
      <c r="X29" s="1353"/>
      <c r="Y29" s="379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95"/>
      <c r="Q30" s="1350" t="str">
        <f t="shared" si="11"/>
        <v>建筑面积</v>
      </c>
      <c r="R30" s="703" t="s">
        <v>14</v>
      </c>
      <c r="S30" s="704" t="e">
        <f t="shared" si="12"/>
        <v>#N/A</v>
      </c>
      <c r="T30" s="703" t="s">
        <v>14</v>
      </c>
      <c r="U30" s="704" t="e">
        <f t="shared" si="13"/>
        <v>#N/A</v>
      </c>
      <c r="V30" s="703" t="s">
        <v>14</v>
      </c>
      <c r="W30" s="704" t="e">
        <f t="shared" si="14"/>
        <v>#N/A</v>
      </c>
      <c r="X30" s="1353"/>
      <c r="Y30" s="3795"/>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95"/>
      <c r="Q31" s="1341" t="str">
        <f t="shared" si="11"/>
        <v>是否封闭</v>
      </c>
      <c r="R31" s="699" t="s">
        <v>14</v>
      </c>
      <c r="S31" s="700">
        <f t="shared" si="12"/>
        <v>100</v>
      </c>
      <c r="T31" s="699" t="s">
        <v>14</v>
      </c>
      <c r="U31" s="700">
        <f t="shared" si="13"/>
        <v>100</v>
      </c>
      <c r="V31" s="699" t="s">
        <v>14</v>
      </c>
      <c r="W31" s="700">
        <f t="shared" si="14"/>
        <v>100</v>
      </c>
      <c r="X31" s="701"/>
      <c r="Y31" s="379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95" t="s">
        <v>1696</v>
      </c>
      <c r="Q32" s="1350">
        <f t="shared" si="11"/>
        <v>111</v>
      </c>
      <c r="R32" s="703" t="s">
        <v>14</v>
      </c>
      <c r="S32" s="704">
        <f t="shared" si="12"/>
        <v>100</v>
      </c>
      <c r="T32" s="703" t="s">
        <v>14</v>
      </c>
      <c r="U32" s="704">
        <f t="shared" si="13"/>
        <v>100</v>
      </c>
      <c r="V32" s="703" t="s">
        <v>14</v>
      </c>
      <c r="W32" s="704">
        <f t="shared" si="14"/>
        <v>100</v>
      </c>
      <c r="X32" s="1353"/>
      <c r="Y32" s="379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95"/>
      <c r="Q33" s="1350">
        <f t="shared" si="11"/>
        <v>111</v>
      </c>
      <c r="R33" s="703" t="s">
        <v>14</v>
      </c>
      <c r="S33" s="704">
        <f t="shared" si="12"/>
        <v>100</v>
      </c>
      <c r="T33" s="703" t="s">
        <v>14</v>
      </c>
      <c r="U33" s="704">
        <f t="shared" si="13"/>
        <v>100</v>
      </c>
      <c r="V33" s="703" t="s">
        <v>14</v>
      </c>
      <c r="W33" s="704">
        <f t="shared" si="14"/>
        <v>100</v>
      </c>
      <c r="X33" s="1353"/>
      <c r="Y33" s="379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95"/>
      <c r="Q34" s="1350">
        <f t="shared" si="11"/>
        <v>111</v>
      </c>
      <c r="R34" s="703" t="s">
        <v>14</v>
      </c>
      <c r="S34" s="704">
        <f t="shared" si="12"/>
        <v>100</v>
      </c>
      <c r="T34" s="703" t="s">
        <v>14</v>
      </c>
      <c r="U34" s="704">
        <f t="shared" si="13"/>
        <v>100</v>
      </c>
      <c r="V34" s="703" t="s">
        <v>14</v>
      </c>
      <c r="W34" s="704">
        <f t="shared" si="14"/>
        <v>100</v>
      </c>
      <c r="X34" s="1353"/>
      <c r="Y34" s="379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88" t="str">
        <f>A35</f>
        <v>成交单价（元/平方米）</v>
      </c>
      <c r="Q35" s="3788"/>
      <c r="R35" s="3789">
        <f>E35</f>
        <v>0</v>
      </c>
      <c r="S35" s="3789"/>
      <c r="T35" s="3789">
        <f>G35</f>
        <v>0</v>
      </c>
      <c r="U35" s="3789"/>
      <c r="V35" s="3789">
        <f>I35</f>
        <v>0</v>
      </c>
      <c r="W35" s="378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88" t="str">
        <f>A36</f>
        <v>比较价值（元/平方米）</v>
      </c>
      <c r="Q36" s="3788"/>
      <c r="R36" s="3789" t="e">
        <f>IF(F1="售价",ROUND(PRODUCT(R35,AA7:AA34),0),ROUND(PRODUCT(R35,AA7:AA34),1))</f>
        <v>#DIV/0!</v>
      </c>
      <c r="S36" s="3789"/>
      <c r="T36" s="3789" t="e">
        <f>IF(F1="售价",ROUND(PRODUCT(T35,AB7:AB34),0),ROUND(PRODUCT(T35,AB7:AB34),1))</f>
        <v>#DIV/0!</v>
      </c>
      <c r="U36" s="3789"/>
      <c r="V36" s="3789" t="e">
        <f>IF(F1="售价",ROUND(PRODUCT(V35,AC7:AC34),0),ROUND(PRODUCT(V35,AC7:AC34),1))</f>
        <v>#DIV/0!</v>
      </c>
      <c r="W36" s="378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85" t="str">
        <f>A37</f>
        <v>估价对象XX用房的比较价值（楼面单价，元/平方米）</v>
      </c>
      <c r="Q37" s="3786"/>
      <c r="R37" s="3815" t="e">
        <f>IF(F1="售价",ROUND(IF(D36="简单平均",AVERAGE(R36:W36),R36*F36+T36*H36+V36*J36),0),ROUND(IF(D36="简单平均",AVERAGE(R36:V36),R36*F36+T36*H36+V36*J36),1))</f>
        <v>#DIV/0!</v>
      </c>
      <c r="S37" s="3815"/>
      <c r="T37" s="3815"/>
      <c r="U37" s="3815"/>
      <c r="V37" s="3815"/>
      <c r="W37" s="381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估价对象为房地产，为所有。根据《国有土地使用证》[]，估价对象（分摊）出让国有建设用地使用权面积为0平方米，建筑面积为408.56平方米。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估价对象为房地产,属开发建设的，该项目尚在开发建设中。根据《国有土地使用证》[]，估价对象（分摊）出让国有建设用地使用权面积为0平方米，规划建筑面积为408.56平方米。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2023年5月16日（评估专业人员实地查勘之日）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71" t="s">
        <v>1770</v>
      </c>
      <c r="D4" s="3772"/>
      <c r="E4" s="3773" t="s">
        <v>1771</v>
      </c>
      <c r="F4" s="3774"/>
      <c r="G4" s="3771" t="s">
        <v>1772</v>
      </c>
      <c r="H4" s="3772"/>
      <c r="I4" s="3771" t="s">
        <v>1773</v>
      </c>
      <c r="J4" s="3772"/>
      <c r="K4" s="559" t="s">
        <v>1774</v>
      </c>
      <c r="L4" s="2713"/>
      <c r="M4" s="2714"/>
      <c r="N4" s="2714"/>
      <c r="O4" s="2714"/>
      <c r="P4" s="3775" t="s">
        <v>1775</v>
      </c>
      <c r="Q4" s="3776"/>
      <c r="R4" s="3757" t="s">
        <v>1771</v>
      </c>
      <c r="S4" s="3758"/>
      <c r="T4" s="3757" t="s">
        <v>1772</v>
      </c>
      <c r="U4" s="3758"/>
      <c r="V4" s="3783" t="s">
        <v>1773</v>
      </c>
      <c r="W4" s="3783"/>
      <c r="X4" s="1353"/>
      <c r="Y4" s="3757" t="s">
        <v>1775</v>
      </c>
      <c r="Z4" s="3758"/>
      <c r="AA4" s="3752" t="s">
        <v>1771</v>
      </c>
      <c r="AB4" s="3753" t="s">
        <v>1772</v>
      </c>
      <c r="AC4" s="3752" t="s">
        <v>1773</v>
      </c>
    </row>
    <row r="5" spans="1:30" ht="15">
      <c r="A5" s="358"/>
      <c r="B5" s="359"/>
      <c r="C5" s="3767" t="s">
        <v>1673</v>
      </c>
      <c r="D5" s="3764"/>
      <c r="E5" s="3761" t="s">
        <v>1674</v>
      </c>
      <c r="F5" s="3762"/>
      <c r="G5" s="3767" t="s">
        <v>1675</v>
      </c>
      <c r="H5" s="3764"/>
      <c r="I5" s="3767" t="s">
        <v>1676</v>
      </c>
      <c r="J5" s="3764"/>
      <c r="K5" s="559"/>
      <c r="L5" s="2713"/>
      <c r="M5" s="2714"/>
      <c r="N5" s="2714"/>
      <c r="O5" s="2714"/>
      <c r="P5" s="3777"/>
      <c r="Q5" s="3778"/>
      <c r="R5" s="3759"/>
      <c r="S5" s="3760"/>
      <c r="T5" s="3759"/>
      <c r="U5" s="3760"/>
      <c r="V5" s="3783"/>
      <c r="W5" s="3783"/>
      <c r="X5" s="1353"/>
      <c r="Y5" s="3759"/>
      <c r="Z5" s="3760"/>
      <c r="AA5" s="3753"/>
      <c r="AB5" s="3753"/>
      <c r="AC5" s="3753"/>
    </row>
    <row r="6" spans="1:30" ht="15.75" thickBot="1">
      <c r="A6" s="360"/>
      <c r="B6" s="361"/>
      <c r="C6" s="3765" t="s">
        <v>1677</v>
      </c>
      <c r="D6" s="3766"/>
      <c r="E6" s="3768" t="s">
        <v>1677</v>
      </c>
      <c r="F6" s="3769"/>
      <c r="G6" s="3765" t="s">
        <v>1677</v>
      </c>
      <c r="H6" s="3766"/>
      <c r="I6" s="3765" t="s">
        <v>1677</v>
      </c>
      <c r="J6" s="3766"/>
      <c r="K6" s="559" t="s">
        <v>1678</v>
      </c>
      <c r="L6" s="2713"/>
      <c r="M6" s="2714"/>
      <c r="N6" s="2714"/>
      <c r="O6" s="2714"/>
      <c r="P6" s="3779"/>
      <c r="Q6" s="3780"/>
      <c r="R6" s="3759"/>
      <c r="S6" s="3760"/>
      <c r="T6" s="3781"/>
      <c r="U6" s="3782"/>
      <c r="V6" s="3783"/>
      <c r="W6" s="3783"/>
      <c r="X6" s="1353"/>
      <c r="Y6" s="3781"/>
      <c r="Z6" s="3782"/>
      <c r="AA6" s="3754"/>
      <c r="AB6" s="3754"/>
      <c r="AC6" s="3754"/>
    </row>
    <row r="7" spans="1:30" s="108" customFormat="1" ht="15.75" thickBot="1">
      <c r="A7" s="362" t="s">
        <v>1679</v>
      </c>
      <c r="B7" s="363"/>
      <c r="C7" s="364">
        <f>'数据-取费表'!B2</f>
        <v>45062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55" t="s">
        <v>1680</v>
      </c>
      <c r="Q7" s="3784"/>
      <c r="R7" s="699" t="s">
        <v>14</v>
      </c>
      <c r="S7" s="700">
        <f t="shared" ref="S7:S15" si="0">F7</f>
        <v>0</v>
      </c>
      <c r="T7" s="699" t="s">
        <v>14</v>
      </c>
      <c r="U7" s="700">
        <f t="shared" ref="U7:U15" si="1">H7</f>
        <v>0</v>
      </c>
      <c r="V7" s="699" t="s">
        <v>14</v>
      </c>
      <c r="W7" s="700">
        <f t="shared" ref="W7:W15" si="2">J7</f>
        <v>0</v>
      </c>
      <c r="X7" s="701"/>
      <c r="Y7" s="3755" t="s">
        <v>1680</v>
      </c>
      <c r="Z7" s="375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5" t="s">
        <v>1683</v>
      </c>
      <c r="Q8" s="3756"/>
      <c r="R8" s="699" t="s">
        <v>14</v>
      </c>
      <c r="S8" s="700">
        <f t="shared" si="0"/>
        <v>0</v>
      </c>
      <c r="T8" s="699" t="s">
        <v>14</v>
      </c>
      <c r="U8" s="700">
        <f t="shared" si="1"/>
        <v>0</v>
      </c>
      <c r="V8" s="699" t="s">
        <v>14</v>
      </c>
      <c r="W8" s="700">
        <f t="shared" si="2"/>
        <v>0</v>
      </c>
      <c r="X8" s="701"/>
      <c r="Y8" s="3755" t="s">
        <v>1683</v>
      </c>
      <c r="Z8" s="375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88"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7"/>
      <c r="M10" s="2718"/>
      <c r="N10" s="2718"/>
      <c r="O10" s="2771"/>
      <c r="P10" s="3788"/>
      <c r="Q10" s="1341" t="str">
        <f t="shared" si="6"/>
        <v>土地使用年限（年）</v>
      </c>
      <c r="R10" s="699" t="s">
        <v>14</v>
      </c>
      <c r="S10" s="700" t="e">
        <f t="shared" si="0"/>
        <v>#DIV/0!</v>
      </c>
      <c r="T10" s="699" t="s">
        <v>14</v>
      </c>
      <c r="U10" s="700" t="e">
        <f t="shared" si="1"/>
        <v>#DIV/0!</v>
      </c>
      <c r="V10" s="699" t="s">
        <v>14</v>
      </c>
      <c r="W10" s="700" t="e">
        <f t="shared" si="2"/>
        <v>#DIV/0!</v>
      </c>
      <c r="X10" s="701"/>
      <c r="Y10" s="3702"/>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88"/>
      <c r="Q11" s="1341" t="str">
        <f t="shared" si="6"/>
        <v>容积率</v>
      </c>
      <c r="R11" s="699" t="s">
        <v>14</v>
      </c>
      <c r="S11" s="700" t="e">
        <f t="shared" si="0"/>
        <v>#N/A</v>
      </c>
      <c r="T11" s="699" t="s">
        <v>14</v>
      </c>
      <c r="U11" s="700" t="e">
        <f t="shared" si="1"/>
        <v>#N/A</v>
      </c>
      <c r="V11" s="699" t="s">
        <v>14</v>
      </c>
      <c r="W11" s="700" t="e">
        <f t="shared" si="2"/>
        <v>#N/A</v>
      </c>
      <c r="X11" s="701"/>
      <c r="Y11" s="370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88"/>
      <c r="Q12" s="1341" t="str">
        <f t="shared" si="6"/>
        <v>配建</v>
      </c>
      <c r="R12" s="699" t="s">
        <v>14</v>
      </c>
      <c r="S12" s="700">
        <f t="shared" si="0"/>
        <v>100</v>
      </c>
      <c r="T12" s="699" t="s">
        <v>14</v>
      </c>
      <c r="U12" s="700">
        <f t="shared" si="1"/>
        <v>100</v>
      </c>
      <c r="V12" s="699" t="s">
        <v>14</v>
      </c>
      <c r="W12" s="700">
        <f t="shared" si="2"/>
        <v>100</v>
      </c>
      <c r="X12" s="701"/>
      <c r="Y12" s="370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88"/>
      <c r="Q13" s="1341">
        <f t="shared" si="6"/>
        <v>111</v>
      </c>
      <c r="R13" s="699" t="s">
        <v>14</v>
      </c>
      <c r="S13" s="700">
        <f t="shared" si="0"/>
        <v>100</v>
      </c>
      <c r="T13" s="699" t="s">
        <v>14</v>
      </c>
      <c r="U13" s="700">
        <f t="shared" si="1"/>
        <v>100</v>
      </c>
      <c r="V13" s="699" t="s">
        <v>14</v>
      </c>
      <c r="W13" s="700">
        <f t="shared" si="2"/>
        <v>100</v>
      </c>
      <c r="X13" s="701"/>
      <c r="Y13" s="370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88"/>
      <c r="Q14" s="1341">
        <f t="shared" si="6"/>
        <v>111</v>
      </c>
      <c r="R14" s="699" t="s">
        <v>14</v>
      </c>
      <c r="S14" s="700">
        <f t="shared" si="0"/>
        <v>100</v>
      </c>
      <c r="T14" s="699" t="s">
        <v>14</v>
      </c>
      <c r="U14" s="700">
        <f t="shared" si="1"/>
        <v>100</v>
      </c>
      <c r="V14" s="699" t="s">
        <v>14</v>
      </c>
      <c r="W14" s="700">
        <f t="shared" si="2"/>
        <v>100</v>
      </c>
      <c r="X14" s="701"/>
      <c r="Y14" s="3702"/>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90" t="s">
        <v>1691</v>
      </c>
      <c r="Q15" s="1350" t="str">
        <f t="shared" si="6"/>
        <v>居住社区成熟度</v>
      </c>
      <c r="R15" s="703" t="s">
        <v>14</v>
      </c>
      <c r="S15" s="704">
        <f t="shared" si="0"/>
        <v>100</v>
      </c>
      <c r="T15" s="703" t="s">
        <v>14</v>
      </c>
      <c r="U15" s="704">
        <f t="shared" si="1"/>
        <v>100</v>
      </c>
      <c r="V15" s="703" t="s">
        <v>14</v>
      </c>
      <c r="W15" s="704">
        <f t="shared" si="2"/>
        <v>100</v>
      </c>
      <c r="X15" s="1353"/>
      <c r="Y15" s="379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791"/>
      <c r="Q16" s="1350"/>
      <c r="R16" s="703"/>
      <c r="S16" s="704"/>
      <c r="T16" s="703"/>
      <c r="U16" s="704"/>
      <c r="V16" s="703"/>
      <c r="W16" s="704"/>
      <c r="X16" s="1353"/>
      <c r="Y16" s="3791"/>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91"/>
      <c r="Q17" s="1350" t="str">
        <f>B17</f>
        <v>商业繁华度</v>
      </c>
      <c r="R17" s="703" t="s">
        <v>14</v>
      </c>
      <c r="S17" s="704">
        <f>F17</f>
        <v>100</v>
      </c>
      <c r="T17" s="703" t="s">
        <v>14</v>
      </c>
      <c r="U17" s="704">
        <f>H17</f>
        <v>100</v>
      </c>
      <c r="V17" s="703" t="s">
        <v>14</v>
      </c>
      <c r="W17" s="704">
        <f>J17</f>
        <v>100</v>
      </c>
      <c r="X17" s="1353"/>
      <c r="Y17" s="379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791"/>
      <c r="Q18" s="1350"/>
      <c r="R18" s="703"/>
      <c r="S18" s="704"/>
      <c r="T18" s="703"/>
      <c r="U18" s="704"/>
      <c r="V18" s="703"/>
      <c r="W18" s="704"/>
      <c r="X18" s="1353"/>
      <c r="Y18" s="3791"/>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91"/>
      <c r="Q19" s="1350" t="str">
        <f>B19</f>
        <v>办公集聚程度</v>
      </c>
      <c r="R19" s="703" t="s">
        <v>14</v>
      </c>
      <c r="S19" s="704">
        <f>F19</f>
        <v>100</v>
      </c>
      <c r="T19" s="703" t="s">
        <v>14</v>
      </c>
      <c r="U19" s="704">
        <f>H19</f>
        <v>100</v>
      </c>
      <c r="V19" s="703" t="s">
        <v>14</v>
      </c>
      <c r="W19" s="704">
        <f>J19</f>
        <v>100</v>
      </c>
      <c r="X19" s="1353"/>
      <c r="Y19" s="379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791"/>
      <c r="Q20" s="1350"/>
      <c r="R20" s="703"/>
      <c r="S20" s="704"/>
      <c r="T20" s="703"/>
      <c r="U20" s="704"/>
      <c r="V20" s="703"/>
      <c r="W20" s="704"/>
      <c r="X20" s="1353"/>
      <c r="Y20" s="3791"/>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91"/>
      <c r="Q21" s="1350" t="str">
        <f>B21</f>
        <v>交通便捷度</v>
      </c>
      <c r="R21" s="703" t="s">
        <v>14</v>
      </c>
      <c r="S21" s="704">
        <f>F21</f>
        <v>100</v>
      </c>
      <c r="T21" s="703" t="s">
        <v>14</v>
      </c>
      <c r="U21" s="704">
        <f>H21</f>
        <v>100</v>
      </c>
      <c r="V21" s="703" t="s">
        <v>14</v>
      </c>
      <c r="W21" s="704">
        <f>J21</f>
        <v>100</v>
      </c>
      <c r="X21" s="1353"/>
      <c r="Y21" s="379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791"/>
      <c r="Q22" s="1350"/>
      <c r="R22" s="703"/>
      <c r="S22" s="704"/>
      <c r="T22" s="703"/>
      <c r="U22" s="704"/>
      <c r="V22" s="703"/>
      <c r="W22" s="704"/>
      <c r="X22" s="1353"/>
      <c r="Y22" s="379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91"/>
      <c r="Q23" s="1350" t="str">
        <f t="shared" ref="Q23:Q37" si="8">B23</f>
        <v>区域土地利用方向</v>
      </c>
      <c r="R23" s="703" t="s">
        <v>14</v>
      </c>
      <c r="S23" s="704">
        <f>F23</f>
        <v>100</v>
      </c>
      <c r="T23" s="703" t="s">
        <v>14</v>
      </c>
      <c r="U23" s="704">
        <f>H23</f>
        <v>100</v>
      </c>
      <c r="V23" s="703" t="s">
        <v>14</v>
      </c>
      <c r="W23" s="704">
        <f>J23</f>
        <v>100</v>
      </c>
      <c r="X23" s="1353"/>
      <c r="Y23" s="379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91"/>
      <c r="Q24" s="1350"/>
      <c r="R24" s="703"/>
      <c r="S24" s="704"/>
      <c r="T24" s="703"/>
      <c r="U24" s="704"/>
      <c r="V24" s="703"/>
      <c r="W24" s="704"/>
      <c r="X24" s="1353"/>
      <c r="Y24" s="3791"/>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91"/>
      <c r="Q25" s="1350" t="str">
        <f t="shared" si="8"/>
        <v>自然及人文环境状况</v>
      </c>
      <c r="R25" s="703" t="s">
        <v>14</v>
      </c>
      <c r="S25" s="704">
        <f>F25</f>
        <v>100</v>
      </c>
      <c r="T25" s="703" t="s">
        <v>14</v>
      </c>
      <c r="U25" s="704">
        <f>H25</f>
        <v>100</v>
      </c>
      <c r="V25" s="703" t="s">
        <v>14</v>
      </c>
      <c r="W25" s="704">
        <f>J25</f>
        <v>100</v>
      </c>
      <c r="X25" s="1353"/>
      <c r="Y25" s="379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791"/>
      <c r="Q26" s="1350"/>
      <c r="R26" s="703"/>
      <c r="S26" s="704"/>
      <c r="T26" s="703"/>
      <c r="U26" s="704"/>
      <c r="V26" s="703"/>
      <c r="W26" s="704"/>
      <c r="X26" s="1353"/>
      <c r="Y26" s="3791"/>
      <c r="Z26" s="1354"/>
      <c r="AA26" s="1351">
        <v>1</v>
      </c>
      <c r="AB26" s="1351">
        <v>1</v>
      </c>
      <c r="AC26" s="1351">
        <v>1</v>
      </c>
    </row>
    <row r="27" spans="1:29" s="108" customFormat="1" ht="15">
      <c r="A27" s="596"/>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91"/>
      <c r="Q27" s="1341" t="str">
        <f t="shared" si="8"/>
        <v>公共配套设施</v>
      </c>
      <c r="R27" s="699" t="s">
        <v>14</v>
      </c>
      <c r="S27" s="700">
        <f>F27</f>
        <v>100</v>
      </c>
      <c r="T27" s="699" t="s">
        <v>14</v>
      </c>
      <c r="U27" s="700">
        <f>H27</f>
        <v>100</v>
      </c>
      <c r="V27" s="699" t="s">
        <v>14</v>
      </c>
      <c r="W27" s="700">
        <f>J27</f>
        <v>100</v>
      </c>
      <c r="X27" s="701"/>
      <c r="Y27" s="3791"/>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791"/>
      <c r="Q28" s="1341"/>
      <c r="R28" s="699"/>
      <c r="S28" s="700"/>
      <c r="T28" s="699"/>
      <c r="U28" s="700"/>
      <c r="V28" s="699"/>
      <c r="W28" s="700"/>
      <c r="X28" s="701"/>
      <c r="Y28" s="3791"/>
      <c r="Z28" s="52"/>
      <c r="AA28" s="1351">
        <v>1</v>
      </c>
      <c r="AB28" s="1351">
        <v>1</v>
      </c>
      <c r="AC28" s="1351">
        <v>1</v>
      </c>
    </row>
    <row r="29" spans="1:29" s="108" customFormat="1" ht="15">
      <c r="A29" s="596"/>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91"/>
      <c r="Q29" s="1341" t="str">
        <f t="shared" ref="Q29" si="9">B29</f>
        <v>基础设施水平</v>
      </c>
      <c r="R29" s="699" t="s">
        <v>14</v>
      </c>
      <c r="S29" s="700">
        <f>F29</f>
        <v>100</v>
      </c>
      <c r="T29" s="699" t="s">
        <v>14</v>
      </c>
      <c r="U29" s="700">
        <f>H29</f>
        <v>100</v>
      </c>
      <c r="V29" s="699" t="s">
        <v>14</v>
      </c>
      <c r="W29" s="700">
        <f>J29</f>
        <v>100</v>
      </c>
      <c r="X29" s="701"/>
      <c r="Y29" s="3791"/>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791"/>
      <c r="Q30" s="1341"/>
      <c r="R30" s="699"/>
      <c r="S30" s="700"/>
      <c r="T30" s="699"/>
      <c r="U30" s="700"/>
      <c r="V30" s="699"/>
      <c r="W30" s="700"/>
      <c r="X30" s="701"/>
      <c r="Y30" s="3791"/>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9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9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91"/>
      <c r="Q32" s="1350" t="str">
        <f t="shared" si="8"/>
        <v>毗邻道路的类型与等级</v>
      </c>
      <c r="R32" s="703" t="s">
        <v>14</v>
      </c>
      <c r="S32" s="704">
        <f t="shared" si="10"/>
        <v>100</v>
      </c>
      <c r="T32" s="703" t="s">
        <v>14</v>
      </c>
      <c r="U32" s="704">
        <f t="shared" si="11"/>
        <v>100</v>
      </c>
      <c r="V32" s="703" t="s">
        <v>14</v>
      </c>
      <c r="W32" s="704">
        <f t="shared" si="12"/>
        <v>100</v>
      </c>
      <c r="X32" s="1353"/>
      <c r="Y32" s="379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91"/>
      <c r="Q33" s="1350"/>
      <c r="R33" s="703"/>
      <c r="S33" s="704"/>
      <c r="T33" s="703"/>
      <c r="U33" s="704"/>
      <c r="V33" s="703"/>
      <c r="W33" s="704"/>
      <c r="X33" s="1353"/>
      <c r="Y33" s="3791"/>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91"/>
      <c r="Q34" s="1350" t="str">
        <f t="shared" si="8"/>
        <v>土地级别</v>
      </c>
      <c r="R34" s="703" t="s">
        <v>14</v>
      </c>
      <c r="S34" s="704">
        <f t="shared" si="10"/>
        <v>100</v>
      </c>
      <c r="T34" s="703" t="s">
        <v>14</v>
      </c>
      <c r="U34" s="704">
        <f t="shared" si="11"/>
        <v>100</v>
      </c>
      <c r="V34" s="703" t="s">
        <v>14</v>
      </c>
      <c r="W34" s="704">
        <f t="shared" si="12"/>
        <v>100</v>
      </c>
      <c r="X34" s="1353"/>
      <c r="Y34" s="3791"/>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91"/>
      <c r="Q35" s="1350">
        <f t="shared" si="8"/>
        <v>111</v>
      </c>
      <c r="R35" s="703" t="s">
        <v>14</v>
      </c>
      <c r="S35" s="704">
        <f t="shared" si="10"/>
        <v>100</v>
      </c>
      <c r="T35" s="703" t="s">
        <v>14</v>
      </c>
      <c r="U35" s="704">
        <f t="shared" si="11"/>
        <v>100</v>
      </c>
      <c r="V35" s="703" t="s">
        <v>14</v>
      </c>
      <c r="W35" s="704">
        <f t="shared" si="12"/>
        <v>100</v>
      </c>
      <c r="X35" s="1353"/>
      <c r="Y35" s="3791"/>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814" t="s">
        <v>1696</v>
      </c>
      <c r="Q36" s="1350">
        <f t="shared" si="8"/>
        <v>111</v>
      </c>
      <c r="R36" s="703" t="s">
        <v>14</v>
      </c>
      <c r="S36" s="704">
        <f t="shared" si="10"/>
        <v>100</v>
      </c>
      <c r="T36" s="703" t="s">
        <v>14</v>
      </c>
      <c r="U36" s="704">
        <f t="shared" si="11"/>
        <v>100</v>
      </c>
      <c r="V36" s="703" t="s">
        <v>14</v>
      </c>
      <c r="W36" s="704">
        <f t="shared" si="12"/>
        <v>100</v>
      </c>
      <c r="X36" s="1353"/>
      <c r="Y36" s="3795"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95"/>
      <c r="Q37" s="1350">
        <f t="shared" si="8"/>
        <v>111</v>
      </c>
      <c r="R37" s="706" t="s">
        <v>14</v>
      </c>
      <c r="S37" s="707">
        <f t="shared" si="10"/>
        <v>100</v>
      </c>
      <c r="T37" s="706" t="s">
        <v>14</v>
      </c>
      <c r="U37" s="707">
        <f t="shared" si="11"/>
        <v>100</v>
      </c>
      <c r="V37" s="706" t="s">
        <v>14</v>
      </c>
      <c r="W37" s="707">
        <f t="shared" si="12"/>
        <v>100</v>
      </c>
      <c r="X37" s="708"/>
      <c r="Y37" s="3795"/>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95"/>
      <c r="Q38" s="1350" t="str">
        <f>B38</f>
        <v>宗地面积</v>
      </c>
      <c r="R38" s="703" t="s">
        <v>14</v>
      </c>
      <c r="S38" s="704" t="e">
        <f t="shared" si="10"/>
        <v>#N/A</v>
      </c>
      <c r="T38" s="703" t="s">
        <v>14</v>
      </c>
      <c r="U38" s="704" t="e">
        <f t="shared" si="11"/>
        <v>#N/A</v>
      </c>
      <c r="V38" s="703" t="s">
        <v>14</v>
      </c>
      <c r="W38" s="704" t="e">
        <f t="shared" si="12"/>
        <v>#N/A</v>
      </c>
      <c r="X38" s="1353"/>
      <c r="Y38" s="379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95"/>
      <c r="Q39" s="1350" t="str">
        <f t="shared" ref="Q39:Q45" si="14">B39</f>
        <v>宗地形状</v>
      </c>
      <c r="R39" s="703" t="s">
        <v>14</v>
      </c>
      <c r="S39" s="704">
        <f t="shared" si="10"/>
        <v>100</v>
      </c>
      <c r="T39" s="703" t="s">
        <v>14</v>
      </c>
      <c r="U39" s="704">
        <f t="shared" si="11"/>
        <v>100</v>
      </c>
      <c r="V39" s="703" t="s">
        <v>14</v>
      </c>
      <c r="W39" s="704">
        <f t="shared" si="12"/>
        <v>100</v>
      </c>
      <c r="X39" s="1353"/>
      <c r="Y39" s="379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95"/>
      <c r="Q40" s="1350" t="str">
        <f t="shared" si="14"/>
        <v>临街宽度及深度</v>
      </c>
      <c r="R40" s="703" t="s">
        <v>14</v>
      </c>
      <c r="S40" s="704">
        <f t="shared" si="10"/>
        <v>100</v>
      </c>
      <c r="T40" s="703" t="s">
        <v>14</v>
      </c>
      <c r="U40" s="704">
        <f t="shared" si="11"/>
        <v>100</v>
      </c>
      <c r="V40" s="703" t="s">
        <v>14</v>
      </c>
      <c r="W40" s="704">
        <f t="shared" si="12"/>
        <v>100</v>
      </c>
      <c r="X40" s="1353"/>
      <c r="Y40" s="379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95"/>
      <c r="Q41" s="1350" t="str">
        <f t="shared" si="14"/>
        <v>宗地开发程度</v>
      </c>
      <c r="R41" s="699" t="s">
        <v>14</v>
      </c>
      <c r="S41" s="700">
        <f t="shared" si="10"/>
        <v>100</v>
      </c>
      <c r="T41" s="699" t="s">
        <v>14</v>
      </c>
      <c r="U41" s="700">
        <f t="shared" si="11"/>
        <v>100</v>
      </c>
      <c r="V41" s="699" t="s">
        <v>14</v>
      </c>
      <c r="W41" s="700">
        <f t="shared" si="12"/>
        <v>100</v>
      </c>
      <c r="X41" s="701"/>
      <c r="Y41" s="379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95" t="s">
        <v>1696</v>
      </c>
      <c r="Q42" s="1350" t="str">
        <f t="shared" si="14"/>
        <v>工程地质条件</v>
      </c>
      <c r="R42" s="703" t="s">
        <v>14</v>
      </c>
      <c r="S42" s="704">
        <f t="shared" si="10"/>
        <v>100</v>
      </c>
      <c r="T42" s="703" t="s">
        <v>14</v>
      </c>
      <c r="U42" s="704">
        <f t="shared" si="11"/>
        <v>100</v>
      </c>
      <c r="V42" s="703" t="s">
        <v>14</v>
      </c>
      <c r="W42" s="704">
        <f t="shared" si="12"/>
        <v>100</v>
      </c>
      <c r="X42" s="1353"/>
      <c r="Y42" s="3795"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95"/>
      <c r="Q43" s="1350">
        <f t="shared" si="14"/>
        <v>111</v>
      </c>
      <c r="R43" s="703" t="s">
        <v>14</v>
      </c>
      <c r="S43" s="704">
        <f t="shared" si="10"/>
        <v>100</v>
      </c>
      <c r="T43" s="703" t="s">
        <v>14</v>
      </c>
      <c r="U43" s="704">
        <f t="shared" si="11"/>
        <v>100</v>
      </c>
      <c r="V43" s="703" t="s">
        <v>14</v>
      </c>
      <c r="W43" s="704">
        <f t="shared" si="12"/>
        <v>100</v>
      </c>
      <c r="X43" s="1353"/>
      <c r="Y43" s="3795"/>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95"/>
      <c r="Q44" s="1350">
        <f t="shared" si="14"/>
        <v>111</v>
      </c>
      <c r="R44" s="703" t="s">
        <v>14</v>
      </c>
      <c r="S44" s="704">
        <f t="shared" si="10"/>
        <v>100</v>
      </c>
      <c r="T44" s="703" t="s">
        <v>14</v>
      </c>
      <c r="U44" s="704">
        <f t="shared" si="11"/>
        <v>100</v>
      </c>
      <c r="V44" s="703" t="s">
        <v>14</v>
      </c>
      <c r="W44" s="704">
        <f t="shared" si="12"/>
        <v>100</v>
      </c>
      <c r="X44" s="1353"/>
      <c r="Y44" s="3795"/>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95"/>
      <c r="Q45" s="1350">
        <f t="shared" si="14"/>
        <v>111</v>
      </c>
      <c r="R45" s="706" t="s">
        <v>14</v>
      </c>
      <c r="S45" s="707">
        <f t="shared" si="10"/>
        <v>100</v>
      </c>
      <c r="T45" s="706" t="s">
        <v>14</v>
      </c>
      <c r="U45" s="707">
        <f t="shared" si="11"/>
        <v>100</v>
      </c>
      <c r="V45" s="706" t="s">
        <v>14</v>
      </c>
      <c r="W45" s="707">
        <f t="shared" si="12"/>
        <v>100</v>
      </c>
      <c r="X45" s="708"/>
      <c r="Y45" s="3795"/>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2"/>
      <c r="M46" s="2723"/>
      <c r="N46" s="2714"/>
      <c r="O46" s="2723"/>
      <c r="P46" s="3788" t="str">
        <f>A46</f>
        <v>成交单价</v>
      </c>
      <c r="Q46" s="3788"/>
      <c r="R46" s="3783">
        <f>E46</f>
        <v>0</v>
      </c>
      <c r="S46" s="3783"/>
      <c r="T46" s="3783">
        <f>G46</f>
        <v>0</v>
      </c>
      <c r="U46" s="3783"/>
      <c r="V46" s="3783">
        <f>I46</f>
        <v>0</v>
      </c>
      <c r="W46" s="3783"/>
      <c r="X46" s="688"/>
      <c r="Y46" s="710"/>
      <c r="Z46" s="688"/>
      <c r="AA46" s="688"/>
      <c r="AB46" s="688"/>
      <c r="AC46" s="688"/>
    </row>
    <row r="47" spans="1:29" ht="15.75" thickBot="1">
      <c r="A47" s="437" t="s">
        <v>1793</v>
      </c>
      <c r="B47" s="630"/>
      <c r="C47" s="440" t="e">
        <f>R48</f>
        <v>#DIV/0!</v>
      </c>
      <c r="D47" s="2315" t="s">
        <v>2137</v>
      </c>
      <c r="E47" s="440" t="e">
        <f>R47</f>
        <v>#DIV/0!</v>
      </c>
      <c r="F47" s="2316"/>
      <c r="G47" s="439" t="e">
        <f>T47</f>
        <v>#DIV/0!</v>
      </c>
      <c r="H47" s="2316"/>
      <c r="I47" s="440" t="e">
        <f>V47</f>
        <v>#DIV/0!</v>
      </c>
      <c r="J47" s="2316"/>
      <c r="K47" s="2318">
        <f>F47+H47+J47</f>
        <v>0</v>
      </c>
      <c r="L47" s="2722"/>
      <c r="M47" s="2723"/>
      <c r="N47" s="2723"/>
      <c r="O47" s="2723"/>
      <c r="P47" s="3788" t="str">
        <f>A47</f>
        <v>比较价值（元/平方米）</v>
      </c>
      <c r="Q47" s="3788"/>
      <c r="R47" s="3816" t="e">
        <f>ROUND(PRODUCT(R46,AA7:AA45),0)</f>
        <v>#DIV/0!</v>
      </c>
      <c r="S47" s="3816"/>
      <c r="T47" s="3816" t="e">
        <f>ROUND(PRODUCT(T46,AB7:AB45),0)</f>
        <v>#DIV/0!</v>
      </c>
      <c r="U47" s="3816"/>
      <c r="V47" s="3816" t="e">
        <f>ROUND(PRODUCT(V46,AC7:AC45),0)</f>
        <v>#DIV/0!</v>
      </c>
      <c r="W47" s="381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85" t="str">
        <f>A48</f>
        <v>估价对象XX用房的比较价值（楼面单价，元/平方米）</v>
      </c>
      <c r="Q48" s="3786"/>
      <c r="R48" s="3817" t="e">
        <f>ROUND(IF(D47="简单平均",AVERAGE(R47:W47),R47*F47+T47*H47+V47*J47),0)</f>
        <v>#DIV/0!</v>
      </c>
      <c r="S48" s="3817"/>
      <c r="T48" s="3817"/>
      <c r="U48" s="3817"/>
      <c r="V48" s="3817"/>
      <c r="W48" s="381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71" t="s">
        <v>1887</v>
      </c>
      <c r="H55" s="381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408.56</v>
      </c>
      <c r="F56" s="884" t="e">
        <f t="shared" ref="F56:F64" si="15">ROUND(B56*E56/10000,0)</f>
        <v>#DIV/0!</v>
      </c>
      <c r="G56" s="3770"/>
      <c r="H56" s="378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3">
        <v>0.25</v>
      </c>
      <c r="E57" s="641"/>
      <c r="F57" s="884" t="e">
        <f t="shared" si="15"/>
        <v>#DIV/0!</v>
      </c>
      <c r="G57" s="3004" t="s">
        <v>1892</v>
      </c>
      <c r="H57" s="885" t="str">
        <f>项目基本情况!B37</f>
        <v>五级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3">
        <v>0.25</v>
      </c>
      <c r="E58" s="641"/>
      <c r="F58" s="884" t="e">
        <f t="shared" si="15"/>
        <v>#DIV/0!</v>
      </c>
      <c r="G58" s="3005"/>
      <c r="H58" s="885" t="str">
        <f>项目基本情况!B37</f>
        <v>五级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3">
        <v>0.25</v>
      </c>
      <c r="E59" s="641"/>
      <c r="F59" s="884" t="e">
        <f t="shared" si="15"/>
        <v>#DIV/0!</v>
      </c>
      <c r="G59" s="3005"/>
      <c r="H59" s="885" t="str">
        <f>项目基本情况!B37</f>
        <v>五级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3">
        <v>0.25</v>
      </c>
      <c r="E63" s="217">
        <f>'数据-汇总表'!E14</f>
        <v>0</v>
      </c>
      <c r="F63" s="884" t="e">
        <f t="shared" si="15"/>
        <v>#DIV/0!</v>
      </c>
      <c r="G63" s="1985" t="s">
        <v>1892</v>
      </c>
      <c r="H63" s="885" t="str">
        <f>项目基本情况!B37</f>
        <v>五级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408.56</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71" t="s">
        <v>1770</v>
      </c>
      <c r="D4" s="3772"/>
      <c r="E4" s="3773" t="s">
        <v>1771</v>
      </c>
      <c r="F4" s="3774"/>
      <c r="G4" s="3771" t="s">
        <v>1772</v>
      </c>
      <c r="H4" s="3772"/>
      <c r="I4" s="3771" t="s">
        <v>1773</v>
      </c>
      <c r="J4" s="3772"/>
      <c r="K4" s="559" t="s">
        <v>1774</v>
      </c>
      <c r="L4" s="2713"/>
      <c r="M4" s="2714"/>
      <c r="N4" s="2714"/>
      <c r="O4" s="2714"/>
      <c r="P4" s="3775" t="s">
        <v>1775</v>
      </c>
      <c r="Q4" s="3776"/>
      <c r="R4" s="3757" t="s">
        <v>1771</v>
      </c>
      <c r="S4" s="3758"/>
      <c r="T4" s="3757" t="s">
        <v>1772</v>
      </c>
      <c r="U4" s="3758"/>
      <c r="V4" s="3783" t="s">
        <v>1773</v>
      </c>
      <c r="W4" s="3783"/>
      <c r="X4" s="1353"/>
      <c r="Y4" s="3757" t="s">
        <v>1775</v>
      </c>
      <c r="Z4" s="3758"/>
      <c r="AA4" s="3752" t="s">
        <v>1771</v>
      </c>
      <c r="AB4" s="3753" t="s">
        <v>1772</v>
      </c>
      <c r="AC4" s="3752" t="s">
        <v>1773</v>
      </c>
    </row>
    <row r="5" spans="1:29" ht="15">
      <c r="A5" s="358"/>
      <c r="B5" s="359"/>
      <c r="C5" s="3767" t="s">
        <v>1673</v>
      </c>
      <c r="D5" s="3764"/>
      <c r="E5" s="3761" t="s">
        <v>1674</v>
      </c>
      <c r="F5" s="3762"/>
      <c r="G5" s="3767" t="s">
        <v>1675</v>
      </c>
      <c r="H5" s="3764"/>
      <c r="I5" s="3767" t="s">
        <v>1676</v>
      </c>
      <c r="J5" s="3764"/>
      <c r="K5" s="559"/>
      <c r="L5" s="2713"/>
      <c r="M5" s="2714"/>
      <c r="N5" s="2714"/>
      <c r="O5" s="2714"/>
      <c r="P5" s="3777"/>
      <c r="Q5" s="3778"/>
      <c r="R5" s="3759"/>
      <c r="S5" s="3760"/>
      <c r="T5" s="3759"/>
      <c r="U5" s="3760"/>
      <c r="V5" s="3783"/>
      <c r="W5" s="3783"/>
      <c r="X5" s="1353"/>
      <c r="Y5" s="3759"/>
      <c r="Z5" s="3760"/>
      <c r="AA5" s="3753"/>
      <c r="AB5" s="3753"/>
      <c r="AC5" s="3753"/>
    </row>
    <row r="6" spans="1:29" ht="15.75" thickBot="1">
      <c r="A6" s="360"/>
      <c r="B6" s="361"/>
      <c r="C6" s="3819" t="s">
        <v>1919</v>
      </c>
      <c r="D6" s="3820"/>
      <c r="E6" s="3821" t="s">
        <v>1919</v>
      </c>
      <c r="F6" s="3822"/>
      <c r="G6" s="3819" t="s">
        <v>1919</v>
      </c>
      <c r="H6" s="3820"/>
      <c r="I6" s="3819" t="s">
        <v>1919</v>
      </c>
      <c r="J6" s="3820"/>
      <c r="K6" s="559" t="s">
        <v>1678</v>
      </c>
      <c r="L6" s="2713"/>
      <c r="M6" s="2714"/>
      <c r="N6" s="2714"/>
      <c r="O6" s="2714"/>
      <c r="P6" s="3779"/>
      <c r="Q6" s="3780"/>
      <c r="R6" s="3759"/>
      <c r="S6" s="3760"/>
      <c r="T6" s="3781"/>
      <c r="U6" s="3782"/>
      <c r="V6" s="3783"/>
      <c r="W6" s="3783"/>
      <c r="X6" s="1353"/>
      <c r="Y6" s="3781"/>
      <c r="Z6" s="3782"/>
      <c r="AA6" s="3754"/>
      <c r="AB6" s="3754"/>
      <c r="AC6" s="3754"/>
    </row>
    <row r="7" spans="1:29" s="108" customFormat="1" ht="15.75" thickBot="1">
      <c r="A7" s="362" t="s">
        <v>1679</v>
      </c>
      <c r="B7" s="363"/>
      <c r="C7" s="364">
        <f>'数据-取费表'!B2</f>
        <v>45062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55" t="s">
        <v>1680</v>
      </c>
      <c r="Q7" s="3784"/>
      <c r="R7" s="699" t="s">
        <v>14</v>
      </c>
      <c r="S7" s="700">
        <f t="shared" ref="S7:S15" si="0">F7</f>
        <v>0</v>
      </c>
      <c r="T7" s="699" t="s">
        <v>14</v>
      </c>
      <c r="U7" s="700">
        <f t="shared" ref="U7:U15" si="1">H7</f>
        <v>0</v>
      </c>
      <c r="V7" s="699" t="s">
        <v>14</v>
      </c>
      <c r="W7" s="700">
        <f t="shared" ref="W7:W15" si="2">J7</f>
        <v>0</v>
      </c>
      <c r="X7" s="701"/>
      <c r="Y7" s="3755" t="s">
        <v>1680</v>
      </c>
      <c r="Z7" s="375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5" t="s">
        <v>1683</v>
      </c>
      <c r="Q8" s="3756"/>
      <c r="R8" s="699" t="s">
        <v>14</v>
      </c>
      <c r="S8" s="700">
        <f t="shared" si="0"/>
        <v>0</v>
      </c>
      <c r="T8" s="699" t="s">
        <v>14</v>
      </c>
      <c r="U8" s="700">
        <f t="shared" si="1"/>
        <v>0</v>
      </c>
      <c r="V8" s="699" t="s">
        <v>14</v>
      </c>
      <c r="W8" s="700">
        <f t="shared" si="2"/>
        <v>0</v>
      </c>
      <c r="X8" s="701"/>
      <c r="Y8" s="3755" t="s">
        <v>1683</v>
      </c>
      <c r="Z8" s="375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88" t="s">
        <v>1686</v>
      </c>
      <c r="Q9" s="1341" t="str">
        <f t="shared" ref="Q9:Q15" si="6">B9</f>
        <v>用途</v>
      </c>
      <c r="R9" s="699" t="s">
        <v>14</v>
      </c>
      <c r="S9" s="700">
        <f t="shared" si="0"/>
        <v>100</v>
      </c>
      <c r="T9" s="699" t="s">
        <v>14</v>
      </c>
      <c r="U9" s="700">
        <f t="shared" si="1"/>
        <v>100</v>
      </c>
      <c r="V9" s="699" t="s">
        <v>14</v>
      </c>
      <c r="W9" s="700">
        <f t="shared" si="2"/>
        <v>100</v>
      </c>
      <c r="X9" s="701"/>
      <c r="Y9" s="370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7"/>
      <c r="M10" s="2718"/>
      <c r="N10" s="2718"/>
      <c r="O10" s="2771"/>
      <c r="P10" s="3788"/>
      <c r="Q10" s="1341" t="str">
        <f t="shared" si="6"/>
        <v>土地使用年限（年）</v>
      </c>
      <c r="R10" s="699" t="s">
        <v>14</v>
      </c>
      <c r="S10" s="700" t="e">
        <f t="shared" si="0"/>
        <v>#DIV/0!</v>
      </c>
      <c r="T10" s="699" t="s">
        <v>14</v>
      </c>
      <c r="U10" s="700" t="e">
        <f t="shared" si="1"/>
        <v>#DIV/0!</v>
      </c>
      <c r="V10" s="699" t="s">
        <v>14</v>
      </c>
      <c r="W10" s="700" t="e">
        <f t="shared" si="2"/>
        <v>#DIV/0!</v>
      </c>
      <c r="X10" s="701"/>
      <c r="Y10" s="3702"/>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88"/>
      <c r="Q11" s="1341" t="str">
        <f t="shared" si="6"/>
        <v>容积率</v>
      </c>
      <c r="R11" s="699" t="s">
        <v>14</v>
      </c>
      <c r="S11" s="700" t="e">
        <f t="shared" si="0"/>
        <v>#N/A</v>
      </c>
      <c r="T11" s="699" t="s">
        <v>14</v>
      </c>
      <c r="U11" s="700" t="e">
        <f t="shared" si="1"/>
        <v>#N/A</v>
      </c>
      <c r="V11" s="699" t="s">
        <v>14</v>
      </c>
      <c r="W11" s="700" t="e">
        <f t="shared" si="2"/>
        <v>#N/A</v>
      </c>
      <c r="X11" s="701"/>
      <c r="Y11" s="370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88"/>
      <c r="Q12" s="1341">
        <f t="shared" si="6"/>
        <v>111</v>
      </c>
      <c r="R12" s="699" t="s">
        <v>14</v>
      </c>
      <c r="S12" s="700">
        <f t="shared" si="0"/>
        <v>100</v>
      </c>
      <c r="T12" s="699" t="s">
        <v>14</v>
      </c>
      <c r="U12" s="700">
        <f t="shared" si="1"/>
        <v>100</v>
      </c>
      <c r="V12" s="699" t="s">
        <v>14</v>
      </c>
      <c r="W12" s="700">
        <f t="shared" si="2"/>
        <v>100</v>
      </c>
      <c r="X12" s="701"/>
      <c r="Y12" s="370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88"/>
      <c r="Q13" s="1341">
        <f t="shared" si="6"/>
        <v>111</v>
      </c>
      <c r="R13" s="699" t="s">
        <v>14</v>
      </c>
      <c r="S13" s="700">
        <f t="shared" si="0"/>
        <v>100</v>
      </c>
      <c r="T13" s="699" t="s">
        <v>14</v>
      </c>
      <c r="U13" s="700">
        <f t="shared" si="1"/>
        <v>100</v>
      </c>
      <c r="V13" s="699" t="s">
        <v>14</v>
      </c>
      <c r="W13" s="700">
        <f t="shared" si="2"/>
        <v>100</v>
      </c>
      <c r="X13" s="701"/>
      <c r="Y13" s="370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88"/>
      <c r="Q14" s="1341">
        <f t="shared" si="6"/>
        <v>111</v>
      </c>
      <c r="R14" s="699" t="s">
        <v>14</v>
      </c>
      <c r="S14" s="700">
        <f t="shared" si="0"/>
        <v>100</v>
      </c>
      <c r="T14" s="699" t="s">
        <v>14</v>
      </c>
      <c r="U14" s="700">
        <f t="shared" si="1"/>
        <v>100</v>
      </c>
      <c r="V14" s="699" t="s">
        <v>14</v>
      </c>
      <c r="W14" s="700">
        <f t="shared" si="2"/>
        <v>100</v>
      </c>
      <c r="X14" s="701"/>
      <c r="Y14" s="3702"/>
      <c r="Z14" s="52">
        <f t="shared" si="7"/>
        <v>111</v>
      </c>
      <c r="AA14" s="702">
        <f t="shared" si="3"/>
        <v>1</v>
      </c>
      <c r="AB14" s="702">
        <f t="shared" si="4"/>
        <v>1</v>
      </c>
      <c r="AC14" s="702">
        <f t="shared" si="5"/>
        <v>1</v>
      </c>
    </row>
    <row r="15" spans="1:29" ht="15">
      <c r="A15" s="391" t="s">
        <v>1690</v>
      </c>
      <c r="B15" s="576"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90" t="s">
        <v>1691</v>
      </c>
      <c r="Q15" s="1350" t="str">
        <f t="shared" si="6"/>
        <v>产业集聚程度</v>
      </c>
      <c r="R15" s="703" t="s">
        <v>14</v>
      </c>
      <c r="S15" s="704">
        <f t="shared" si="0"/>
        <v>100</v>
      </c>
      <c r="T15" s="703" t="s">
        <v>14</v>
      </c>
      <c r="U15" s="704">
        <f t="shared" si="1"/>
        <v>100</v>
      </c>
      <c r="V15" s="703" t="s">
        <v>14</v>
      </c>
      <c r="W15" s="704">
        <f t="shared" si="2"/>
        <v>100</v>
      </c>
      <c r="X15" s="1353"/>
      <c r="Y15" s="3790"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791"/>
      <c r="Q16" s="1350"/>
      <c r="R16" s="703"/>
      <c r="S16" s="704"/>
      <c r="T16" s="703"/>
      <c r="U16" s="704"/>
      <c r="V16" s="703"/>
      <c r="W16" s="704"/>
      <c r="X16" s="1353"/>
      <c r="Y16" s="3791"/>
      <c r="Z16" s="1354"/>
      <c r="AA16" s="1351">
        <v>1</v>
      </c>
      <c r="AB16" s="1351">
        <v>1</v>
      </c>
      <c r="AC16" s="1351">
        <v>1</v>
      </c>
    </row>
    <row r="17" spans="1:29" ht="15">
      <c r="A17" s="379"/>
      <c r="B17" s="578"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91"/>
      <c r="Q17" s="1350" t="str">
        <f>B17</f>
        <v>交通便捷度</v>
      </c>
      <c r="R17" s="703" t="s">
        <v>14</v>
      </c>
      <c r="S17" s="704">
        <f>F17</f>
        <v>100</v>
      </c>
      <c r="T17" s="703" t="s">
        <v>14</v>
      </c>
      <c r="U17" s="704">
        <f>H17</f>
        <v>100</v>
      </c>
      <c r="V17" s="703" t="s">
        <v>14</v>
      </c>
      <c r="W17" s="704">
        <f>J17</f>
        <v>100</v>
      </c>
      <c r="X17" s="1353"/>
      <c r="Y17" s="3791"/>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791"/>
      <c r="Q18" s="1350"/>
      <c r="R18" s="703"/>
      <c r="S18" s="704"/>
      <c r="T18" s="703"/>
      <c r="U18" s="704"/>
      <c r="V18" s="703"/>
      <c r="W18" s="704"/>
      <c r="X18" s="1353"/>
      <c r="Y18" s="3791"/>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91"/>
      <c r="Q19" s="1350" t="str">
        <f t="shared" ref="Q19:Q33" si="8">B19</f>
        <v>区域土地利用方向</v>
      </c>
      <c r="R19" s="703" t="s">
        <v>14</v>
      </c>
      <c r="S19" s="704">
        <f>F19</f>
        <v>100</v>
      </c>
      <c r="T19" s="703" t="s">
        <v>14</v>
      </c>
      <c r="U19" s="704">
        <f>H19</f>
        <v>100</v>
      </c>
      <c r="V19" s="703" t="s">
        <v>14</v>
      </c>
      <c r="W19" s="704">
        <f>J19</f>
        <v>100</v>
      </c>
      <c r="X19" s="1353"/>
      <c r="Y19" s="3791"/>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20"/>
      <c r="M20" s="2714"/>
      <c r="N20" s="2714"/>
      <c r="O20" s="2772"/>
      <c r="P20" s="3791"/>
      <c r="Q20" s="1350"/>
      <c r="R20" s="703"/>
      <c r="S20" s="704"/>
      <c r="T20" s="703"/>
      <c r="U20" s="704"/>
      <c r="V20" s="703"/>
      <c r="W20" s="704"/>
      <c r="X20" s="1353"/>
      <c r="Y20" s="3791"/>
      <c r="Z20" s="1354"/>
      <c r="AA20" s="1351"/>
      <c r="AB20" s="1351"/>
      <c r="AC20" s="1351"/>
    </row>
    <row r="21" spans="1:29" ht="15">
      <c r="A21" s="358"/>
      <c r="B21" s="578"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91"/>
      <c r="Q21" s="1350" t="str">
        <f t="shared" si="8"/>
        <v>环境状况</v>
      </c>
      <c r="R21" s="703" t="s">
        <v>14</v>
      </c>
      <c r="S21" s="704">
        <f>F21</f>
        <v>100</v>
      </c>
      <c r="T21" s="703" t="s">
        <v>14</v>
      </c>
      <c r="U21" s="704">
        <f>H21</f>
        <v>100</v>
      </c>
      <c r="V21" s="703" t="s">
        <v>14</v>
      </c>
      <c r="W21" s="704">
        <f>J21</f>
        <v>100</v>
      </c>
      <c r="X21" s="1353"/>
      <c r="Y21" s="3791"/>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791"/>
      <c r="Q22" s="1350"/>
      <c r="R22" s="703"/>
      <c r="S22" s="704"/>
      <c r="T22" s="703"/>
      <c r="U22" s="704"/>
      <c r="V22" s="703"/>
      <c r="W22" s="704"/>
      <c r="X22" s="1353"/>
      <c r="Y22" s="3791"/>
      <c r="Z22" s="1354"/>
      <c r="AA22" s="1351">
        <v>1</v>
      </c>
      <c r="AB22" s="1351">
        <v>1</v>
      </c>
      <c r="AC22" s="1351">
        <v>1</v>
      </c>
    </row>
    <row r="23" spans="1:29" s="108" customFormat="1" ht="15">
      <c r="A23" s="596"/>
      <c r="B23" s="580"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91"/>
      <c r="Q23" s="1341" t="str">
        <f t="shared" si="8"/>
        <v>公共配套设施</v>
      </c>
      <c r="R23" s="699" t="s">
        <v>14</v>
      </c>
      <c r="S23" s="700">
        <f>F23</f>
        <v>100</v>
      </c>
      <c r="T23" s="699" t="s">
        <v>14</v>
      </c>
      <c r="U23" s="700">
        <f>H23</f>
        <v>100</v>
      </c>
      <c r="V23" s="699" t="s">
        <v>14</v>
      </c>
      <c r="W23" s="700">
        <f>J23</f>
        <v>100</v>
      </c>
      <c r="X23" s="701"/>
      <c r="Y23" s="3791"/>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791"/>
      <c r="Q24" s="1341"/>
      <c r="R24" s="699"/>
      <c r="S24" s="700"/>
      <c r="T24" s="699"/>
      <c r="U24" s="700"/>
      <c r="V24" s="699"/>
      <c r="W24" s="700"/>
      <c r="X24" s="701"/>
      <c r="Y24" s="3791"/>
      <c r="Z24" s="52"/>
      <c r="AA24" s="702">
        <v>1</v>
      </c>
      <c r="AB24" s="702">
        <v>1</v>
      </c>
      <c r="AC24" s="702">
        <v>1</v>
      </c>
    </row>
    <row r="25" spans="1:29" s="108" customFormat="1" ht="15">
      <c r="A25" s="596"/>
      <c r="B25" s="580"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91"/>
      <c r="Q25" s="1341" t="str">
        <f t="shared" ref="Q25" si="9">B25</f>
        <v>基础设施水平</v>
      </c>
      <c r="R25" s="699" t="s">
        <v>14</v>
      </c>
      <c r="S25" s="700">
        <f>F25</f>
        <v>100</v>
      </c>
      <c r="T25" s="699" t="s">
        <v>14</v>
      </c>
      <c r="U25" s="700">
        <f>H25</f>
        <v>100</v>
      </c>
      <c r="V25" s="699" t="s">
        <v>14</v>
      </c>
      <c r="W25" s="700">
        <f>J25</f>
        <v>100</v>
      </c>
      <c r="X25" s="701"/>
      <c r="Y25" s="3791"/>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791"/>
      <c r="Q26" s="1341"/>
      <c r="R26" s="699"/>
      <c r="S26" s="700"/>
      <c r="T26" s="699"/>
      <c r="U26" s="700"/>
      <c r="V26" s="699"/>
      <c r="W26" s="700"/>
      <c r="X26" s="701"/>
      <c r="Y26" s="3791"/>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9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91"/>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91"/>
      <c r="Q28" s="1350" t="str">
        <f t="shared" si="8"/>
        <v>毗邻道路的类型与等级</v>
      </c>
      <c r="R28" s="703" t="s">
        <v>14</v>
      </c>
      <c r="S28" s="704">
        <f t="shared" si="10"/>
        <v>100</v>
      </c>
      <c r="T28" s="703" t="s">
        <v>14</v>
      </c>
      <c r="U28" s="704">
        <f t="shared" si="11"/>
        <v>100</v>
      </c>
      <c r="V28" s="703" t="s">
        <v>14</v>
      </c>
      <c r="W28" s="704">
        <f t="shared" si="12"/>
        <v>100</v>
      </c>
      <c r="X28" s="1353"/>
      <c r="Y28" s="3791"/>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791"/>
      <c r="Q29" s="1350"/>
      <c r="R29" s="703"/>
      <c r="S29" s="704"/>
      <c r="T29" s="703"/>
      <c r="U29" s="704"/>
      <c r="V29" s="703"/>
      <c r="W29" s="704"/>
      <c r="X29" s="1353"/>
      <c r="Y29" s="3791"/>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91"/>
      <c r="Q30" s="1350" t="str">
        <f t="shared" si="8"/>
        <v>土地级别</v>
      </c>
      <c r="R30" s="703" t="s">
        <v>14</v>
      </c>
      <c r="S30" s="704">
        <f t="shared" si="10"/>
        <v>100</v>
      </c>
      <c r="T30" s="703" t="s">
        <v>14</v>
      </c>
      <c r="U30" s="704">
        <f t="shared" si="11"/>
        <v>100</v>
      </c>
      <c r="V30" s="703" t="s">
        <v>14</v>
      </c>
      <c r="W30" s="704">
        <f t="shared" si="12"/>
        <v>100</v>
      </c>
      <c r="X30" s="1353"/>
      <c r="Y30" s="3791"/>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91"/>
      <c r="Q31" s="1350">
        <f t="shared" si="8"/>
        <v>111</v>
      </c>
      <c r="R31" s="703" t="s">
        <v>14</v>
      </c>
      <c r="S31" s="704">
        <f t="shared" si="10"/>
        <v>100</v>
      </c>
      <c r="T31" s="703" t="s">
        <v>14</v>
      </c>
      <c r="U31" s="704">
        <f t="shared" si="11"/>
        <v>100</v>
      </c>
      <c r="V31" s="703" t="s">
        <v>14</v>
      </c>
      <c r="W31" s="704">
        <f t="shared" si="12"/>
        <v>100</v>
      </c>
      <c r="X31" s="1353"/>
      <c r="Y31" s="3791"/>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814" t="s">
        <v>1696</v>
      </c>
      <c r="Q32" s="1350">
        <f t="shared" si="8"/>
        <v>111</v>
      </c>
      <c r="R32" s="703" t="s">
        <v>14</v>
      </c>
      <c r="S32" s="704">
        <f t="shared" si="10"/>
        <v>100</v>
      </c>
      <c r="T32" s="703" t="s">
        <v>14</v>
      </c>
      <c r="U32" s="704">
        <f t="shared" si="11"/>
        <v>100</v>
      </c>
      <c r="V32" s="703" t="s">
        <v>14</v>
      </c>
      <c r="W32" s="704">
        <f t="shared" si="12"/>
        <v>100</v>
      </c>
      <c r="X32" s="1353"/>
      <c r="Y32" s="3795"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95"/>
      <c r="Q33" s="1350">
        <f t="shared" si="8"/>
        <v>111</v>
      </c>
      <c r="R33" s="706" t="s">
        <v>14</v>
      </c>
      <c r="S33" s="707">
        <f t="shared" si="10"/>
        <v>100</v>
      </c>
      <c r="T33" s="706" t="s">
        <v>14</v>
      </c>
      <c r="U33" s="707">
        <f t="shared" si="11"/>
        <v>100</v>
      </c>
      <c r="V33" s="706" t="s">
        <v>14</v>
      </c>
      <c r="W33" s="707">
        <f t="shared" si="12"/>
        <v>100</v>
      </c>
      <c r="X33" s="708"/>
      <c r="Y33" s="3795"/>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95"/>
      <c r="Q34" s="1350" t="str">
        <f>B34</f>
        <v>宗地面积</v>
      </c>
      <c r="R34" s="703" t="s">
        <v>14</v>
      </c>
      <c r="S34" s="704" t="e">
        <f t="shared" si="10"/>
        <v>#N/A</v>
      </c>
      <c r="T34" s="703" t="s">
        <v>14</v>
      </c>
      <c r="U34" s="704" t="e">
        <f t="shared" si="11"/>
        <v>#N/A</v>
      </c>
      <c r="V34" s="703" t="s">
        <v>14</v>
      </c>
      <c r="W34" s="704" t="e">
        <f t="shared" si="12"/>
        <v>#N/A</v>
      </c>
      <c r="X34" s="1353"/>
      <c r="Y34" s="379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95"/>
      <c r="Q35" s="1350" t="str">
        <f t="shared" ref="Q35:Q40" si="14">B35</f>
        <v>宗地形状</v>
      </c>
      <c r="R35" s="703" t="s">
        <v>14</v>
      </c>
      <c r="S35" s="704">
        <f t="shared" si="10"/>
        <v>100</v>
      </c>
      <c r="T35" s="703" t="s">
        <v>14</v>
      </c>
      <c r="U35" s="704">
        <f t="shared" si="11"/>
        <v>100</v>
      </c>
      <c r="V35" s="703" t="s">
        <v>14</v>
      </c>
      <c r="W35" s="704">
        <f t="shared" si="12"/>
        <v>100</v>
      </c>
      <c r="X35" s="1353"/>
      <c r="Y35" s="379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95"/>
      <c r="Q36" s="1350" t="str">
        <f t="shared" si="14"/>
        <v>宗地开发程度</v>
      </c>
      <c r="R36" s="699" t="s">
        <v>14</v>
      </c>
      <c r="S36" s="700">
        <f t="shared" si="10"/>
        <v>100</v>
      </c>
      <c r="T36" s="699" t="s">
        <v>14</v>
      </c>
      <c r="U36" s="700">
        <f t="shared" si="11"/>
        <v>100</v>
      </c>
      <c r="V36" s="699" t="s">
        <v>14</v>
      </c>
      <c r="W36" s="700">
        <f t="shared" si="12"/>
        <v>100</v>
      </c>
      <c r="X36" s="701"/>
      <c r="Y36" s="379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95" t="s">
        <v>1696</v>
      </c>
      <c r="Q37" s="1350" t="str">
        <f t="shared" si="14"/>
        <v>工程地质条件</v>
      </c>
      <c r="R37" s="703" t="s">
        <v>14</v>
      </c>
      <c r="S37" s="704">
        <f t="shared" si="10"/>
        <v>100</v>
      </c>
      <c r="T37" s="703" t="s">
        <v>14</v>
      </c>
      <c r="U37" s="704">
        <f t="shared" si="11"/>
        <v>100</v>
      </c>
      <c r="V37" s="703" t="s">
        <v>14</v>
      </c>
      <c r="W37" s="704">
        <f t="shared" si="12"/>
        <v>100</v>
      </c>
      <c r="X37" s="1353"/>
      <c r="Y37" s="3795"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95"/>
      <c r="Q38" s="1350">
        <f t="shared" si="14"/>
        <v>111</v>
      </c>
      <c r="R38" s="703" t="s">
        <v>14</v>
      </c>
      <c r="S38" s="704">
        <f t="shared" si="10"/>
        <v>100</v>
      </c>
      <c r="T38" s="703" t="s">
        <v>14</v>
      </c>
      <c r="U38" s="704">
        <f t="shared" si="11"/>
        <v>100</v>
      </c>
      <c r="V38" s="703" t="s">
        <v>14</v>
      </c>
      <c r="W38" s="704">
        <f t="shared" si="12"/>
        <v>100</v>
      </c>
      <c r="X38" s="1353"/>
      <c r="Y38" s="3795"/>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95"/>
      <c r="Q39" s="1350">
        <f t="shared" si="14"/>
        <v>111</v>
      </c>
      <c r="R39" s="703" t="s">
        <v>14</v>
      </c>
      <c r="S39" s="704">
        <f t="shared" si="10"/>
        <v>100</v>
      </c>
      <c r="T39" s="703" t="s">
        <v>14</v>
      </c>
      <c r="U39" s="704">
        <f t="shared" si="11"/>
        <v>100</v>
      </c>
      <c r="V39" s="703" t="s">
        <v>14</v>
      </c>
      <c r="W39" s="704">
        <f t="shared" si="12"/>
        <v>100</v>
      </c>
      <c r="X39" s="1353"/>
      <c r="Y39" s="3795"/>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95"/>
      <c r="Q40" s="1350">
        <f t="shared" si="14"/>
        <v>111</v>
      </c>
      <c r="R40" s="706" t="s">
        <v>14</v>
      </c>
      <c r="S40" s="707">
        <f t="shared" si="10"/>
        <v>100</v>
      </c>
      <c r="T40" s="706" t="s">
        <v>14</v>
      </c>
      <c r="U40" s="707">
        <f t="shared" si="11"/>
        <v>100</v>
      </c>
      <c r="V40" s="706" t="s">
        <v>14</v>
      </c>
      <c r="W40" s="707">
        <f t="shared" si="12"/>
        <v>100</v>
      </c>
      <c r="X40" s="708"/>
      <c r="Y40" s="3795"/>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2"/>
      <c r="M41" s="2714"/>
      <c r="N41" s="2714"/>
      <c r="O41" s="2723"/>
      <c r="P41" s="3788" t="str">
        <f>A41</f>
        <v>成交单价</v>
      </c>
      <c r="Q41" s="3788"/>
      <c r="R41" s="3783">
        <f>E41</f>
        <v>0</v>
      </c>
      <c r="S41" s="3783"/>
      <c r="T41" s="3783">
        <f>G41</f>
        <v>0</v>
      </c>
      <c r="U41" s="3783"/>
      <c r="V41" s="3783">
        <f>I41</f>
        <v>0</v>
      </c>
      <c r="W41" s="3783"/>
      <c r="X41" s="688"/>
      <c r="Y41" s="710"/>
      <c r="Z41" s="688"/>
      <c r="AA41" s="688"/>
      <c r="AB41" s="688"/>
      <c r="AC41" s="688"/>
    </row>
    <row r="42" spans="1:31" ht="15.75" thickBot="1">
      <c r="A42" s="437" t="s">
        <v>1793</v>
      </c>
      <c r="B42" s="630"/>
      <c r="C42" s="440" t="e">
        <f>R43</f>
        <v>#DIV/0!</v>
      </c>
      <c r="D42" s="2315" t="s">
        <v>2137</v>
      </c>
      <c r="E42" s="440" t="e">
        <f>R42</f>
        <v>#DIV/0!</v>
      </c>
      <c r="F42" s="2316"/>
      <c r="G42" s="439" t="e">
        <f>T42</f>
        <v>#DIV/0!</v>
      </c>
      <c r="H42" s="2316"/>
      <c r="I42" s="440" t="e">
        <f>V42</f>
        <v>#DIV/0!</v>
      </c>
      <c r="J42" s="2316"/>
      <c r="K42" s="2318">
        <f>F42+H42+J42</f>
        <v>0</v>
      </c>
      <c r="L42" s="2722"/>
      <c r="M42" s="2714"/>
      <c r="N42" s="2714"/>
      <c r="O42" s="2723"/>
      <c r="P42" s="3788" t="str">
        <f>A42</f>
        <v>比较价值（元/平方米）</v>
      </c>
      <c r="Q42" s="3788"/>
      <c r="R42" s="3816" t="e">
        <f>ROUND(PRODUCT(R41,AA7:AA40),0)</f>
        <v>#DIV/0!</v>
      </c>
      <c r="S42" s="3816"/>
      <c r="T42" s="3816" t="e">
        <f>ROUND(PRODUCT(T41,AB7:AB40),0)</f>
        <v>#DIV/0!</v>
      </c>
      <c r="U42" s="3816"/>
      <c r="V42" s="3816" t="e">
        <f>ROUND(PRODUCT(V41,AC7:AC40),0)</f>
        <v>#DIV/0!</v>
      </c>
      <c r="W42" s="381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85" t="str">
        <f>A43</f>
        <v>估价对象XX用房的比较价值（楼面单价，元/平方米）</v>
      </c>
      <c r="Q43" s="3786"/>
      <c r="R43" s="3817" t="e">
        <f>ROUND(IF(D42="简单平均",AVERAGE(R42:W42),R42*F42+T42*H42+V42*J42),0)</f>
        <v>#DIV/0!</v>
      </c>
      <c r="S43" s="3817"/>
      <c r="T43" s="3817"/>
      <c r="U43" s="3817"/>
      <c r="V43" s="3817"/>
      <c r="W43" s="381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71" t="s">
        <v>1887</v>
      </c>
      <c r="H50" s="381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408.56</v>
      </c>
      <c r="F51" s="638" t="e">
        <f t="shared" ref="F51:F60" si="15">ROUND(B51*E51/10000,0)</f>
        <v>#DIV/0!</v>
      </c>
      <c r="G51" s="3770"/>
      <c r="H51" s="378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3">
        <v>0.25</v>
      </c>
      <c r="E52" s="641"/>
      <c r="F52" s="638" t="e">
        <f t="shared" si="15"/>
        <v>#DIV/0!</v>
      </c>
      <c r="G52" s="3004" t="s">
        <v>1892</v>
      </c>
      <c r="H52" s="885" t="str">
        <f>项目基本情况!B37</f>
        <v>五级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3">
        <v>0.25</v>
      </c>
      <c r="E53" s="641"/>
      <c r="F53" s="638" t="e">
        <f t="shared" si="15"/>
        <v>#DIV/0!</v>
      </c>
      <c r="G53" s="3005"/>
      <c r="H53" s="885" t="str">
        <f>项目基本情况!B37</f>
        <v>五级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3">
        <v>0.25</v>
      </c>
      <c r="E54" s="641"/>
      <c r="F54" s="638" t="e">
        <f t="shared" si="15"/>
        <v>#DIV/0!</v>
      </c>
      <c r="G54" s="3005"/>
      <c r="H54" s="885" t="str">
        <f>项目基本情况!B37</f>
        <v>五级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3">
        <v>0.25</v>
      </c>
      <c r="E59" s="217">
        <f>'数据-汇总表'!E14</f>
        <v>0</v>
      </c>
      <c r="F59" s="638" t="e">
        <f t="shared" si="15"/>
        <v>#DIV/0!</v>
      </c>
      <c r="G59" s="1985" t="s">
        <v>1892</v>
      </c>
      <c r="H59" s="885" t="str">
        <f>项目基本情况!B37</f>
        <v>五级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826" t="s">
        <v>2084</v>
      </c>
      <c r="D1" s="3827"/>
      <c r="E1" s="3827"/>
      <c r="F1" s="3827"/>
      <c r="G1" s="3827"/>
      <c r="H1" s="3827"/>
      <c r="I1" s="3827"/>
      <c r="J1" s="3827"/>
      <c r="K1" s="3827"/>
      <c r="L1" s="3827"/>
      <c r="M1" s="3827"/>
      <c r="N1" s="3827"/>
      <c r="O1" s="3827"/>
      <c r="P1" s="3827"/>
      <c r="Q1" s="3827"/>
      <c r="R1" s="3827"/>
      <c r="S1" s="3828"/>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500(含)-1000</v>
      </c>
      <c r="G2" s="652" t="str">
        <f t="shared" si="0"/>
        <v>1000(含)-2000</v>
      </c>
      <c r="H2" s="652" t="str">
        <f t="shared" si="0"/>
        <v>2000(含)-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300</v>
      </c>
      <c r="F3" s="656">
        <f>'比较法-商业'!F103</f>
        <v>500</v>
      </c>
      <c r="G3" s="656">
        <f>'比较法-商业'!G103</f>
        <v>1000</v>
      </c>
      <c r="H3" s="656">
        <f>'比较法-商业'!H103</f>
        <v>2000</v>
      </c>
      <c r="I3" s="656"/>
      <c r="J3" s="656"/>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987"/>
      <c r="J4" s="98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负1层</v>
      </c>
      <c r="F17" s="1008" t="str">
        <f>'比较法-商业'!F92</f>
        <v>1拖负1层</v>
      </c>
      <c r="G17" s="1008" t="str">
        <f>'比较法-商业'!G92</f>
        <v>1-2层</v>
      </c>
      <c r="H17" s="1008"/>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60</v>
      </c>
      <c r="F18" s="1020">
        <f>'比较法-商业'!F93</f>
        <v>80</v>
      </c>
      <c r="G18" s="1020">
        <f>'比较法-商业'!G93</f>
        <v>85</v>
      </c>
      <c r="H18" s="1020"/>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1437.58</v>
      </c>
      <c r="C22" s="3823" t="s">
        <v>27</v>
      </c>
      <c r="D22" s="3824"/>
      <c r="E22" s="3824"/>
      <c r="F22" s="3824"/>
      <c r="G22" s="3824"/>
      <c r="H22" s="3824"/>
      <c r="I22" s="3824"/>
      <c r="J22" s="3824"/>
      <c r="K22" s="3824"/>
      <c r="L22" s="3824"/>
      <c r="M22" s="3824"/>
      <c r="N22" s="3824"/>
      <c r="O22" s="3824"/>
      <c r="P22" s="3824"/>
      <c r="Q22" s="3825"/>
      <c r="R22" s="661">
        <f>ROUND(S22*10000/B22,0)</f>
        <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542" t="s">
        <v>3589</v>
      </c>
      <c r="B24" s="663">
        <f>'数据-基础表'!I13</f>
        <v>408.56</v>
      </c>
      <c r="C24" s="2808">
        <v>1</v>
      </c>
      <c r="D24" s="2809"/>
      <c r="E24" s="2808">
        <v>1</v>
      </c>
      <c r="F24" s="2809"/>
      <c r="G24" s="2808">
        <v>1</v>
      </c>
      <c r="H24" s="2809"/>
      <c r="I24" s="2808">
        <v>1</v>
      </c>
      <c r="J24" s="2809"/>
      <c r="K24" s="2808">
        <v>1</v>
      </c>
      <c r="L24" s="2809"/>
      <c r="M24" s="2808">
        <v>1</v>
      </c>
      <c r="N24" s="2809"/>
      <c r="O24" s="2808">
        <v>1</v>
      </c>
      <c r="P24" s="2809" t="s">
        <v>3409</v>
      </c>
      <c r="Q24" s="2808">
        <v>1</v>
      </c>
      <c r="R24" s="666">
        <f>'比较法-商业'!C49</f>
        <v>5.2</v>
      </c>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t="s">
        <v>3590</v>
      </c>
      <c r="B25" s="54">
        <f>'数据-基础表'!I14</f>
        <v>350.84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3409</v>
      </c>
      <c r="Q25" s="21">
        <f>(SUMIF($17:$17,P25,$18:$18)-SUMIF($17:$17,$P$24,$18:$18)+100)/100</f>
        <v>1</v>
      </c>
      <c r="R25" s="661">
        <f>IF(B25="",0,ROUND($R$24*C25*E25*G25*I25*K25*M25*O25*Q25,0))</f>
        <v>5</v>
      </c>
      <c r="S25" s="316">
        <f t="shared" si="11"/>
        <v>0</v>
      </c>
    </row>
    <row r="26" spans="1:45">
      <c r="A26" s="150" t="s">
        <v>3591</v>
      </c>
      <c r="B26" s="54">
        <f>'数据-基础表'!I15</f>
        <v>333.04</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t="s">
        <v>3593</v>
      </c>
      <c r="Q26" s="21">
        <f t="shared" ref="Q26:Q89" si="19">(SUMIF($17:$17,P26,$18:$18)-SUMIF($17:$17,$P$24,$18:$18)+100)/100</f>
        <v>0.7</v>
      </c>
      <c r="R26" s="661">
        <f t="shared" ref="R26:R89" si="20">IF(B26="",0,ROUND($R$24*C26*E26*G26*I26*K26*M26*O26*Q26,0))</f>
        <v>4</v>
      </c>
      <c r="S26" s="316">
        <f t="shared" si="11"/>
        <v>0</v>
      </c>
      <c r="T26" s="723">
        <f>ROUND(R24*0.7,1)</f>
        <v>3.6</v>
      </c>
      <c r="U26" s="723">
        <f>ROUND(T26*0.9,1)</f>
        <v>3.2</v>
      </c>
      <c r="V26" s="723">
        <f>ROUND(T26*1.1,1)</f>
        <v>4</v>
      </c>
    </row>
    <row r="27" spans="1:45">
      <c r="A27" s="150" t="s">
        <v>3592</v>
      </c>
      <c r="B27" s="54">
        <f>'数据-基础表'!I16</f>
        <v>345.14</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3593</v>
      </c>
      <c r="Q27" s="21">
        <f t="shared" si="19"/>
        <v>0.7</v>
      </c>
      <c r="R27" s="661">
        <f t="shared" si="20"/>
        <v>4</v>
      </c>
      <c r="S27" s="316">
        <f t="shared" si="11"/>
        <v>0</v>
      </c>
      <c r="T27" s="723">
        <f>ROUND(R24*0.7,1)</f>
        <v>3.6</v>
      </c>
      <c r="U27" s="723">
        <f>ROUND(T27*0.9,1)</f>
        <v>3.2</v>
      </c>
      <c r="V27" s="723">
        <f>ROUND(T27*1.1,1)</f>
        <v>4</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447</v>
      </c>
      <c r="C2" s="2143" t="s">
        <v>2074</v>
      </c>
      <c r="D2" s="2143" t="s">
        <v>2075</v>
      </c>
      <c r="E2" s="2610">
        <f ca="1">SUMIF(E6:E13,"&lt;&gt;#ref!",E6:E13)</f>
        <v>408.56</v>
      </c>
      <c r="F2" s="2791"/>
      <c r="G2" s="2791"/>
      <c r="H2" s="2791"/>
      <c r="I2" s="2791"/>
      <c r="J2" s="2791"/>
      <c r="K2" s="2791"/>
      <c r="L2" s="2791"/>
      <c r="M2" s="2791"/>
      <c r="N2" s="2791"/>
      <c r="O2" s="2791"/>
      <c r="P2" s="2791"/>
    </row>
    <row r="3" spans="1:16" ht="15.75">
      <c r="A3" s="2143" t="s">
        <v>2076</v>
      </c>
      <c r="B3" s="2600">
        <f ca="1">ROUND(B2*10000/E2,0)</f>
        <v>10941</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447</v>
      </c>
      <c r="C6" s="2143" t="s">
        <v>2074</v>
      </c>
      <c r="D6" s="2791"/>
      <c r="E6" s="2610">
        <f ca="1">SUMIF(INDIRECT("'"&amp;A6&amp;"'"&amp;"!C:C"),"建筑面积",INDIRECT("'"&amp;A6&amp;"'"&amp;"!D:D"))</f>
        <v>408.56</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2587</v>
      </c>
      <c r="B1" s="3070" t="s">
        <v>2588</v>
      </c>
      <c r="C1" s="3070" t="s">
        <v>2589</v>
      </c>
      <c r="D1" s="3070" t="s">
        <v>2590</v>
      </c>
      <c r="E1" s="3070" t="s">
        <v>2591</v>
      </c>
      <c r="F1" s="3070" t="s">
        <v>2592</v>
      </c>
      <c r="G1" s="3070" t="s">
        <v>2593</v>
      </c>
      <c r="H1" s="3070" t="s">
        <v>2594</v>
      </c>
      <c r="I1" s="3070" t="s">
        <v>2595</v>
      </c>
      <c r="J1" s="3070" t="s">
        <v>2596</v>
      </c>
      <c r="K1" s="3070" t="s">
        <v>2597</v>
      </c>
      <c r="L1" s="3070" t="s">
        <v>2598</v>
      </c>
      <c r="M1" s="3071" t="s">
        <v>2599</v>
      </c>
    </row>
    <row r="2" spans="1:13" ht="19.5" customHeight="1">
      <c r="A2" s="3073" t="s">
        <v>2600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2616</v>
      </c>
      <c r="B18" s="3095"/>
      <c r="C18" s="3096"/>
      <c r="D18" s="3096"/>
      <c r="E18" s="3095"/>
      <c r="F18" s="3096"/>
      <c r="G18" s="3096"/>
    </row>
    <row r="19" spans="1:13" ht="19.5" customHeight="1" thickBot="1">
      <c r="A19" s="3093" t="s">
        <v>2617</v>
      </c>
      <c r="B19" s="3098" t="s">
        <v>2618</v>
      </c>
      <c r="C19" s="3098" t="s">
        <v>2619</v>
      </c>
      <c r="D19" s="3099"/>
      <c r="E19" s="3093" t="s">
        <v>2620</v>
      </c>
      <c r="F19" s="3100"/>
      <c r="G19" s="3100"/>
    </row>
    <row r="20" spans="1:13" ht="19.5" customHeight="1">
      <c r="A20" s="3836" t="s">
        <v>2600</v>
      </c>
      <c r="B20" s="3829" t="s">
        <v>2621</v>
      </c>
      <c r="C20" s="3101" t="s">
        <v>2432</v>
      </c>
      <c r="D20" s="3102"/>
      <c r="E20" s="3103">
        <v>1</v>
      </c>
      <c r="F20" s="3104" t="s">
        <v>2433</v>
      </c>
      <c r="G20" s="3104"/>
    </row>
    <row r="21" spans="1:13" ht="19.5" customHeight="1">
      <c r="A21" s="3837"/>
      <c r="B21" s="3830"/>
      <c r="C21" s="3105" t="s">
        <v>2434</v>
      </c>
      <c r="D21" s="3106"/>
      <c r="E21" s="3107">
        <v>1</v>
      </c>
      <c r="F21" s="3104" t="s">
        <v>2435</v>
      </c>
      <c r="G21" s="3104"/>
    </row>
    <row r="22" spans="1:13" ht="19.5" customHeight="1">
      <c r="A22" s="3837"/>
      <c r="B22" s="3830"/>
      <c r="C22" s="3105" t="s">
        <v>2436</v>
      </c>
      <c r="D22" s="3106"/>
      <c r="E22" s="3107">
        <v>0.9</v>
      </c>
      <c r="F22" s="3104" t="s">
        <v>2437</v>
      </c>
      <c r="G22" s="3104"/>
    </row>
    <row r="23" spans="1:13" ht="19.5" customHeight="1">
      <c r="A23" s="3837"/>
      <c r="B23" s="3830"/>
      <c r="C23" s="3105" t="s">
        <v>2438</v>
      </c>
      <c r="D23" s="3106"/>
      <c r="E23" s="3107">
        <v>0.9</v>
      </c>
      <c r="F23" s="3104" t="s">
        <v>2439</v>
      </c>
      <c r="G23" s="3104"/>
    </row>
    <row r="24" spans="1:13" ht="19.5" customHeight="1">
      <c r="A24" s="3837"/>
      <c r="B24" s="3830"/>
      <c r="C24" s="3105" t="s">
        <v>2440</v>
      </c>
      <c r="D24" s="3106"/>
      <c r="E24" s="3107">
        <v>0.8</v>
      </c>
      <c r="F24" s="3104" t="s">
        <v>2441</v>
      </c>
      <c r="G24" s="3104"/>
    </row>
    <row r="25" spans="1:13" ht="19.5" customHeight="1" thickBot="1">
      <c r="A25" s="3838"/>
      <c r="B25" s="3831"/>
      <c r="C25" s="3108" t="s">
        <v>2442</v>
      </c>
      <c r="D25" s="3109"/>
      <c r="E25" s="3110">
        <v>0.8</v>
      </c>
      <c r="F25" s="3104" t="s">
        <v>2443</v>
      </c>
      <c r="G25" s="3104"/>
    </row>
    <row r="26" spans="1:13" ht="19.5" customHeight="1" thickBot="1">
      <c r="A26" s="3111" t="s">
        <v>2622</v>
      </c>
      <c r="B26" s="3112" t="s">
        <v>2621</v>
      </c>
      <c r="C26" s="3113" t="s">
        <v>2623</v>
      </c>
      <c r="D26" s="3114"/>
      <c r="E26" s="3115">
        <v>1</v>
      </c>
      <c r="F26" s="3104" t="s">
        <v>2444</v>
      </c>
      <c r="G26" s="3104"/>
    </row>
    <row r="27" spans="1:13" ht="19.5" customHeight="1">
      <c r="A27" s="3832" t="s">
        <v>2624</v>
      </c>
      <c r="B27" s="3829" t="s">
        <v>2605</v>
      </c>
      <c r="C27" s="3101" t="s">
        <v>2445</v>
      </c>
      <c r="D27" s="3102"/>
      <c r="E27" s="3103">
        <v>1</v>
      </c>
      <c r="F27" s="3104" t="s">
        <v>2446</v>
      </c>
      <c r="G27" s="3104"/>
    </row>
    <row r="28" spans="1:13" ht="19.5" customHeight="1">
      <c r="A28" s="3833"/>
      <c r="B28" s="3830"/>
      <c r="C28" s="3105" t="s">
        <v>2447</v>
      </c>
      <c r="D28" s="3106"/>
      <c r="E28" s="3107">
        <v>1</v>
      </c>
      <c r="F28" s="3104" t="s">
        <v>2448</v>
      </c>
      <c r="G28" s="3104"/>
    </row>
    <row r="29" spans="1:13" ht="19.5" customHeight="1">
      <c r="A29" s="3833"/>
      <c r="B29" s="3830"/>
      <c r="C29" s="3105" t="s">
        <v>2449</v>
      </c>
      <c r="D29" s="3106"/>
      <c r="E29" s="3107">
        <v>0.8</v>
      </c>
      <c r="F29" s="3104" t="s">
        <v>2450</v>
      </c>
      <c r="G29" s="3104"/>
    </row>
    <row r="30" spans="1:13" ht="19.5" customHeight="1">
      <c r="A30" s="3833"/>
      <c r="B30" s="3830"/>
      <c r="C30" s="3105" t="s">
        <v>2451</v>
      </c>
      <c r="D30" s="3106"/>
      <c r="E30" s="3107">
        <v>0.8</v>
      </c>
      <c r="F30" s="3104" t="s">
        <v>2452</v>
      </c>
      <c r="G30" s="3104"/>
    </row>
    <row r="31" spans="1:13" ht="19.5" customHeight="1">
      <c r="A31" s="3833"/>
      <c r="B31" s="3830"/>
      <c r="C31" s="3105" t="s">
        <v>2453</v>
      </c>
      <c r="D31" s="3106"/>
      <c r="E31" s="3107">
        <v>0.8</v>
      </c>
      <c r="F31" s="3104" t="s">
        <v>2454</v>
      </c>
      <c r="G31" s="3104"/>
    </row>
    <row r="32" spans="1:13" ht="19.5" customHeight="1">
      <c r="A32" s="3833"/>
      <c r="B32" s="3830"/>
      <c r="C32" s="3105" t="s">
        <v>2455</v>
      </c>
      <c r="D32" s="3106"/>
      <c r="E32" s="3107">
        <v>0.7</v>
      </c>
      <c r="F32" s="3104" t="s">
        <v>2456</v>
      </c>
      <c r="G32" s="3104"/>
    </row>
    <row r="33" spans="1:7" ht="19.5" customHeight="1">
      <c r="A33" s="3833"/>
      <c r="B33" s="3830"/>
      <c r="C33" s="3105" t="s">
        <v>2457</v>
      </c>
      <c r="D33" s="3106"/>
      <c r="E33" s="3107">
        <v>0.8</v>
      </c>
      <c r="F33" s="3104" t="s">
        <v>2458</v>
      </c>
      <c r="G33" s="3104"/>
    </row>
    <row r="34" spans="1:7" ht="19.5" customHeight="1">
      <c r="A34" s="3833"/>
      <c r="B34" s="3830"/>
      <c r="C34" s="3105" t="s">
        <v>2459</v>
      </c>
      <c r="D34" s="3106"/>
      <c r="E34" s="3107">
        <v>0.6</v>
      </c>
      <c r="F34" s="3104" t="s">
        <v>2460</v>
      </c>
      <c r="G34" s="3104"/>
    </row>
    <row r="35" spans="1:7" ht="19.5" customHeight="1">
      <c r="A35" s="3833"/>
      <c r="B35" s="3830"/>
      <c r="C35" s="3105" t="s">
        <v>2461</v>
      </c>
      <c r="D35" s="3106"/>
      <c r="E35" s="3107">
        <v>0.2</v>
      </c>
      <c r="F35" s="3104" t="s">
        <v>2462</v>
      </c>
      <c r="G35" s="3104"/>
    </row>
    <row r="36" spans="1:7" ht="19.5" customHeight="1">
      <c r="A36" s="3833"/>
      <c r="B36" s="3830"/>
      <c r="C36" s="3105" t="s">
        <v>2463</v>
      </c>
      <c r="D36" s="3106"/>
      <c r="E36" s="3107">
        <v>0.2</v>
      </c>
      <c r="F36" s="3104" t="s">
        <v>2464</v>
      </c>
      <c r="G36" s="3104"/>
    </row>
    <row r="37" spans="1:7" ht="19.5" customHeight="1">
      <c r="A37" s="3833"/>
      <c r="B37" s="3835" t="s">
        <v>2625</v>
      </c>
      <c r="C37" s="3105" t="s">
        <v>2465</v>
      </c>
      <c r="D37" s="3106"/>
      <c r="E37" s="3107">
        <v>0.6</v>
      </c>
      <c r="F37" s="3104" t="s">
        <v>2466</v>
      </c>
      <c r="G37" s="3104"/>
    </row>
    <row r="38" spans="1:7" ht="19.5" customHeight="1">
      <c r="A38" s="3833"/>
      <c r="B38" s="3830"/>
      <c r="C38" s="3105" t="s">
        <v>2467</v>
      </c>
      <c r="D38" s="3106"/>
      <c r="E38" s="3107">
        <v>0.6</v>
      </c>
      <c r="F38" s="3104" t="s">
        <v>2468</v>
      </c>
      <c r="G38" s="3104"/>
    </row>
    <row r="39" spans="1:7" ht="19.5" customHeight="1" thickBot="1">
      <c r="A39" s="3834"/>
      <c r="B39" s="3831"/>
      <c r="C39" s="3108" t="s">
        <v>2469</v>
      </c>
      <c r="D39" s="3109"/>
      <c r="E39" s="3110">
        <v>0.6</v>
      </c>
      <c r="F39" s="3104" t="s">
        <v>2470</v>
      </c>
      <c r="G39" s="3104"/>
    </row>
    <row r="40" spans="1:7" ht="19.5" customHeight="1" thickBot="1">
      <c r="A40" s="3111" t="s">
        <v>2602</v>
      </c>
      <c r="B40" s="3112" t="s">
        <v>2602</v>
      </c>
      <c r="C40" s="3113" t="s">
        <v>2626</v>
      </c>
      <c r="D40" s="3114"/>
      <c r="E40" s="3115">
        <v>1</v>
      </c>
      <c r="F40" s="3104" t="s">
        <v>2471</v>
      </c>
      <c r="G40" s="3104"/>
    </row>
    <row r="41" spans="1:7" ht="19.5" customHeight="1">
      <c r="A41" s="3836" t="s">
        <v>2603</v>
      </c>
      <c r="B41" s="3829" t="s">
        <v>2627</v>
      </c>
      <c r="C41" s="3101" t="s">
        <v>2472</v>
      </c>
      <c r="D41" s="3102"/>
      <c r="E41" s="3103">
        <v>1</v>
      </c>
      <c r="F41" s="3104" t="s">
        <v>2473</v>
      </c>
      <c r="G41" s="3104"/>
    </row>
    <row r="42" spans="1:7" ht="19.5" customHeight="1">
      <c r="A42" s="3837"/>
      <c r="B42" s="3830"/>
      <c r="C42" s="3105" t="s">
        <v>2474</v>
      </c>
      <c r="D42" s="3106"/>
      <c r="E42" s="3107">
        <v>1</v>
      </c>
      <c r="F42" s="3104" t="s">
        <v>2475</v>
      </c>
      <c r="G42" s="3104"/>
    </row>
    <row r="43" spans="1:7" ht="19.5" customHeight="1">
      <c r="A43" s="3837"/>
      <c r="B43" s="3839"/>
      <c r="C43" s="3105" t="s">
        <v>2476</v>
      </c>
      <c r="D43" s="3106"/>
      <c r="E43" s="3107">
        <v>1.5</v>
      </c>
      <c r="F43" s="3104" t="s">
        <v>2477</v>
      </c>
      <c r="G43" s="3104"/>
    </row>
    <row r="44" spans="1:7" ht="19.5" customHeight="1">
      <c r="A44" s="3837"/>
      <c r="B44" s="3116" t="s">
        <v>2628</v>
      </c>
      <c r="C44" s="3105" t="s">
        <v>2629</v>
      </c>
      <c r="D44" s="3106"/>
      <c r="E44" s="3107">
        <v>2</v>
      </c>
      <c r="F44" s="3104" t="s">
        <v>2478</v>
      </c>
      <c r="G44" s="3104"/>
    </row>
    <row r="45" spans="1:7" ht="19.5" customHeight="1">
      <c r="A45" s="3837"/>
      <c r="B45" s="3835" t="s">
        <v>2630</v>
      </c>
      <c r="C45" s="3105" t="s">
        <v>2479</v>
      </c>
      <c r="D45" s="3106"/>
      <c r="E45" s="3107">
        <v>1</v>
      </c>
      <c r="F45" s="3104" t="s">
        <v>2480</v>
      </c>
      <c r="G45" s="3104"/>
    </row>
    <row r="46" spans="1:7" ht="19.5" customHeight="1">
      <c r="A46" s="3837"/>
      <c r="B46" s="3830"/>
      <c r="C46" s="3105" t="s">
        <v>2481</v>
      </c>
      <c r="D46" s="3106"/>
      <c r="E46" s="3107">
        <v>1</v>
      </c>
      <c r="F46" s="3104" t="s">
        <v>2482</v>
      </c>
      <c r="G46" s="3104"/>
    </row>
    <row r="47" spans="1:7" ht="19.5" customHeight="1">
      <c r="A47" s="3837"/>
      <c r="B47" s="3830"/>
      <c r="C47" s="3105" t="s">
        <v>2483</v>
      </c>
      <c r="D47" s="3106"/>
      <c r="E47" s="3107">
        <v>1</v>
      </c>
      <c r="F47" s="3104" t="s">
        <v>2484</v>
      </c>
      <c r="G47" s="3104"/>
    </row>
    <row r="48" spans="1:7" ht="19.5" customHeight="1">
      <c r="A48" s="3837"/>
      <c r="B48" s="3830"/>
      <c r="C48" s="3105" t="s">
        <v>2485</v>
      </c>
      <c r="D48" s="3106"/>
      <c r="E48" s="3107">
        <v>1</v>
      </c>
      <c r="F48" s="3104" t="s">
        <v>2486</v>
      </c>
      <c r="G48" s="3104"/>
    </row>
    <row r="49" spans="1:7" ht="19.5" customHeight="1">
      <c r="A49" s="3837"/>
      <c r="B49" s="3830"/>
      <c r="C49" s="3105" t="s">
        <v>2487</v>
      </c>
      <c r="D49" s="3106"/>
      <c r="E49" s="3107">
        <v>1</v>
      </c>
      <c r="F49" s="3104" t="s">
        <v>2488</v>
      </c>
      <c r="G49" s="3104"/>
    </row>
    <row r="50" spans="1:7" ht="19.5" customHeight="1">
      <c r="A50" s="3837"/>
      <c r="B50" s="3830"/>
      <c r="C50" s="3105" t="s">
        <v>2489</v>
      </c>
      <c r="D50" s="3106"/>
      <c r="E50" s="3107">
        <v>1</v>
      </c>
      <c r="F50" s="3104" t="s">
        <v>2490</v>
      </c>
      <c r="G50" s="3104"/>
    </row>
    <row r="51" spans="1:7" ht="19.5" customHeight="1" thickBot="1">
      <c r="A51" s="3838"/>
      <c r="B51" s="3831"/>
      <c r="C51" s="3108" t="s">
        <v>2491</v>
      </c>
      <c r="D51" s="3109"/>
      <c r="E51" s="3110">
        <v>1</v>
      </c>
      <c r="F51" s="3104" t="s">
        <v>2492</v>
      </c>
      <c r="G51" s="3104"/>
    </row>
    <row r="52" spans="1:7" ht="19.5" customHeight="1">
      <c r="A52" s="3117"/>
      <c r="B52" s="3117"/>
      <c r="C52" s="3117"/>
      <c r="D52" s="3117"/>
      <c r="E52" s="3117"/>
      <c r="F52" s="3117"/>
      <c r="G52" s="3117"/>
    </row>
    <row r="54" spans="1:7" ht="19.5" customHeight="1">
      <c r="A54" s="3118"/>
      <c r="B54" s="3090" t="s">
        <v>2631</v>
      </c>
      <c r="C54" s="3090" t="s">
        <v>2631</v>
      </c>
      <c r="D54" s="3090" t="s">
        <v>2631</v>
      </c>
      <c r="E54" s="3093" t="s">
        <v>2631</v>
      </c>
      <c r="F54" s="3093" t="s">
        <v>2632</v>
      </c>
      <c r="G54" s="3093" t="s">
        <v>2633</v>
      </c>
    </row>
    <row r="55" spans="1:7" ht="19.5" customHeight="1">
      <c r="A55" s="3119"/>
      <c r="B55" s="3093" t="s">
        <v>2600</v>
      </c>
      <c r="C55" s="3093" t="s">
        <v>2600</v>
      </c>
      <c r="D55" s="3093" t="s">
        <v>2600</v>
      </c>
      <c r="E55" s="3090" t="s">
        <v>2601</v>
      </c>
      <c r="F55" s="3090" t="s">
        <v>2603</v>
      </c>
      <c r="G55" s="3090" t="s">
        <v>2634</v>
      </c>
    </row>
    <row r="56" spans="1:7" ht="19.5" customHeight="1">
      <c r="A56" s="3120"/>
      <c r="B56" s="3090">
        <v>1</v>
      </c>
      <c r="C56" s="3090">
        <v>2</v>
      </c>
      <c r="D56" s="3090">
        <v>3</v>
      </c>
      <c r="E56" s="3121" t="s">
        <v>2635</v>
      </c>
      <c r="F56" s="3121" t="s">
        <v>2635</v>
      </c>
      <c r="G56" s="3121" t="s">
        <v>2635</v>
      </c>
    </row>
    <row r="57" spans="1:7" ht="19.5" customHeight="1">
      <c r="A57" s="3122" t="s">
        <v>2588</v>
      </c>
      <c r="B57" s="3090">
        <v>0.7</v>
      </c>
      <c r="C57" s="3090">
        <v>0.4</v>
      </c>
      <c r="D57" s="3090">
        <v>0.3</v>
      </c>
      <c r="E57" s="3121">
        <v>0.3</v>
      </c>
      <c r="F57" s="3090">
        <v>0.3</v>
      </c>
      <c r="G57" s="3090">
        <v>0.2</v>
      </c>
    </row>
    <row r="58" spans="1:7" ht="19.5" customHeight="1">
      <c r="A58" s="3122" t="s">
        <v>2589</v>
      </c>
      <c r="B58" s="3090">
        <v>0.7</v>
      </c>
      <c r="C58" s="3090">
        <v>0.4</v>
      </c>
      <c r="D58" s="3090">
        <v>0.3</v>
      </c>
      <c r="E58" s="3090">
        <v>0.3</v>
      </c>
      <c r="F58" s="3090">
        <v>0.3</v>
      </c>
      <c r="G58" s="3090">
        <v>0.2</v>
      </c>
    </row>
    <row r="59" spans="1:7" ht="19.5" customHeight="1">
      <c r="A59" s="3122" t="s">
        <v>2590</v>
      </c>
      <c r="B59" s="3090">
        <v>0.6</v>
      </c>
      <c r="C59" s="3090">
        <v>0.3</v>
      </c>
      <c r="D59" s="3090">
        <v>0.25</v>
      </c>
      <c r="E59" s="3090">
        <v>0.25</v>
      </c>
      <c r="F59" s="3090">
        <v>0.25</v>
      </c>
      <c r="G59" s="3090">
        <v>0.15</v>
      </c>
    </row>
    <row r="60" spans="1:7" ht="19.5" customHeight="1">
      <c r="A60" s="3122" t="s">
        <v>2591</v>
      </c>
      <c r="B60" s="3090">
        <v>0.6</v>
      </c>
      <c r="C60" s="3090">
        <v>0.3</v>
      </c>
      <c r="D60" s="3090">
        <v>0.25</v>
      </c>
      <c r="E60" s="3090">
        <v>0.25</v>
      </c>
      <c r="F60" s="3090">
        <v>0.25</v>
      </c>
      <c r="G60" s="3090">
        <v>0.15</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0.5</v>
      </c>
      <c r="C64" s="3090">
        <v>0.2</v>
      </c>
      <c r="D64" s="3090">
        <v>0.2</v>
      </c>
      <c r="E64" s="3090">
        <v>0.2</v>
      </c>
      <c r="F64" s="3090">
        <v>0.2</v>
      </c>
      <c r="G64" s="3090">
        <v>0.1</v>
      </c>
    </row>
    <row r="65" spans="1:7" ht="19.5" customHeight="1">
      <c r="A65" s="3122" t="s">
        <v>2596</v>
      </c>
      <c r="B65" s="3090">
        <v>0.5</v>
      </c>
      <c r="C65" s="3090">
        <v>0.2</v>
      </c>
      <c r="D65" s="3090">
        <v>0.2</v>
      </c>
      <c r="E65" s="3090">
        <v>0.2</v>
      </c>
      <c r="F65" s="3090">
        <v>0.2</v>
      </c>
      <c r="G65" s="3090">
        <v>0.1</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70" spans="1:7" ht="19.5" customHeight="1">
      <c r="A70" s="3123"/>
      <c r="B70" s="3124"/>
      <c r="C70" s="3124"/>
      <c r="D70" s="3124" t="s">
        <v>2636</v>
      </c>
      <c r="E70" s="3124"/>
      <c r="F70" s="3124"/>
    </row>
    <row r="71" spans="1:7" ht="19.5" customHeight="1">
      <c r="A71" s="3116" t="s">
        <v>2637</v>
      </c>
      <c r="B71" s="3116" t="s">
        <v>2638</v>
      </c>
      <c r="C71" s="3116" t="s">
        <v>2639</v>
      </c>
      <c r="D71" s="3116" t="s">
        <v>2640</v>
      </c>
      <c r="E71" s="3116" t="s">
        <v>2641</v>
      </c>
      <c r="F71" s="3116" t="s">
        <v>2642</v>
      </c>
    </row>
    <row r="72" spans="1:7" ht="13.5">
      <c r="A72" s="3116"/>
      <c r="B72" s="3116"/>
      <c r="C72" s="3116" t="s">
        <v>2643</v>
      </c>
      <c r="D72" s="3116"/>
      <c r="E72" s="3116" t="s">
        <v>2614</v>
      </c>
      <c r="F72" s="3116" t="s">
        <v>2614</v>
      </c>
    </row>
    <row r="73" spans="1:7" ht="13.5">
      <c r="A73" s="3116">
        <v>1</v>
      </c>
      <c r="B73" s="3835" t="s">
        <v>2644</v>
      </c>
      <c r="C73" s="3090" t="s">
        <v>2645</v>
      </c>
      <c r="D73" s="3090" t="s">
        <v>2646</v>
      </c>
      <c r="E73" s="3116">
        <v>0.2</v>
      </c>
      <c r="F73" s="3116">
        <v>25</v>
      </c>
    </row>
    <row r="74" spans="1:7" ht="24">
      <c r="A74" s="3116">
        <v>2</v>
      </c>
      <c r="B74" s="3830"/>
      <c r="C74" s="3090" t="s">
        <v>2647</v>
      </c>
      <c r="D74" s="3090" t="s">
        <v>2648</v>
      </c>
      <c r="E74" s="3116">
        <v>0.2</v>
      </c>
      <c r="F74" s="3116">
        <v>25</v>
      </c>
    </row>
    <row r="75" spans="1:7" ht="24">
      <c r="A75" s="3116">
        <v>3</v>
      </c>
      <c r="B75" s="3830"/>
      <c r="C75" s="3090" t="s">
        <v>2649</v>
      </c>
      <c r="D75" s="3090" t="s">
        <v>2650</v>
      </c>
      <c r="E75" s="3116">
        <v>0.2</v>
      </c>
      <c r="F75" s="3116">
        <v>25</v>
      </c>
    </row>
    <row r="76" spans="1:7" ht="13.5">
      <c r="A76" s="3116">
        <v>4</v>
      </c>
      <c r="B76" s="3830"/>
      <c r="C76" s="3090" t="s">
        <v>2651</v>
      </c>
      <c r="D76" s="3090" t="s">
        <v>2652</v>
      </c>
      <c r="E76" s="3116">
        <v>0.15</v>
      </c>
      <c r="F76" s="3116">
        <v>20</v>
      </c>
    </row>
    <row r="77" spans="1:7" ht="24">
      <c r="A77" s="3116">
        <v>5</v>
      </c>
      <c r="B77" s="3830"/>
      <c r="C77" s="3090" t="s">
        <v>2653</v>
      </c>
      <c r="D77" s="3090" t="s">
        <v>2654</v>
      </c>
      <c r="E77" s="3116">
        <v>0.15</v>
      </c>
      <c r="F77" s="3116">
        <v>20</v>
      </c>
    </row>
    <row r="78" spans="1:7" ht="24">
      <c r="A78" s="3116">
        <v>6</v>
      </c>
      <c r="B78" s="3830"/>
      <c r="C78" s="3090" t="s">
        <v>2655</v>
      </c>
      <c r="D78" s="3090" t="s">
        <v>2656</v>
      </c>
      <c r="E78" s="3116">
        <v>0.15</v>
      </c>
      <c r="F78" s="3116">
        <v>20</v>
      </c>
    </row>
    <row r="79" spans="1:7" ht="24">
      <c r="A79" s="3116">
        <v>7</v>
      </c>
      <c r="B79" s="3830"/>
      <c r="C79" s="3090" t="s">
        <v>2657</v>
      </c>
      <c r="D79" s="3090" t="s">
        <v>2658</v>
      </c>
      <c r="E79" s="3116">
        <v>0.15</v>
      </c>
      <c r="F79" s="3116">
        <v>20</v>
      </c>
    </row>
    <row r="80" spans="1:7" ht="24">
      <c r="A80" s="3116">
        <v>8</v>
      </c>
      <c r="B80" s="3830"/>
      <c r="C80" s="3090" t="s">
        <v>2659</v>
      </c>
      <c r="D80" s="3090" t="s">
        <v>2660</v>
      </c>
      <c r="E80" s="3116">
        <v>0.1</v>
      </c>
      <c r="F80" s="3116">
        <v>15</v>
      </c>
    </row>
    <row r="81" spans="1:6" ht="24">
      <c r="A81" s="3116">
        <v>9</v>
      </c>
      <c r="B81" s="3830"/>
      <c r="C81" s="3090" t="s">
        <v>2661</v>
      </c>
      <c r="D81" s="3090" t="s">
        <v>2662</v>
      </c>
      <c r="E81" s="3116">
        <v>0.1</v>
      </c>
      <c r="F81" s="3116">
        <v>15</v>
      </c>
    </row>
    <row r="82" spans="1:6" ht="24">
      <c r="A82" s="3116">
        <v>10</v>
      </c>
      <c r="B82" s="3830"/>
      <c r="C82" s="3090" t="s">
        <v>2663</v>
      </c>
      <c r="D82" s="3090" t="s">
        <v>2664</v>
      </c>
      <c r="E82" s="3116">
        <v>0.1</v>
      </c>
      <c r="F82" s="3116">
        <v>15</v>
      </c>
    </row>
    <row r="83" spans="1:6" ht="24">
      <c r="A83" s="3116">
        <v>11</v>
      </c>
      <c r="B83" s="3830"/>
      <c r="C83" s="3090" t="s">
        <v>2665</v>
      </c>
      <c r="D83" s="3090" t="s">
        <v>2666</v>
      </c>
      <c r="E83" s="3116">
        <v>0.1</v>
      </c>
      <c r="F83" s="3116">
        <v>15</v>
      </c>
    </row>
    <row r="84" spans="1:6" ht="24">
      <c r="A84" s="3116">
        <v>12</v>
      </c>
      <c r="B84" s="3830"/>
      <c r="C84" s="3090" t="s">
        <v>2667</v>
      </c>
      <c r="D84" s="3090" t="s">
        <v>2668</v>
      </c>
      <c r="E84" s="3116">
        <v>0.1</v>
      </c>
      <c r="F84" s="3116">
        <v>15</v>
      </c>
    </row>
    <row r="85" spans="1:6" ht="13.5">
      <c r="A85" s="3116">
        <v>13</v>
      </c>
      <c r="B85" s="3830"/>
      <c r="C85" s="3090" t="s">
        <v>2669</v>
      </c>
      <c r="D85" s="3090" t="s">
        <v>2670</v>
      </c>
      <c r="E85" s="3116">
        <v>0.1</v>
      </c>
      <c r="F85" s="3116">
        <v>15</v>
      </c>
    </row>
    <row r="86" spans="1:6" ht="13.5">
      <c r="A86" s="3116">
        <v>14</v>
      </c>
      <c r="B86" s="3830"/>
      <c r="C86" s="3090" t="s">
        <v>2671</v>
      </c>
      <c r="D86" s="3090" t="s">
        <v>2672</v>
      </c>
      <c r="E86" s="3116">
        <v>0.1</v>
      </c>
      <c r="F86" s="3116">
        <v>15</v>
      </c>
    </row>
    <row r="87" spans="1:6" ht="13.5">
      <c r="A87" s="3116">
        <v>15</v>
      </c>
      <c r="B87" s="3830"/>
      <c r="C87" s="3090" t="s">
        <v>2673</v>
      </c>
      <c r="D87" s="3090" t="s">
        <v>2674</v>
      </c>
      <c r="E87" s="3116">
        <v>0.1</v>
      </c>
      <c r="F87" s="3116">
        <v>15</v>
      </c>
    </row>
    <row r="88" spans="1:6" ht="24">
      <c r="A88" s="3116">
        <v>16</v>
      </c>
      <c r="B88" s="3830"/>
      <c r="C88" s="3090" t="s">
        <v>2675</v>
      </c>
      <c r="D88" s="3090" t="s">
        <v>2676</v>
      </c>
      <c r="E88" s="3116">
        <v>0.1</v>
      </c>
      <c r="F88" s="3116">
        <v>15</v>
      </c>
    </row>
    <row r="89" spans="1:6" ht="24">
      <c r="A89" s="3116">
        <v>17</v>
      </c>
      <c r="B89" s="3839"/>
      <c r="C89" s="3090" t="s">
        <v>2677</v>
      </c>
      <c r="D89" s="3090" t="s">
        <v>2678</v>
      </c>
      <c r="E89" s="3116">
        <v>0.1</v>
      </c>
      <c r="F89" s="3116">
        <v>15</v>
      </c>
    </row>
    <row r="90" spans="1:6" ht="13.5">
      <c r="A90" s="3116">
        <v>18</v>
      </c>
      <c r="B90" s="3835" t="s">
        <v>2679</v>
      </c>
      <c r="C90" s="3090" t="s">
        <v>2680</v>
      </c>
      <c r="D90" s="3090" t="s">
        <v>2681</v>
      </c>
      <c r="E90" s="3116">
        <v>0.2</v>
      </c>
      <c r="F90" s="3116">
        <v>25</v>
      </c>
    </row>
    <row r="91" spans="1:6" ht="24">
      <c r="A91" s="3116">
        <v>19</v>
      </c>
      <c r="B91" s="3830"/>
      <c r="C91" s="3090" t="s">
        <v>2682</v>
      </c>
      <c r="D91" s="3090" t="s">
        <v>2683</v>
      </c>
      <c r="E91" s="3116">
        <v>0.2</v>
      </c>
      <c r="F91" s="3116">
        <v>25</v>
      </c>
    </row>
    <row r="92" spans="1:6" ht="13.5">
      <c r="A92" s="3116">
        <v>20</v>
      </c>
      <c r="B92" s="3830"/>
      <c r="C92" s="3090" t="s">
        <v>2684</v>
      </c>
      <c r="D92" s="3090" t="s">
        <v>2685</v>
      </c>
      <c r="E92" s="3116">
        <v>0.15</v>
      </c>
      <c r="F92" s="3116">
        <v>20</v>
      </c>
    </row>
    <row r="93" spans="1:6" ht="13.5">
      <c r="A93" s="3116">
        <v>21</v>
      </c>
      <c r="B93" s="3830"/>
      <c r="C93" s="3090" t="s">
        <v>2686</v>
      </c>
      <c r="D93" s="3090" t="s">
        <v>2687</v>
      </c>
      <c r="E93" s="3116">
        <v>0.15</v>
      </c>
      <c r="F93" s="3116">
        <v>20</v>
      </c>
    </row>
    <row r="94" spans="1:6" ht="13.5">
      <c r="A94" s="3116">
        <v>22</v>
      </c>
      <c r="B94" s="3830"/>
      <c r="C94" s="3090" t="s">
        <v>2688</v>
      </c>
      <c r="D94" s="3090" t="s">
        <v>2689</v>
      </c>
      <c r="E94" s="3116">
        <v>0.15</v>
      </c>
      <c r="F94" s="3116">
        <v>20</v>
      </c>
    </row>
    <row r="95" spans="1:6" ht="36">
      <c r="A95" s="3116">
        <v>23</v>
      </c>
      <c r="B95" s="3830"/>
      <c r="C95" s="3090" t="s">
        <v>2690</v>
      </c>
      <c r="D95" s="3090" t="s">
        <v>2691</v>
      </c>
      <c r="E95" s="3116">
        <v>0.15</v>
      </c>
      <c r="F95" s="3116">
        <v>20</v>
      </c>
    </row>
    <row r="96" spans="1:6" ht="13.5">
      <c r="A96" s="3116">
        <v>24</v>
      </c>
      <c r="B96" s="3830"/>
      <c r="C96" s="3090" t="s">
        <v>2692</v>
      </c>
      <c r="D96" s="3090" t="s">
        <v>2693</v>
      </c>
      <c r="E96" s="3116">
        <v>0.1</v>
      </c>
      <c r="F96" s="3116">
        <v>15</v>
      </c>
    </row>
    <row r="97" spans="1:6" ht="13.5">
      <c r="A97" s="3116">
        <v>25</v>
      </c>
      <c r="B97" s="3830"/>
      <c r="C97" s="3090" t="s">
        <v>2694</v>
      </c>
      <c r="D97" s="3090" t="s">
        <v>2695</v>
      </c>
      <c r="E97" s="3116">
        <v>0.1</v>
      </c>
      <c r="F97" s="3116">
        <v>15</v>
      </c>
    </row>
    <row r="98" spans="1:6" ht="24">
      <c r="A98" s="3116">
        <v>26</v>
      </c>
      <c r="B98" s="3830"/>
      <c r="C98" s="3090" t="s">
        <v>2696</v>
      </c>
      <c r="D98" s="3090" t="s">
        <v>2697</v>
      </c>
      <c r="E98" s="3116">
        <v>0.1</v>
      </c>
      <c r="F98" s="3116">
        <v>15</v>
      </c>
    </row>
    <row r="99" spans="1:6" ht="24">
      <c r="A99" s="3116">
        <v>27</v>
      </c>
      <c r="B99" s="3830"/>
      <c r="C99" s="3090" t="s">
        <v>2698</v>
      </c>
      <c r="D99" s="3090" t="s">
        <v>2699</v>
      </c>
      <c r="E99" s="3116">
        <v>0.1</v>
      </c>
      <c r="F99" s="3116">
        <v>15</v>
      </c>
    </row>
    <row r="100" spans="1:6" ht="13.5">
      <c r="A100" s="3116">
        <v>28</v>
      </c>
      <c r="B100" s="3830"/>
      <c r="C100" s="3090" t="s">
        <v>2700</v>
      </c>
      <c r="D100" s="3090" t="s">
        <v>2701</v>
      </c>
      <c r="E100" s="3116">
        <v>0.1</v>
      </c>
      <c r="F100" s="3116">
        <v>15</v>
      </c>
    </row>
    <row r="101" spans="1:6" ht="13.5">
      <c r="A101" s="3116">
        <v>29</v>
      </c>
      <c r="B101" s="3830"/>
      <c r="C101" s="3090" t="s">
        <v>2702</v>
      </c>
      <c r="D101" s="3090" t="s">
        <v>2703</v>
      </c>
      <c r="E101" s="3116">
        <v>0.1</v>
      </c>
      <c r="F101" s="3116">
        <v>15</v>
      </c>
    </row>
    <row r="102" spans="1:6" ht="13.5">
      <c r="A102" s="3116">
        <v>30</v>
      </c>
      <c r="B102" s="3830"/>
      <c r="C102" s="3090" t="s">
        <v>2704</v>
      </c>
      <c r="D102" s="3090" t="s">
        <v>2705</v>
      </c>
      <c r="E102" s="3116">
        <v>0.1</v>
      </c>
      <c r="F102" s="3116">
        <v>15</v>
      </c>
    </row>
    <row r="103" spans="1:6" ht="24">
      <c r="A103" s="3116">
        <v>31</v>
      </c>
      <c r="B103" s="3830"/>
      <c r="C103" s="3090" t="s">
        <v>2706</v>
      </c>
      <c r="D103" s="3090" t="s">
        <v>2707</v>
      </c>
      <c r="E103" s="3116">
        <v>0.1</v>
      </c>
      <c r="F103" s="3116">
        <v>15</v>
      </c>
    </row>
    <row r="104" spans="1:6" ht="24">
      <c r="A104" s="3116">
        <v>32</v>
      </c>
      <c r="B104" s="3830"/>
      <c r="C104" s="3090" t="s">
        <v>2708</v>
      </c>
      <c r="D104" s="3090" t="s">
        <v>2709</v>
      </c>
      <c r="E104" s="3116">
        <v>0.1</v>
      </c>
      <c r="F104" s="3116">
        <v>15</v>
      </c>
    </row>
    <row r="105" spans="1:6" ht="24">
      <c r="A105" s="3116">
        <v>33</v>
      </c>
      <c r="B105" s="3830"/>
      <c r="C105" s="3090" t="s">
        <v>2710</v>
      </c>
      <c r="D105" s="3090" t="s">
        <v>2711</v>
      </c>
      <c r="E105" s="3116">
        <v>0.1</v>
      </c>
      <c r="F105" s="3116">
        <v>15</v>
      </c>
    </row>
    <row r="106" spans="1:6" ht="24">
      <c r="A106" s="3116">
        <v>34</v>
      </c>
      <c r="B106" s="3839"/>
      <c r="C106" s="3090" t="s">
        <v>2712</v>
      </c>
      <c r="D106" s="3090" t="s">
        <v>2713</v>
      </c>
      <c r="E106" s="3116">
        <v>0.1</v>
      </c>
      <c r="F106" s="3116">
        <v>15</v>
      </c>
    </row>
    <row r="107" spans="1:6" ht="24">
      <c r="A107" s="3116">
        <v>35</v>
      </c>
      <c r="B107" s="3835" t="s">
        <v>2714</v>
      </c>
      <c r="C107" s="3116" t="s">
        <v>2715</v>
      </c>
      <c r="D107" s="3090" t="s">
        <v>2716</v>
      </c>
      <c r="E107" s="3116">
        <v>0.15</v>
      </c>
      <c r="F107" s="3116">
        <v>20</v>
      </c>
    </row>
    <row r="108" spans="1:6" ht="13.5">
      <c r="A108" s="3116">
        <v>36</v>
      </c>
      <c r="B108" s="3830"/>
      <c r="C108" s="3116" t="s">
        <v>2717</v>
      </c>
      <c r="D108" s="3090" t="s">
        <v>2718</v>
      </c>
      <c r="E108" s="3116">
        <v>0.15</v>
      </c>
      <c r="F108" s="3116">
        <v>20</v>
      </c>
    </row>
    <row r="109" spans="1:6" ht="13.5">
      <c r="A109" s="3116">
        <v>37</v>
      </c>
      <c r="B109" s="3830"/>
      <c r="C109" s="3116" t="s">
        <v>2719</v>
      </c>
      <c r="D109" s="3090" t="s">
        <v>2720</v>
      </c>
      <c r="E109" s="3116">
        <v>0.15</v>
      </c>
      <c r="F109" s="3116">
        <v>20</v>
      </c>
    </row>
    <row r="110" spans="1:6" ht="13.5">
      <c r="A110" s="3116">
        <v>38</v>
      </c>
      <c r="B110" s="3830"/>
      <c r="C110" s="3116" t="s">
        <v>2721</v>
      </c>
      <c r="D110" s="3090" t="s">
        <v>2722</v>
      </c>
      <c r="E110" s="3116">
        <v>0.1</v>
      </c>
      <c r="F110" s="3116">
        <v>15</v>
      </c>
    </row>
    <row r="111" spans="1:6" ht="24">
      <c r="A111" s="3116">
        <v>39</v>
      </c>
      <c r="B111" s="3830"/>
      <c r="C111" s="3116" t="s">
        <v>2723</v>
      </c>
      <c r="D111" s="3090" t="s">
        <v>2724</v>
      </c>
      <c r="E111" s="3116">
        <v>0.1</v>
      </c>
      <c r="F111" s="3116">
        <v>15</v>
      </c>
    </row>
    <row r="112" spans="1:6" ht="24">
      <c r="A112" s="3116">
        <v>40</v>
      </c>
      <c r="B112" s="3839"/>
      <c r="C112" s="3116" t="s">
        <v>2725</v>
      </c>
      <c r="D112" s="3090" t="s">
        <v>2726</v>
      </c>
      <c r="E112" s="3116">
        <v>0.1</v>
      </c>
      <c r="F112" s="3116">
        <v>15</v>
      </c>
    </row>
    <row r="113" spans="1:6" ht="13.5">
      <c r="A113" s="3116">
        <v>41</v>
      </c>
      <c r="B113" s="3840" t="s">
        <v>2727</v>
      </c>
      <c r="C113" s="3116" t="s">
        <v>2728</v>
      </c>
      <c r="D113" s="3090" t="s">
        <v>2729</v>
      </c>
      <c r="E113" s="3116">
        <v>0.1</v>
      </c>
      <c r="F113" s="3116">
        <v>15</v>
      </c>
    </row>
    <row r="114" spans="1:6" ht="13.5">
      <c r="A114" s="3116">
        <v>42</v>
      </c>
      <c r="B114" s="3840"/>
      <c r="C114" s="3116" t="s">
        <v>2730</v>
      </c>
      <c r="D114" s="3090" t="s">
        <v>2731</v>
      </c>
      <c r="E114" s="3116">
        <v>0.1</v>
      </c>
      <c r="F114" s="3116">
        <v>15</v>
      </c>
    </row>
    <row r="115" spans="1:6" ht="24">
      <c r="A115" s="3116">
        <v>43</v>
      </c>
      <c r="B115" s="3840"/>
      <c r="C115" s="3116" t="s">
        <v>2732</v>
      </c>
      <c r="D115" s="3090" t="s">
        <v>2733</v>
      </c>
      <c r="E115" s="3116">
        <v>0.1</v>
      </c>
      <c r="F115" s="3116">
        <v>15</v>
      </c>
    </row>
    <row r="116" spans="1:6" ht="13.5">
      <c r="A116" s="3116">
        <v>44</v>
      </c>
      <c r="B116" s="3835" t="s">
        <v>2734</v>
      </c>
      <c r="C116" s="3116" t="s">
        <v>2735</v>
      </c>
      <c r="D116" s="3090" t="s">
        <v>2736</v>
      </c>
      <c r="E116" s="3116">
        <v>0.1</v>
      </c>
      <c r="F116" s="3116">
        <v>15</v>
      </c>
    </row>
    <row r="117" spans="1:6" ht="24">
      <c r="A117" s="3116">
        <v>45</v>
      </c>
      <c r="B117" s="3839"/>
      <c r="C117" s="3090" t="s">
        <v>2737</v>
      </c>
      <c r="D117" s="3090" t="s">
        <v>2738</v>
      </c>
      <c r="E117" s="3116">
        <v>0.1</v>
      </c>
      <c r="F117" s="3116">
        <v>15</v>
      </c>
    </row>
    <row r="118" spans="1:6" ht="24">
      <c r="A118" s="3116">
        <v>46</v>
      </c>
      <c r="B118" s="3835" t="s">
        <v>2739</v>
      </c>
      <c r="C118" s="3116" t="s">
        <v>2740</v>
      </c>
      <c r="D118" s="3090" t="s">
        <v>2741</v>
      </c>
      <c r="E118" s="3116">
        <v>0.1</v>
      </c>
      <c r="F118" s="3116">
        <v>15</v>
      </c>
    </row>
    <row r="119" spans="1:6" ht="24">
      <c r="A119" s="3116">
        <v>47</v>
      </c>
      <c r="B119" s="3839"/>
      <c r="C119" s="3116" t="s">
        <v>2742</v>
      </c>
      <c r="D119" s="3090" t="s">
        <v>2743</v>
      </c>
      <c r="E119" s="3116">
        <v>0.1</v>
      </c>
      <c r="F119" s="3116">
        <v>15</v>
      </c>
    </row>
    <row r="120" spans="1:6" ht="13.5">
      <c r="A120" s="3116">
        <v>48</v>
      </c>
      <c r="B120" s="3835" t="s">
        <v>2744</v>
      </c>
      <c r="C120" s="3116" t="s">
        <v>2745</v>
      </c>
      <c r="D120" s="3090" t="s">
        <v>2746</v>
      </c>
      <c r="E120" s="3116">
        <v>0.1</v>
      </c>
      <c r="F120" s="3116">
        <v>15</v>
      </c>
    </row>
    <row r="121" spans="1:6" ht="13.5">
      <c r="A121" s="3116">
        <v>49</v>
      </c>
      <c r="B121" s="3839"/>
      <c r="C121" s="3116" t="s">
        <v>2747</v>
      </c>
      <c r="D121" s="3090" t="s">
        <v>2748</v>
      </c>
      <c r="E121" s="3116">
        <v>0.1</v>
      </c>
      <c r="F121" s="3116">
        <v>15</v>
      </c>
    </row>
    <row r="122" spans="1:6" ht="24">
      <c r="A122" s="3116">
        <v>50</v>
      </c>
      <c r="B122" s="3840" t="s">
        <v>2749</v>
      </c>
      <c r="C122" s="3116" t="s">
        <v>2750</v>
      </c>
      <c r="D122" s="3090" t="s">
        <v>2751</v>
      </c>
      <c r="E122" s="3116">
        <v>0.1</v>
      </c>
      <c r="F122" s="3116">
        <v>15</v>
      </c>
    </row>
    <row r="123" spans="1:6" ht="24">
      <c r="A123" s="3116">
        <v>51</v>
      </c>
      <c r="B123" s="3840"/>
      <c r="C123" s="3116" t="s">
        <v>2752</v>
      </c>
      <c r="D123" s="3090" t="s">
        <v>2753</v>
      </c>
      <c r="E123" s="3116">
        <v>0.1</v>
      </c>
      <c r="F123" s="3116">
        <v>15</v>
      </c>
    </row>
    <row r="124" spans="1:6" ht="24">
      <c r="A124" s="3116">
        <v>52</v>
      </c>
      <c r="B124" s="3840" t="s">
        <v>2754</v>
      </c>
      <c r="C124" s="3116" t="s">
        <v>2755</v>
      </c>
      <c r="D124" s="3090" t="s">
        <v>2756</v>
      </c>
      <c r="E124" s="3116">
        <v>0.1</v>
      </c>
      <c r="F124" s="3116">
        <v>15</v>
      </c>
    </row>
    <row r="125" spans="1:6" ht="24">
      <c r="A125" s="3116">
        <v>53</v>
      </c>
      <c r="B125" s="3840"/>
      <c r="C125" s="3116" t="s">
        <v>2757</v>
      </c>
      <c r="D125" s="3090" t="s">
        <v>2758</v>
      </c>
      <c r="E125" s="3116">
        <v>0.1</v>
      </c>
      <c r="F125" s="3116">
        <v>15</v>
      </c>
    </row>
    <row r="126" spans="1:6" ht="13.5">
      <c r="A126" s="3116">
        <v>54</v>
      </c>
      <c r="B126" s="3116" t="s">
        <v>2759</v>
      </c>
      <c r="C126" s="3116" t="s">
        <v>2760</v>
      </c>
      <c r="D126" s="3090" t="s">
        <v>2761</v>
      </c>
      <c r="E126" s="3116">
        <v>0.1</v>
      </c>
      <c r="F126" s="3116">
        <v>15</v>
      </c>
    </row>
    <row r="127" spans="1:6" ht="13.5">
      <c r="A127" s="3116">
        <v>55</v>
      </c>
      <c r="B127" s="3840" t="s">
        <v>2762</v>
      </c>
      <c r="C127" s="3116" t="s">
        <v>2763</v>
      </c>
      <c r="D127" s="3090" t="s">
        <v>2764</v>
      </c>
      <c r="E127" s="3116">
        <v>0.1</v>
      </c>
      <c r="F127" s="3116">
        <v>15</v>
      </c>
    </row>
    <row r="128" spans="1:6" ht="13.5">
      <c r="A128" s="3116">
        <v>56</v>
      </c>
      <c r="B128" s="3840"/>
      <c r="C128" s="3116" t="s">
        <v>2765</v>
      </c>
      <c r="D128" s="3090" t="s">
        <v>2766</v>
      </c>
      <c r="E128" s="3116">
        <v>0.1</v>
      </c>
      <c r="F128" s="3116">
        <v>15</v>
      </c>
    </row>
    <row r="129" spans="1:6" ht="24">
      <c r="A129" s="3116">
        <v>57</v>
      </c>
      <c r="B129" s="3840"/>
      <c r="C129" s="3116" t="s">
        <v>2767</v>
      </c>
      <c r="D129" s="3090" t="s">
        <v>2768</v>
      </c>
      <c r="E129" s="3116">
        <v>0.1</v>
      </c>
      <c r="F129" s="3116">
        <v>15</v>
      </c>
    </row>
    <row r="130" spans="1:6" ht="24">
      <c r="A130" s="3116">
        <v>58</v>
      </c>
      <c r="B130" s="3840" t="s">
        <v>2769</v>
      </c>
      <c r="C130" s="3116" t="s">
        <v>2770</v>
      </c>
      <c r="D130" s="3090" t="s">
        <v>2771</v>
      </c>
      <c r="E130" s="3116">
        <v>0.1</v>
      </c>
      <c r="F130" s="3116">
        <v>15</v>
      </c>
    </row>
    <row r="131" spans="1:6" ht="13.5">
      <c r="A131" s="3116">
        <v>59</v>
      </c>
      <c r="B131" s="3840"/>
      <c r="C131" s="3116" t="s">
        <v>2772</v>
      </c>
      <c r="D131" s="3090" t="s">
        <v>2773</v>
      </c>
      <c r="E131" s="3116">
        <v>0.1</v>
      </c>
      <c r="F131" s="3116">
        <v>15</v>
      </c>
    </row>
    <row r="132" spans="1:6" ht="13.5">
      <c r="A132" s="3116">
        <v>60</v>
      </c>
      <c r="B132" s="3835" t="s">
        <v>2774</v>
      </c>
      <c r="C132" s="3116" t="s">
        <v>2775</v>
      </c>
      <c r="D132" s="3090" t="s">
        <v>2776</v>
      </c>
      <c r="E132" s="3116">
        <v>0.1</v>
      </c>
      <c r="F132" s="3116">
        <v>15</v>
      </c>
    </row>
    <row r="133" spans="1:6" ht="13.5">
      <c r="A133" s="3116">
        <v>61</v>
      </c>
      <c r="B133" s="3839"/>
      <c r="C133" s="3116" t="s">
        <v>2777</v>
      </c>
      <c r="D133" s="3090" t="s">
        <v>2778</v>
      </c>
      <c r="E133" s="3116">
        <v>0.1</v>
      </c>
      <c r="F133" s="3116">
        <v>15</v>
      </c>
    </row>
    <row r="134" spans="1:6" ht="24">
      <c r="A134" s="3116">
        <v>62</v>
      </c>
      <c r="B134" s="3116" t="s">
        <v>2779</v>
      </c>
      <c r="C134" s="3116" t="s">
        <v>2780</v>
      </c>
      <c r="D134" s="3090" t="s">
        <v>2781</v>
      </c>
      <c r="E134" s="3116">
        <v>0.1</v>
      </c>
      <c r="F134" s="3116">
        <v>15</v>
      </c>
    </row>
    <row r="135" spans="1:6" ht="13.5">
      <c r="A135" s="3116">
        <v>63</v>
      </c>
      <c r="B135" s="3840" t="s">
        <v>2782</v>
      </c>
      <c r="C135" s="3116" t="s">
        <v>2783</v>
      </c>
      <c r="D135" s="3090" t="s">
        <v>2784</v>
      </c>
      <c r="E135" s="3116">
        <v>0.1</v>
      </c>
      <c r="F135" s="3116">
        <v>15</v>
      </c>
    </row>
    <row r="136" spans="1:6" ht="13.5">
      <c r="A136" s="3116">
        <v>64</v>
      </c>
      <c r="B136" s="3840"/>
      <c r="C136" s="3116" t="s">
        <v>2785</v>
      </c>
      <c r="D136" s="3090" t="s">
        <v>2786</v>
      </c>
      <c r="E136" s="3116">
        <v>0.1</v>
      </c>
      <c r="F136" s="3116">
        <v>15</v>
      </c>
    </row>
    <row r="137" spans="1:6" ht="13.5">
      <c r="A137" s="3116">
        <v>65</v>
      </c>
      <c r="B137" s="3116" t="s">
        <v>2787</v>
      </c>
      <c r="C137" s="3116" t="s">
        <v>2788</v>
      </c>
      <c r="D137" s="3090" t="s">
        <v>2789</v>
      </c>
      <c r="E137" s="3116">
        <v>0.1</v>
      </c>
      <c r="F137" s="3116">
        <v>15</v>
      </c>
    </row>
    <row r="138" spans="1:6" ht="13.5">
      <c r="A138" s="3116"/>
      <c r="B138" s="3116"/>
      <c r="C138" s="3116"/>
      <c r="D138" s="3116"/>
      <c r="E138" s="3116" t="s">
        <v>2790</v>
      </c>
      <c r="F138" s="311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2791</v>
      </c>
      <c r="B1" s="3125"/>
      <c r="C1" s="3125"/>
      <c r="D1" s="3125"/>
      <c r="E1" s="3125"/>
      <c r="F1" s="3125"/>
      <c r="G1" s="3125"/>
      <c r="H1" s="3125"/>
      <c r="I1" s="3125"/>
      <c r="J1" s="3125"/>
      <c r="K1" s="3125"/>
      <c r="L1" s="3125"/>
      <c r="M1" s="3125"/>
      <c r="N1" s="747"/>
    </row>
    <row r="2" spans="1:20">
      <c r="A2" s="3126" t="s">
        <v>2792</v>
      </c>
      <c r="B2" s="3127" t="s">
        <v>2588</v>
      </c>
      <c r="C2" s="3127" t="s">
        <v>2589</v>
      </c>
      <c r="D2" s="3127" t="s">
        <v>2590</v>
      </c>
      <c r="E2" s="3127" t="s">
        <v>2591</v>
      </c>
      <c r="F2" s="3127" t="s">
        <v>2592</v>
      </c>
      <c r="G2" s="3127" t="s">
        <v>2593</v>
      </c>
      <c r="H2" s="3128" t="s">
        <v>2594</v>
      </c>
      <c r="I2" s="3128" t="s">
        <v>2595</v>
      </c>
      <c r="J2" s="3129" t="s">
        <v>2596</v>
      </c>
      <c r="K2" s="3129" t="s">
        <v>2597</v>
      </c>
      <c r="L2" s="3129" t="s">
        <v>2598</v>
      </c>
      <c r="M2" s="3130" t="s">
        <v>2599</v>
      </c>
      <c r="Q2" s="3140" t="s">
        <v>2797</v>
      </c>
      <c r="R2" s="3140" t="s">
        <v>2798</v>
      </c>
      <c r="S2" s="3140" t="s">
        <v>2799</v>
      </c>
      <c r="T2" s="3140" t="s">
        <v>2800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2793</v>
      </c>
      <c r="B93" s="3125"/>
      <c r="C93" s="3125"/>
      <c r="D93" s="3125"/>
      <c r="E93" s="3125"/>
      <c r="F93" s="3125"/>
      <c r="G93" s="3125"/>
      <c r="H93" s="3125"/>
      <c r="I93" s="3125"/>
      <c r="J93" s="3125"/>
      <c r="K93" s="3125"/>
      <c r="L93" s="3125"/>
      <c r="M93" s="3125"/>
    </row>
    <row r="94" spans="1:20">
      <c r="A94" s="3126" t="s">
        <v>2792</v>
      </c>
      <c r="B94" s="3127" t="s">
        <v>2588</v>
      </c>
      <c r="C94" s="3127" t="s">
        <v>2589</v>
      </c>
      <c r="D94" s="3127" t="s">
        <v>2590</v>
      </c>
      <c r="E94" s="3127" t="s">
        <v>2591</v>
      </c>
      <c r="F94" s="3127" t="s">
        <v>2592</v>
      </c>
      <c r="G94" s="3127" t="s">
        <v>2593</v>
      </c>
      <c r="H94" s="3128" t="s">
        <v>2594</v>
      </c>
      <c r="I94" s="3128" t="s">
        <v>2595</v>
      </c>
      <c r="J94" s="3129" t="s">
        <v>2596</v>
      </c>
      <c r="K94" s="3129" t="s">
        <v>2597</v>
      </c>
      <c r="L94" s="3129" t="s">
        <v>2598</v>
      </c>
      <c r="M94" s="3130" t="s">
        <v>2599</v>
      </c>
      <c r="N94" s="748">
        <f>SUMPRODUCT((A95:A184=ROUNDDOWN(基准地价修正!G3,1))*(B94:M94=基准地价修正!G2)*(B95:M184))</f>
        <v>1.0512999999999999</v>
      </c>
      <c r="Q94" s="3140" t="s">
        <v>2797</v>
      </c>
      <c r="R94" s="3140" t="s">
        <v>2798</v>
      </c>
      <c r="S94" s="3140" t="s">
        <v>2799</v>
      </c>
      <c r="T94" s="3140" t="s">
        <v>2800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2794</v>
      </c>
      <c r="B185" s="3125"/>
      <c r="C185" s="3125"/>
      <c r="D185" s="3125"/>
      <c r="E185" s="3125"/>
      <c r="F185" s="3125"/>
      <c r="G185" s="3125"/>
      <c r="H185" s="3125"/>
      <c r="I185" s="3125"/>
      <c r="J185" s="3125"/>
      <c r="K185" s="3125"/>
      <c r="L185" s="3125"/>
      <c r="M185" s="3125"/>
    </row>
    <row r="186" spans="1:20">
      <c r="A186" s="3126" t="s">
        <v>2792</v>
      </c>
      <c r="B186" s="3127" t="s">
        <v>2588</v>
      </c>
      <c r="C186" s="3127" t="s">
        <v>2589</v>
      </c>
      <c r="D186" s="3127" t="s">
        <v>2590</v>
      </c>
      <c r="E186" s="3127" t="s">
        <v>2591</v>
      </c>
      <c r="F186" s="3127" t="s">
        <v>2592</v>
      </c>
      <c r="G186" s="3127" t="s">
        <v>2593</v>
      </c>
      <c r="H186" s="3128" t="s">
        <v>2594</v>
      </c>
      <c r="I186" s="3128" t="s">
        <v>2595</v>
      </c>
      <c r="J186" s="3129" t="s">
        <v>2596</v>
      </c>
      <c r="K186" s="3129" t="s">
        <v>2597</v>
      </c>
      <c r="L186" s="3129" t="s">
        <v>2598</v>
      </c>
      <c r="M186" s="3130" t="s">
        <v>2599</v>
      </c>
      <c r="Q186" s="3140" t="s">
        <v>2797</v>
      </c>
      <c r="R186" s="3140" t="s">
        <v>2798</v>
      </c>
      <c r="S186" s="3140" t="s">
        <v>2799</v>
      </c>
      <c r="T186" s="3140" t="s">
        <v>2800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2795</v>
      </c>
      <c r="B277" s="3125"/>
      <c r="C277" s="3125"/>
      <c r="D277" s="3125"/>
      <c r="E277" s="3125"/>
      <c r="F277" s="3125"/>
      <c r="G277" s="3125"/>
      <c r="H277" s="3125"/>
      <c r="I277" s="3125"/>
      <c r="J277" s="3125"/>
      <c r="K277" s="3125"/>
      <c r="L277" s="3125"/>
      <c r="M277" s="3125"/>
    </row>
    <row r="278" spans="1:21">
      <c r="A278" s="3126" t="s">
        <v>2792</v>
      </c>
      <c r="B278" s="3127" t="s">
        <v>2588</v>
      </c>
      <c r="C278" s="3127" t="s">
        <v>2589</v>
      </c>
      <c r="D278" s="3127" t="s">
        <v>2590</v>
      </c>
      <c r="E278" s="3127" t="s">
        <v>2591</v>
      </c>
      <c r="F278" s="3127" t="s">
        <v>2592</v>
      </c>
      <c r="G278" s="3127" t="s">
        <v>2593</v>
      </c>
      <c r="H278" s="3128" t="s">
        <v>2594</v>
      </c>
      <c r="I278" s="3128" t="s">
        <v>2595</v>
      </c>
      <c r="J278" s="3129" t="s">
        <v>2596</v>
      </c>
      <c r="K278" s="3129" t="s">
        <v>2597</v>
      </c>
      <c r="L278" s="3129" t="s">
        <v>2598</v>
      </c>
      <c r="M278" s="3130" t="s">
        <v>2599</v>
      </c>
      <c r="Q278" s="3140" t="s">
        <v>2797</v>
      </c>
      <c r="R278" s="3140" t="s">
        <v>2798</v>
      </c>
      <c r="S278" s="3140" t="s">
        <v>2801</v>
      </c>
      <c r="T278" s="3140" t="s">
        <v>2802</v>
      </c>
      <c r="U278" s="3140" t="s">
        <v>2800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2796</v>
      </c>
      <c r="B369" s="3138"/>
      <c r="C369" s="3138"/>
      <c r="D369" s="3138"/>
      <c r="E369" s="3138"/>
      <c r="F369" s="3138"/>
      <c r="G369" s="3138"/>
      <c r="H369" s="3138"/>
      <c r="I369" s="3138"/>
      <c r="J369" s="3138"/>
      <c r="K369" s="3138"/>
      <c r="L369" s="3138"/>
      <c r="M369" s="3138"/>
    </row>
    <row r="370" spans="1:20">
      <c r="A370" s="3126" t="s">
        <v>2792</v>
      </c>
      <c r="B370" s="3127" t="s">
        <v>2588</v>
      </c>
      <c r="C370" s="3127" t="s">
        <v>2589</v>
      </c>
      <c r="D370" s="3127" t="s">
        <v>2590</v>
      </c>
      <c r="E370" s="3127" t="s">
        <v>2591</v>
      </c>
      <c r="F370" s="3127" t="s">
        <v>2592</v>
      </c>
      <c r="G370" s="3127" t="s">
        <v>2593</v>
      </c>
      <c r="H370" s="3128" t="s">
        <v>2594</v>
      </c>
      <c r="I370" s="3128" t="s">
        <v>2595</v>
      </c>
      <c r="J370" s="3129" t="s">
        <v>2596</v>
      </c>
      <c r="K370" s="3129" t="s">
        <v>2597</v>
      </c>
      <c r="L370" s="3129" t="s">
        <v>2598</v>
      </c>
      <c r="M370" s="3130" t="s">
        <v>2599</v>
      </c>
      <c r="N370" s="748">
        <f>SUMPRODUCT((A371:A460=ROUNDDOWN(基准地价修正!G3,1))*(B370:M370=基准地价修正!G2)*(B371:M460))</f>
        <v>1</v>
      </c>
      <c r="Q370" s="3140" t="s">
        <v>2797</v>
      </c>
      <c r="R370" s="3140" t="s">
        <v>2798</v>
      </c>
      <c r="S370" s="3140" t="s">
        <v>2799</v>
      </c>
      <c r="T370" s="3140" t="s">
        <v>2800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29398</v>
      </c>
      <c r="C2" s="2" t="s">
        <v>106</v>
      </c>
      <c r="D2" s="199"/>
      <c r="E2" s="199"/>
      <c r="F2" s="199"/>
      <c r="G2" s="199"/>
    </row>
    <row r="3" spans="1:7" s="200" customFormat="1" ht="18" customHeight="1" thickBot="1">
      <c r="A3" s="203" t="s">
        <v>58</v>
      </c>
      <c r="B3" s="204">
        <f ca="1">ROUND(B2*10000/'数据-汇总表'!E3,0)</f>
        <v>719552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8</v>
      </c>
      <c r="D10" s="843">
        <f>'数据-汇总表'!E6</f>
        <v>408.56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408.56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1764</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98</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408.56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v>
      </c>
      <c r="D42" s="238"/>
      <c r="E42" s="238"/>
      <c r="F42" s="239"/>
      <c r="G42" s="3841" t="s">
        <v>94</v>
      </c>
    </row>
    <row r="43" spans="1:7" ht="13.5" customHeight="1">
      <c r="A43" s="778" t="s">
        <v>347</v>
      </c>
      <c r="B43" s="215" t="s">
        <v>426</v>
      </c>
      <c r="C43" s="238">
        <f ca="1">ROUND(IF('数据-取费表'!B22&lt;=1,C39*F22*'数据-取费表'!B21/2,C39*(POWER((1+F22),'数据-取费表'!B21/2)-1)),0)</f>
        <v>0</v>
      </c>
      <c r="D43" s="238"/>
      <c r="E43" s="238"/>
      <c r="F43" s="239"/>
      <c r="G43" s="3842"/>
    </row>
    <row r="44" spans="1:7" ht="13.5" customHeight="1">
      <c r="A44" s="778" t="s">
        <v>348</v>
      </c>
      <c r="B44" s="215" t="s">
        <v>428</v>
      </c>
      <c r="C44" s="238">
        <f ca="1">ROUND(IF('数据-取费表'!B22&lt;=1,C40*F22*'数据-取费表'!B21/2,C40*(POWER((1+F22),'数据-取费表'!B21/2)-1)),4)</f>
        <v>8.0000000000000004E-4</v>
      </c>
      <c r="D44" s="238"/>
      <c r="E44" s="238"/>
      <c r="F44" s="239"/>
      <c r="G44" s="3843"/>
    </row>
    <row r="45" spans="1:7" s="214" customFormat="1" ht="13.5" customHeight="1">
      <c r="A45" s="775" t="s">
        <v>341</v>
      </c>
      <c r="B45" s="244" t="s">
        <v>85</v>
      </c>
      <c r="C45" s="245">
        <f>C46</f>
        <v>22</v>
      </c>
      <c r="D45" s="235">
        <f>C47</f>
        <v>4.0000000000000001E-3</v>
      </c>
      <c r="E45" s="236" t="s">
        <v>102</v>
      </c>
      <c r="F45" s="246"/>
      <c r="G45" s="247" t="s">
        <v>434</v>
      </c>
    </row>
    <row r="46" spans="1:7" s="214" customFormat="1" ht="13.5" customHeight="1">
      <c r="A46" s="778" t="s">
        <v>349</v>
      </c>
      <c r="B46" s="248" t="s">
        <v>427</v>
      </c>
      <c r="C46" s="249">
        <f>ROUND((C33+C39)*F27,0)</f>
        <v>22</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151</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110</v>
      </c>
      <c r="D51" s="232"/>
      <c r="E51" s="232"/>
      <c r="F51" s="264"/>
      <c r="G51" s="234" t="s">
        <v>37</v>
      </c>
    </row>
    <row r="52" spans="1:7" s="208" customFormat="1" ht="16.5" thickBot="1">
      <c r="A52" s="265" t="s">
        <v>38</v>
      </c>
      <c r="B52" s="266"/>
      <c r="C52" s="267">
        <f ca="1">C31+C51</f>
        <v>29398</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6" t="s">
        <v>2834</v>
      </c>
      <c r="B1" s="3846"/>
      <c r="C1" s="3846"/>
      <c r="D1" s="3846"/>
      <c r="E1" s="3846"/>
      <c r="F1" s="3846"/>
      <c r="G1" s="3847"/>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44" t="s">
        <v>2861</v>
      </c>
      <c r="B3" s="3228"/>
      <c r="C3" s="3229" t="s">
        <v>2804</v>
      </c>
      <c r="D3" s="3229" t="s">
        <v>2862</v>
      </c>
      <c r="E3" s="3229" t="s">
        <v>2806</v>
      </c>
      <c r="F3" s="3229" t="s">
        <v>2863</v>
      </c>
      <c r="G3" s="3229" t="s">
        <v>2624</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45"/>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48" t="s">
        <v>3176</v>
      </c>
      <c r="B1" s="3848"/>
    </row>
    <row r="2" spans="1:7" ht="14.25" thickBot="1">
      <c r="A2" s="3253"/>
      <c r="B2" s="3253"/>
    </row>
    <row r="3" spans="1:7" ht="14.25" thickBot="1">
      <c r="A3" s="3253"/>
      <c r="B3" s="3253"/>
      <c r="C3" s="3254" t="s">
        <v>2804</v>
      </c>
      <c r="D3" s="3254" t="s">
        <v>2862</v>
      </c>
      <c r="E3" s="3254" t="s">
        <v>2806</v>
      </c>
      <c r="F3" s="3254" t="s">
        <v>2863</v>
      </c>
      <c r="G3" s="3254" t="s">
        <v>2624</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49" t="s">
        <v>3227</v>
      </c>
      <c r="B1" s="3849"/>
      <c r="C1" s="3849"/>
      <c r="D1" s="3849"/>
      <c r="E1" s="3849"/>
      <c r="F1" s="3850"/>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v>
      </c>
      <c r="B3" s="3549"/>
      <c r="C3" s="3549"/>
      <c r="D3" s="3549"/>
      <c r="E3" s="3549"/>
    </row>
    <row r="4" spans="1:5" ht="19.5" thickBot="1">
      <c r="A4" s="1491"/>
      <c r="B4" s="3547" t="s">
        <v>917</v>
      </c>
      <c r="C4" s="3547"/>
      <c r="D4" s="3547"/>
      <c r="E4" s="1491"/>
    </row>
    <row r="5" spans="1:5" ht="16.5" thickTop="1">
      <c r="A5" s="1489"/>
      <c r="B5" s="3545" t="s">
        <v>909</v>
      </c>
      <c r="C5" s="1492" t="s">
        <v>910</v>
      </c>
      <c r="D5" s="848" t="e">
        <f ca="1">结果表!H101</f>
        <v>#REF!</v>
      </c>
      <c r="E5" s="1489"/>
    </row>
    <row r="6" spans="1:5" ht="15.75">
      <c r="A6" s="1489"/>
      <c r="B6" s="3545"/>
      <c r="C6" s="1492" t="s">
        <v>911</v>
      </c>
      <c r="D6" s="848" t="e">
        <f ca="1">NUMBERSTRING(INT(D5*10000),2)&amp;"元整"</f>
        <v>#REF!</v>
      </c>
      <c r="E6" s="1489"/>
    </row>
    <row r="7" spans="1:5" ht="15.75">
      <c r="A7" s="1489"/>
      <c r="B7" s="3550"/>
      <c r="C7" s="1493" t="s">
        <v>912</v>
      </c>
      <c r="D7" s="849" t="e">
        <f ca="1">结果表!H102</f>
        <v>#REF!</v>
      </c>
      <c r="E7" s="1489"/>
    </row>
    <row r="8" spans="1:5" ht="15.75">
      <c r="A8" s="1489"/>
      <c r="B8" s="3551" t="str">
        <f>结果表!E103</f>
        <v>2.估价师知悉的法定优先受偿款</v>
      </c>
      <c r="C8" s="1494" t="s">
        <v>913</v>
      </c>
      <c r="D8" s="849">
        <f>结果表!H103</f>
        <v>0</v>
      </c>
      <c r="E8" s="1489"/>
    </row>
    <row r="9" spans="1:5" ht="15.75">
      <c r="A9" s="1489"/>
      <c r="B9" s="355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44" t="str">
        <f>结果表!E107</f>
        <v>3.房地产抵押价值</v>
      </c>
      <c r="C13" s="1497" t="s">
        <v>910</v>
      </c>
      <c r="D13" s="851" t="e">
        <f ca="1">结果表!H107</f>
        <v>#REF!</v>
      </c>
      <c r="E13" s="1489"/>
    </row>
    <row r="14" spans="1:5" ht="15.75">
      <c r="A14" s="1489"/>
      <c r="B14" s="3545"/>
      <c r="C14" s="1492" t="s">
        <v>911</v>
      </c>
      <c r="D14" s="848" t="e">
        <f ca="1">NUMBERSTRING(INT(D13*10000),2)&amp;"元整"</f>
        <v>#REF!</v>
      </c>
      <c r="E14" s="1489"/>
    </row>
    <row r="15" spans="1:5" ht="15">
      <c r="A15" s="1489"/>
      <c r="B15" s="3550"/>
      <c r="C15" s="1493" t="s">
        <v>921</v>
      </c>
      <c r="D15" s="857" t="e">
        <f ca="1">结果表!H108</f>
        <v>#REF!</v>
      </c>
      <c r="E15" s="1489"/>
    </row>
    <row r="16" spans="1:5" ht="15">
      <c r="A16" s="1489"/>
      <c r="B16" s="3551" t="str">
        <f>结果表!E109</f>
        <v>——</v>
      </c>
      <c r="C16" s="1497" t="s">
        <v>922</v>
      </c>
      <c r="D16" s="1498" t="str">
        <f>结果表!H109</f>
        <v>——</v>
      </c>
      <c r="E16" s="1489"/>
    </row>
    <row r="17" spans="1:5" ht="15.75">
      <c r="A17" s="1489"/>
      <c r="B17" s="3552"/>
      <c r="C17" s="1492" t="s">
        <v>923</v>
      </c>
      <c r="D17" s="848" t="e">
        <f>NUMBERSTRING(INT(D16*10000),2)&amp;"元整"</f>
        <v>#VALUE!</v>
      </c>
      <c r="E17" s="1489"/>
    </row>
    <row r="18" spans="1:5" ht="15">
      <c r="A18" s="1489"/>
      <c r="B18" s="3553"/>
      <c r="C18" s="1493" t="s">
        <v>912</v>
      </c>
      <c r="D18" s="857" t="str">
        <f>结果表!H110</f>
        <v>——</v>
      </c>
      <c r="E18" s="1489"/>
    </row>
    <row r="19" spans="1:5" ht="15.75">
      <c r="A19" s="1489"/>
      <c r="B19" s="3544" t="str">
        <f>结果表!E111</f>
        <v>——</v>
      </c>
      <c r="C19" s="1497" t="s">
        <v>910</v>
      </c>
      <c r="D19" s="849" t="str">
        <f>结果表!H111</f>
        <v>——</v>
      </c>
      <c r="E19" s="1489"/>
    </row>
    <row r="20" spans="1:5" ht="15.75">
      <c r="A20" s="1489"/>
      <c r="B20" s="3545"/>
      <c r="C20" s="1492" t="s">
        <v>923</v>
      </c>
      <c r="D20" s="848" t="e">
        <f>NUMBERSTRING(INT(D19*10000),2)&amp;"元整"</f>
        <v>#VALUE!</v>
      </c>
      <c r="E20" s="1489"/>
    </row>
    <row r="21" spans="1:5" ht="15.75" thickBot="1">
      <c r="A21" s="1489"/>
      <c r="B21" s="354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45062</v>
      </c>
      <c r="B1" s="3208" t="s">
        <v>2833</v>
      </c>
      <c r="C1" s="3209"/>
      <c r="D1" s="3209"/>
      <c r="E1" s="3209"/>
      <c r="F1" s="3209"/>
      <c r="G1" s="3209"/>
      <c r="H1" s="3209"/>
      <c r="I1" s="3209"/>
      <c r="J1" s="3163"/>
      <c r="K1" s="3209" t="s">
        <v>454</v>
      </c>
      <c r="L1" s="3209"/>
      <c r="M1" s="3209"/>
      <c r="N1" s="3209"/>
      <c r="O1" s="3209"/>
      <c r="P1" s="3209"/>
      <c r="Q1" s="3163"/>
      <c r="R1" s="3851" t="s">
        <v>456</v>
      </c>
      <c r="S1" s="3852"/>
      <c r="T1" s="3852"/>
      <c r="U1" s="3852"/>
      <c r="V1" s="3852"/>
      <c r="W1" s="3852"/>
      <c r="X1" s="3163"/>
      <c r="Y1" s="3851" t="s">
        <v>457</v>
      </c>
      <c r="Z1" s="3852"/>
      <c r="AA1" s="3852"/>
      <c r="AB1" s="3852"/>
      <c r="AC1" s="3852"/>
      <c r="AD1" s="3852"/>
    </row>
    <row r="2" spans="1:30" s="3141" customFormat="1" ht="14.25" thickBot="1">
      <c r="B2" s="3142"/>
      <c r="C2" s="3143"/>
      <c r="D2" s="3144" t="s">
        <v>2803</v>
      </c>
      <c r="E2" s="3145" t="s">
        <v>2804</v>
      </c>
      <c r="F2" s="3145" t="s">
        <v>2805</v>
      </c>
      <c r="G2" s="3145" t="s">
        <v>2806</v>
      </c>
      <c r="H2" s="3145" t="s">
        <v>2807</v>
      </c>
      <c r="I2" s="3145" t="s">
        <v>2624</v>
      </c>
      <c r="J2" s="3146"/>
      <c r="K2" s="3144" t="s">
        <v>2803</v>
      </c>
      <c r="L2" s="3145" t="s">
        <v>2804</v>
      </c>
      <c r="M2" s="3145" t="s">
        <v>2805</v>
      </c>
      <c r="N2" s="3145" t="s">
        <v>2806</v>
      </c>
      <c r="O2" s="3145" t="s">
        <v>2808</v>
      </c>
      <c r="P2" s="3145" t="s">
        <v>2624</v>
      </c>
      <c r="Q2" s="3146"/>
      <c r="R2" s="3144" t="s">
        <v>2803</v>
      </c>
      <c r="S2" s="3145" t="s">
        <v>2804</v>
      </c>
      <c r="T2" s="3145" t="s">
        <v>2805</v>
      </c>
      <c r="U2" s="3145" t="s">
        <v>2809</v>
      </c>
      <c r="V2" s="3145" t="s">
        <v>2810</v>
      </c>
      <c r="W2" s="3145" t="s">
        <v>2624</v>
      </c>
      <c r="X2" s="3146"/>
      <c r="Y2" s="3144" t="s">
        <v>2803</v>
      </c>
      <c r="Z2" s="3145" t="s">
        <v>2804</v>
      </c>
      <c r="AA2" s="3145" t="s">
        <v>2805</v>
      </c>
      <c r="AB2" s="3145" t="s">
        <v>2811</v>
      </c>
      <c r="AC2" s="3145" t="s">
        <v>2810</v>
      </c>
      <c r="AD2" s="3145" t="s">
        <v>2624</v>
      </c>
    </row>
    <row r="3" spans="1:30" s="3159" customFormat="1" ht="12.75">
      <c r="A3" s="3147" t="s">
        <v>2812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ROUND(IF([5]项目基本情况!B8="出让",SUMPRODUCT(PRODUCT(1+K9:K16)),SUMPRODUCT(PRODUCT(1+K9:K15))),4)</f>
        <v>1.0565</v>
      </c>
      <c r="S9" s="3181">
        <f>ROUND(IF([5]项目基本情况!B8="出让",SUMPRODUCT(PRODUCT(1+L9:L16)),SUMPRODUCT(PRODUCT(1+L9:L15))),4)</f>
        <v>1.0250999999999999</v>
      </c>
      <c r="T9" s="3181">
        <f>ROUND(IF([5]项目基本情况!B8="出让",SUMPRODUCT(PRODUCT(1+M9:M16)),SUMPRODUCT(PRODUCT(1+M9:M15))),4)</f>
        <v>1.0145</v>
      </c>
      <c r="U9" s="3181">
        <f>ROUND(IF([5]项目基本情况!B8="出让",SUMPRODUCT(PRODUCT(1+N9:N16)),SUMPRODUCT(PRODUCT(1+N9:N15))),4)</f>
        <v>1.0618000000000001</v>
      </c>
      <c r="V9" s="3181">
        <f>ROUND(IF([5]项目基本情况!B8="出让",SUMPRODUCT(PRODUCT(1+O9:O16)),SUMPRODUCT(PRODUCT(1+O9:O15))),4)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ROUND(IF([5]项目基本情况!B8="出让",SUMPRODUCT(PRODUCT(1+K10:K16)),SUMPRODUCT(PRODUCT(1+K10:K15))),4)</f>
        <v>1.05</v>
      </c>
      <c r="S10" s="3181">
        <f>ROUND(IF([5]项目基本情况!B8="出让",SUMPRODUCT(PRODUCT(1+L10:L16)),SUMPRODUCT(PRODUCT(1+L10:L15))),4)</f>
        <v>1.0229999999999999</v>
      </c>
      <c r="T10" s="3181">
        <f>ROUND(IF([5]项目基本情况!B8="出让",SUMPRODUCT(PRODUCT(1+M10:M16)),SUMPRODUCT(PRODUCT(1+M10:M15))),4)</f>
        <v>1.0134000000000001</v>
      </c>
      <c r="U10" s="3181">
        <f>ROUND(IF([5]项目基本情况!B8="出让",SUMPRODUCT(PRODUCT(1+N10:N16)),SUMPRODUCT(PRODUCT(1+N10:N15))),4)</f>
        <v>1.0545</v>
      </c>
      <c r="V10" s="3181">
        <f>ROUND(IF([5]项目基本情况!B8="出让",SUMPRODUCT(PRODUCT(1+O10:O16)),SUMPRODUCT(PRODUCT(1+O10:O15))),4)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ROUND(IF([5]项目基本情况!B8="出让",SUMPRODUCT(PRODUCT(1+K11:K16)),SUMPRODUCT(PRODUCT(1+K11:K15))),4)</f>
        <v>1.0430999999999999</v>
      </c>
      <c r="S11" s="3181">
        <f>ROUND(IF([5]项目基本情况!B8="出让",SUMPRODUCT(PRODUCT(1+L11:L16)),SUMPRODUCT(PRODUCT(1+L11:L15))),4)</f>
        <v>1.0197000000000001</v>
      </c>
      <c r="T11" s="3181">
        <f>ROUND(IF([5]项目基本情况!B8="出让",SUMPRODUCT(PRODUCT(1+M11:M16)),SUMPRODUCT(PRODUCT(1+M11:M15))),4)</f>
        <v>1.0109999999999999</v>
      </c>
      <c r="U11" s="3181">
        <f>ROUND(IF([5]项目基本情况!B8="出让",SUMPRODUCT(PRODUCT(1+N11:N16)),SUMPRODUCT(PRODUCT(1+N11:N15))),4)</f>
        <v>1.0468999999999999</v>
      </c>
      <c r="V11" s="3181">
        <f>ROUND(IF([5]项目基本情况!B8="出让",SUMPRODUCT(PRODUCT(1+O11:O16)),SUMPRODUCT(PRODUCT(1+O11:O15))),4)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ROUND(IF([5]项目基本情况!B8="出让",SUMPRODUCT(PRODUCT(1+K12:K16)),SUMPRODUCT(PRODUCT(1+K12:K15))),4)</f>
        <v>1.0335000000000001</v>
      </c>
      <c r="S12" s="3181">
        <f>ROUND(IF([5]项目基本情况!B8="出让",SUMPRODUCT(PRODUCT(1+L12:L16)),SUMPRODUCT(PRODUCT(1+L12:L15))),4)</f>
        <v>1.0182</v>
      </c>
      <c r="T12" s="3181">
        <f>ROUND(IF([5]项目基本情况!B8="出让",SUMPRODUCT(PRODUCT(1+M12:M16)),SUMPRODUCT(PRODUCT(1+M12:M15))),4)</f>
        <v>1.0108999999999999</v>
      </c>
      <c r="U12" s="3181">
        <f>ROUND(IF([5]项目基本情况!B8="出让",SUMPRODUCT(PRODUCT(1+N12:N16)),SUMPRODUCT(PRODUCT(1+N12:N15))),4)</f>
        <v>1.0361</v>
      </c>
      <c r="V12" s="3181">
        <f>ROUND(IF([5]项目基本情况!B8="出让",SUMPRODUCT(PRODUCT(1+O12:O16)),SUMPRODUCT(PRODUCT(1+O12:O15))),4)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ROUND(IF([5]项目基本情况!B8="出让",SUMPRODUCT(PRODUCT(1+K13:K16)),SUMPRODUCT(PRODUCT(1+K13:K15))),4)</f>
        <v>1.0244</v>
      </c>
      <c r="S13" s="3181">
        <f>ROUND(IF([5]项目基本情况!B8="出让",SUMPRODUCT(PRODUCT(1+L13:L16)),SUMPRODUCT(PRODUCT(1+L13:L15))),4)</f>
        <v>1.0138</v>
      </c>
      <c r="T13" s="3181">
        <f>ROUND(IF([5]项目基本情况!B8="出让",SUMPRODUCT(PRODUCT(1+M13:M16)),SUMPRODUCT(PRODUCT(1+M13:M15))),4)</f>
        <v>1.0072000000000001</v>
      </c>
      <c r="U13" s="3181">
        <f>ROUND(IF([5]项目基本情况!B8="出让",SUMPRODUCT(PRODUCT(1+N13:N16)),SUMPRODUCT(PRODUCT(1+N13:N15))),4)</f>
        <v>1.0262</v>
      </c>
      <c r="V13" s="3181">
        <f>ROUND(IF([5]项目基本情况!B8="出让",SUMPRODUCT(PRODUCT(1+O13:O16)),SUMPRODUCT(PRODUCT(1+O13:O15))),4)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ROUND(IF([5]项目基本情况!B8="出让",SUMPRODUCT(PRODUCT(1+K14:K16)),SUMPRODUCT(PRODUCT(1+K14:K15))),4)</f>
        <v>1.0139</v>
      </c>
      <c r="S14" s="3181">
        <f>ROUND(IF([5]项目基本情况!B8="出让",SUMPRODUCT(PRODUCT(1+L14:L16)),SUMPRODUCT(PRODUCT(1+L14:L15))),4)</f>
        <v>1.0113000000000001</v>
      </c>
      <c r="T14" s="3181">
        <f>ROUND(IF([5]项目基本情况!B8="出让",SUMPRODUCT(PRODUCT(1+M14:M16)),SUMPRODUCT(PRODUCT(1+M14:M15))),4)</f>
        <v>1.0065</v>
      </c>
      <c r="U14" s="3181">
        <f>ROUND(IF([5]项目基本情况!B8="出让",SUMPRODUCT(PRODUCT(1+N14:N16)),SUMPRODUCT(PRODUCT(1+N14:N15))),4)</f>
        <v>1.0143</v>
      </c>
      <c r="V14" s="3181">
        <f>ROUND(IF([5]项目基本情况!B8="出让",SUMPRODUCT(PRODUCT(1+O14:O16)),SUMPRODUCT(PRODUCT(1+O14:O15))),4)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ROUND(IF([5]项目基本情况!B8="出让",SUMPRODUCT(PRODUCT(1+K15:K16)),SUMPRODUCT(PRODUCT(1+K15:K15))),4)</f>
        <v>1.0092000000000001</v>
      </c>
      <c r="S15" s="3181">
        <f>ROUND(IF([5]项目基本情况!B8="出让",SUMPRODUCT(PRODUCT(1+L15:L16)),SUMPRODUCT(PRODUCT(1+L15:L15))),4)</f>
        <v>1.0072000000000001</v>
      </c>
      <c r="T15" s="3181">
        <f>ROUND(IF([5]项目基本情况!B8="出让",SUMPRODUCT(PRODUCT(1+M15:M16)),SUMPRODUCT(PRODUCT(1+M15:M15))),4)</f>
        <v>1.0041</v>
      </c>
      <c r="U15" s="3181">
        <f>ROUND(IF([5]项目基本情况!B8="出让",SUMPRODUCT(PRODUCT(1+N15:N16)),SUMPRODUCT(PRODUCT(1+N15:N15))),4)</f>
        <v>1.0095000000000001</v>
      </c>
      <c r="V15" s="3181">
        <f>ROUND(IF([5]项目基本情况!B8="出让",SUMPRODUCT(PRODUCT(1+O15:O16)),SUMPRODUCT(PRODUCT(1+O15:O15))),4)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3360</v>
      </c>
    </row>
    <row r="19" spans="1:30" s="3007" customFormat="1">
      <c r="I19" s="3206" t="s">
        <v>2818</v>
      </c>
    </row>
    <row r="20" spans="1:30" s="3007" customFormat="1"/>
    <row r="21" spans="1:30" s="3207" customFormat="1" ht="12.75">
      <c r="B21" s="3208" t="s">
        <v>2819</v>
      </c>
      <c r="C21" s="3209"/>
      <c r="D21" s="3209"/>
      <c r="E21" s="3209"/>
      <c r="F21" s="3209"/>
      <c r="G21" s="3209"/>
      <c r="H21" s="3209"/>
      <c r="I21" s="3209"/>
      <c r="J21" s="3163"/>
      <c r="K21" s="3209" t="s">
        <v>2820</v>
      </c>
      <c r="L21" s="3209"/>
      <c r="M21" s="3209"/>
      <c r="N21" s="3209"/>
      <c r="O21" s="3209"/>
      <c r="P21" s="3209"/>
      <c r="Q21" s="3163"/>
      <c r="R21" s="3851" t="s">
        <v>2821</v>
      </c>
      <c r="S21" s="3852"/>
      <c r="T21" s="3852"/>
      <c r="U21" s="3852"/>
      <c r="V21" s="3852"/>
      <c r="W21" s="3852"/>
      <c r="X21" s="3163"/>
      <c r="Y21" s="3851" t="s">
        <v>2822</v>
      </c>
      <c r="Z21" s="3852"/>
      <c r="AA21" s="3852"/>
      <c r="AB21" s="3852"/>
      <c r="AC21" s="3852"/>
      <c r="AD21" s="3852"/>
    </row>
    <row r="22" spans="1:30" s="3141" customFormat="1" ht="14.25" thickBot="1">
      <c r="B22" s="3142"/>
      <c r="C22" s="3143"/>
      <c r="D22" s="3144" t="s">
        <v>2823</v>
      </c>
      <c r="E22" s="3145" t="s">
        <v>2824</v>
      </c>
      <c r="F22" s="3145" t="s">
        <v>2825</v>
      </c>
      <c r="G22" s="3145" t="s">
        <v>2826</v>
      </c>
      <c r="H22" s="3145"/>
      <c r="I22" s="3145" t="s">
        <v>2827</v>
      </c>
      <c r="J22" s="3146"/>
      <c r="K22" s="3144" t="s">
        <v>2823</v>
      </c>
      <c r="L22" s="3145" t="s">
        <v>2824</v>
      </c>
      <c r="M22" s="3145" t="s">
        <v>2825</v>
      </c>
      <c r="N22" s="3145" t="s">
        <v>2826</v>
      </c>
      <c r="O22" s="3145"/>
      <c r="P22" s="3145" t="s">
        <v>2827</v>
      </c>
      <c r="Q22" s="3146"/>
      <c r="R22" s="3144" t="s">
        <v>2823</v>
      </c>
      <c r="S22" s="3145" t="s">
        <v>2824</v>
      </c>
      <c r="T22" s="3145" t="s">
        <v>2825</v>
      </c>
      <c r="U22" s="3145" t="s">
        <v>2826</v>
      </c>
      <c r="V22" s="3145"/>
      <c r="W22" s="3145" t="s">
        <v>2827</v>
      </c>
      <c r="X22" s="3146"/>
      <c r="Y22" s="3144" t="s">
        <v>2823</v>
      </c>
      <c r="Z22" s="3145" t="s">
        <v>2824</v>
      </c>
      <c r="AA22" s="3145" t="s">
        <v>2825</v>
      </c>
      <c r="AB22" s="3145" t="s">
        <v>2826</v>
      </c>
      <c r="AC22" s="3145"/>
      <c r="AD22" s="3145" t="s">
        <v>2827</v>
      </c>
    </row>
    <row r="23" spans="1:30" s="3159" customFormat="1" ht="12.75">
      <c r="A23" s="3147" t="s">
        <v>2828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ROUND(IF([5]项目基本情况!$B$8="出让",SUMPRODUCT(PRODUCT(1+L25:L$36)),SUMPRODUCT(PRODUCT(1+L25:L$35))),4)</f>
        <v>1.0344</v>
      </c>
      <c r="T25" s="3181">
        <f>ROUND(IF([5]项目基本情况!$B$8="出让",SUMPRODUCT(PRODUCT(1+M25:M$36)),SUMPRODUCT(PRODUCT(1+M25:M$35))),4)</f>
        <v>1.0224</v>
      </c>
      <c r="U25" s="3181">
        <f>ROUND(IF([5]项目基本情况!$B$8="出让",SUMPRODUCT(PRODUCT(1+N25:N$36)),SUMPRODUCT(PRODUCT(1+N25:N$35))),4)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ROUND(IF([5]项目基本情况!$B$8="出让",SUMPRODUCT(PRODUCT(1+L26:L$36)),SUMPRODUCT(PRODUCT(1+L26:L$35))),4)</f>
        <v>1.0344</v>
      </c>
      <c r="T26" s="3181">
        <f>ROUND(IF([5]项目基本情况!$B$8="出让",SUMPRODUCT(PRODUCT(1+M26:M$36)),SUMPRODUCT(PRODUCT(1+M26:M$35))),4)</f>
        <v>1.0224</v>
      </c>
      <c r="U26" s="3181">
        <f>ROUND(IF([5]项目基本情况!$B$8="出让",SUMPRODUCT(PRODUCT(1+N26:N$36)),SUMPRODUCT(PRODUCT(1+N26:N$35))),4)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ROUND(IF([5]项目基本情况!$B$8="出让",SUMPRODUCT(PRODUCT(1+L27:L$36)),SUMPRODUCT(PRODUCT(1+L27:L$35))),4)</f>
        <v>1.0344</v>
      </c>
      <c r="T27" s="3181">
        <f>ROUND(IF([5]项目基本情况!$B$8="出让",SUMPRODUCT(PRODUCT(1+M27:M$36)),SUMPRODUCT(PRODUCT(1+M27:M$35))),4)</f>
        <v>1.0224</v>
      </c>
      <c r="U27" s="3181">
        <f>ROUND(IF([5]项目基本情况!$B$8="出让",SUMPRODUCT(PRODUCT(1+N27:N$36)),SUMPRODUCT(PRODUCT(1+N27:N$35))),4)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ROUND(IF([5]项目基本情况!$B$8="出让",SUMPRODUCT(PRODUCT(1+L28:L$36)),SUMPRODUCT(PRODUCT(1+L28:L$35))),4)</f>
        <v>1.0344</v>
      </c>
      <c r="T28" s="3190">
        <f>ROUND(IF([5]项目基本情况!$B$8="出让",SUMPRODUCT(PRODUCT(1+M28:M$36)),SUMPRODUCT(PRODUCT(1+M28:M$35))),4)</f>
        <v>1.0224</v>
      </c>
      <c r="U28" s="3190">
        <f>ROUND(IF([5]项目基本情况!$B$8="出让",SUMPRODUCT(PRODUCT(1+N28:N$36)),SUMPRODUCT(PRODUCT(1+N28:N$35))),4)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ROUND(IF([5]项目基本情况!$B$8="出让",SUMPRODUCT(PRODUCT(1+L29:L$36)),SUMPRODUCT(PRODUCT(1+L29:L$35))),4)</f>
        <v>1.0286999999999999</v>
      </c>
      <c r="T29" s="3181">
        <f>ROUND(IF([5]项目基本情况!$B$8="出让",SUMPRODUCT(PRODUCT(1+M29:M$36)),SUMPRODUCT(PRODUCT(1+M29:M$35))),4)</f>
        <v>1.0164</v>
      </c>
      <c r="U29" s="3181">
        <f>ROUND(IF([5]项目基本情况!$B$8="出让",SUMPRODUCT(PRODUCT(1+N29:N$36)),SUMPRODUCT(PRODUCT(1+N29:N$35))),4)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3359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ROUND(IF([5]项目基本情况!$B$8="出让",SUMPRODUCT(PRODUCT(1+L30:L$36)),SUMPRODUCT(PRODUCT(1+L30:L$35))),4)</f>
        <v>1.0241</v>
      </c>
      <c r="T30" s="3181">
        <f>ROUND(IF([5]项目基本情况!$B$8="出让",SUMPRODUCT(PRODUCT(1+M30:M$36)),SUMPRODUCT(PRODUCT(1+M30:M$35))),4)</f>
        <v>1.0144</v>
      </c>
      <c r="U30" s="3181">
        <f>ROUND(IF([5]项目基本情况!$B$8="出让",SUMPRODUCT(PRODUCT(1+N30:N$36)),SUMPRODUCT(PRODUCT(1+N30:N$35))),4)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ROUND(IF([5]项目基本情况!$B$8="出让",SUMPRODUCT(PRODUCT(1+L31:L$36)),SUMPRODUCT(PRODUCT(1+L31:L$35))),4)</f>
        <v>1.0210999999999999</v>
      </c>
      <c r="T31" s="3181">
        <f>ROUND(IF([5]项目基本情况!$B$8="出让",SUMPRODUCT(PRODUCT(1+M31:M$36)),SUMPRODUCT(PRODUCT(1+M31:M$35))),4)</f>
        <v>1.0114000000000001</v>
      </c>
      <c r="U31" s="3181">
        <f>ROUND(IF([5]项目基本情况!$B$8="出让",SUMPRODUCT(PRODUCT(1+N31:N$36)),SUMPRODUCT(PRODUCT(1+N31:N$35))),4)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ROUND(IF([5]项目基本情况!$B$8="出让",SUMPRODUCT(PRODUCT(1+L32:L$36)),SUMPRODUCT(PRODUCT(1+L32:L$35))),4)</f>
        <v>1.0222</v>
      </c>
      <c r="T32" s="3181">
        <f>ROUND(IF([5]项目基本情况!$B$8="出让",SUMPRODUCT(PRODUCT(1+M32:M$36)),SUMPRODUCT(PRODUCT(1+M32:M$35))),4)</f>
        <v>1.0127999999999999</v>
      </c>
      <c r="U32" s="3181">
        <f>ROUND(IF([5]项目基本情况!$B$8="出让",SUMPRODUCT(PRODUCT(1+N32:N$36)),SUMPRODUCT(PRODUCT(1+N32:N$35))),4)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ROUND(IF([5]项目基本情况!$B$8="出让",SUMPRODUCT(PRODUCT(1+L33:L$36)),SUMPRODUCT(PRODUCT(1+L33:L$35))),4)</f>
        <v>1.0161</v>
      </c>
      <c r="T33" s="3181">
        <f>ROUND(IF([5]项目基本情况!$B$8="出让",SUMPRODUCT(PRODUCT(1+M33:M$36)),SUMPRODUCT(PRODUCT(1+M33:M$35))),4)</f>
        <v>1.0082</v>
      </c>
      <c r="U33" s="3181">
        <f>ROUND(IF([5]项目基本情况!$B$8="出让",SUMPRODUCT(PRODUCT(1+N33:N$36)),SUMPRODUCT(PRODUCT(1+N33:N$35))),4)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ROUND(IF([5]项目基本情况!$B$8="出让",SUMPRODUCT(PRODUCT(1+L34:L$36)),SUMPRODUCT(PRODUCT(1+L34:L$35))),4)</f>
        <v>1.0102</v>
      </c>
      <c r="T34" s="3181">
        <f>ROUND(IF([5]项目基本情况!$B$8="出让",SUMPRODUCT(PRODUCT(1+M34:M$36)),SUMPRODUCT(PRODUCT(1+M34:M$35))),4)</f>
        <v>1.0074000000000001</v>
      </c>
      <c r="U34" s="3181">
        <f>ROUND(IF([5]项目基本情况!$B$8="出让",SUMPRODUCT(PRODUCT(1+N34:N$36)),SUMPRODUCT(PRODUCT(1+N34:N$35))),4)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ROUND(IF([5]项目基本情况!$B$8="出让",SUMPRODUCT(PRODUCT(1+L35:L$36)),SUMPRODUCT(PRODUCT(1+L35:L$35))),4)</f>
        <v>1.0055000000000001</v>
      </c>
      <c r="T35" s="3181">
        <f>ROUND(IF([5]项目基本情况!$B$8="出让",SUMPRODUCT(PRODUCT(1+M35:M$36)),SUMPRODUCT(PRODUCT(1+M35:M$35))),4)</f>
        <v>1.0045999999999999</v>
      </c>
      <c r="U35" s="3181">
        <f>ROUND(IF([5]项目基本情况!$B$8="出让",SUMPRODUCT(PRODUCT(1+N35:N$36)),SUMPRODUCT(PRODUCT(1+N35:N$35))),4)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8" t="s">
        <v>452</v>
      </c>
      <c r="C1" s="3858"/>
      <c r="D1" s="3858"/>
      <c r="E1" s="3858"/>
      <c r="F1" s="3858"/>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6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2303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A19" zoomScaleSheetLayoutView="100" workbookViewId="0">
      <selection activeCell="C39" sqref="C39"/>
    </sheetView>
  </sheetViews>
  <sheetFormatPr defaultColWidth="9" defaultRowHeight="13.5"/>
  <cols>
    <col min="1" max="1" width="6.375" style="3462" customWidth="1"/>
    <col min="2" max="2" width="19.375" style="3537" customWidth="1"/>
    <col min="3" max="3" width="10.125" style="3523" customWidth="1"/>
    <col min="4" max="4" width="6.375" style="3523" customWidth="1"/>
    <col min="5" max="5" width="7.375" style="3523" customWidth="1"/>
    <col min="6" max="6" width="6.5" style="3523" customWidth="1"/>
    <col min="7" max="7" width="19.375" style="3538" customWidth="1"/>
    <col min="8" max="8" width="19.5" style="3462" customWidth="1"/>
    <col min="9" max="9" width="8.625" style="3462" customWidth="1"/>
    <col min="10" max="10" width="10.5" style="3458" customWidth="1"/>
    <col min="11" max="11" width="4.875" style="3491" customWidth="1"/>
    <col min="12" max="12" width="16.375" style="3491" customWidth="1"/>
    <col min="13" max="16" width="8.125" style="3462" customWidth="1"/>
    <col min="17" max="16384" width="9" style="3462"/>
  </cols>
  <sheetData>
    <row r="1" spans="1:16">
      <c r="A1" s="3864" t="s">
        <v>3430</v>
      </c>
      <c r="B1" s="3864"/>
      <c r="C1" s="3864"/>
      <c r="D1" s="3864"/>
      <c r="E1" s="3864"/>
      <c r="F1" s="3864"/>
      <c r="G1" s="3864"/>
      <c r="H1" s="3864"/>
      <c r="I1" s="3864"/>
      <c r="K1" s="3865" t="s">
        <v>3431</v>
      </c>
      <c r="L1" s="3459" t="s">
        <v>3432</v>
      </c>
      <c r="M1" s="3460">
        <v>0</v>
      </c>
      <c r="N1" s="3461"/>
      <c r="O1" s="3461"/>
    </row>
    <row r="2" spans="1:16" ht="15.75" customHeight="1">
      <c r="A2" s="3463" t="s">
        <v>3433</v>
      </c>
      <c r="B2" s="3464" t="s">
        <v>3434</v>
      </c>
      <c r="C2" s="3866" t="s">
        <v>3435</v>
      </c>
      <c r="D2" s="3867"/>
      <c r="E2" s="3867"/>
      <c r="F2" s="3868"/>
      <c r="G2" s="3465" t="s">
        <v>3436</v>
      </c>
      <c r="H2" s="3869" t="s">
        <v>3437</v>
      </c>
      <c r="I2" s="3869"/>
      <c r="K2" s="3865"/>
      <c r="L2" s="3459" t="s">
        <v>3438</v>
      </c>
      <c r="M2" s="3466"/>
      <c r="N2" s="3467"/>
      <c r="O2" s="3467"/>
    </row>
    <row r="3" spans="1:16">
      <c r="A3" s="3468" t="s">
        <v>3439</v>
      </c>
      <c r="B3" s="3469" t="s">
        <v>3440</v>
      </c>
      <c r="C3" s="3866">
        <f ca="1">'成本法 (元)'!B2*10000</f>
        <v>7770617</v>
      </c>
      <c r="D3" s="3867"/>
      <c r="E3" s="3867"/>
      <c r="F3" s="3868"/>
      <c r="G3" s="3468" t="s">
        <v>3441</v>
      </c>
      <c r="H3" s="3470" t="s">
        <v>3442</v>
      </c>
      <c r="I3" s="3471">
        <f>'数据-汇总表'!E3</f>
        <v>408.56</v>
      </c>
      <c r="J3" s="3458">
        <f ca="1">C3/I3</f>
        <v>19019.524672018797</v>
      </c>
      <c r="K3" s="3865"/>
      <c r="L3" s="3459" t="s">
        <v>3443</v>
      </c>
      <c r="M3" s="3466"/>
      <c r="N3" s="3467"/>
      <c r="O3" s="3472"/>
    </row>
    <row r="4" spans="1:16">
      <c r="A4" s="3870" t="s">
        <v>3444</v>
      </c>
      <c r="B4" s="3871" t="s">
        <v>3445</v>
      </c>
      <c r="C4" s="3872">
        <f ca="1">ROUND(C3*(I4-I6)/(1-((1+I6)/(1+I4))^I5),0)</f>
        <v>507935</v>
      </c>
      <c r="D4" s="3873"/>
      <c r="E4" s="3873"/>
      <c r="F4" s="3874"/>
      <c r="G4" s="3870" t="s">
        <v>3446</v>
      </c>
      <c r="H4" s="3473" t="s">
        <v>3447</v>
      </c>
      <c r="I4" s="3474">
        <f>'数据-取费表'!I6</f>
        <v>5.5E-2</v>
      </c>
      <c r="J4" s="3458">
        <f ca="1">'比较法-商业'!C49*365/J3</f>
        <v>9.9792188960027242E-2</v>
      </c>
      <c r="K4" s="3865"/>
      <c r="L4" s="3459" t="s">
        <v>3448</v>
      </c>
      <c r="M4" s="3475" t="e">
        <f>ROUND(1-(1-M1)*M2/M3,2)</f>
        <v>#DIV/0!</v>
      </c>
      <c r="N4" s="3467"/>
      <c r="O4" s="3467"/>
    </row>
    <row r="5" spans="1:16" s="3479" customFormat="1" ht="18" customHeight="1">
      <c r="A5" s="3870"/>
      <c r="B5" s="3871"/>
      <c r="C5" s="3875"/>
      <c r="D5" s="3876"/>
      <c r="E5" s="3876"/>
      <c r="F5" s="3877"/>
      <c r="G5" s="3870"/>
      <c r="H5" s="3469" t="s">
        <v>3449</v>
      </c>
      <c r="I5" s="3476">
        <f>项目基本情况!D15</f>
        <v>24.49</v>
      </c>
      <c r="J5" s="3477"/>
      <c r="K5" s="3865"/>
      <c r="L5" s="3459" t="s">
        <v>3450</v>
      </c>
      <c r="M5" s="3478">
        <v>0.5</v>
      </c>
      <c r="N5" s="3467"/>
      <c r="O5" s="3467"/>
    </row>
    <row r="6" spans="1:16" s="3479" customFormat="1" ht="18" customHeight="1">
      <c r="A6" s="3870"/>
      <c r="B6" s="3871"/>
      <c r="C6" s="3878"/>
      <c r="D6" s="3879"/>
      <c r="E6" s="3879"/>
      <c r="F6" s="3880"/>
      <c r="G6" s="3870"/>
      <c r="H6" s="3469" t="s">
        <v>3451</v>
      </c>
      <c r="I6" s="3474">
        <v>1.4999999999999999E-2</v>
      </c>
      <c r="J6" s="3480"/>
      <c r="K6" s="3881" t="s">
        <v>3452</v>
      </c>
      <c r="L6" s="3481" t="s">
        <v>3453</v>
      </c>
      <c r="M6" s="3482" t="s">
        <v>3454</v>
      </c>
      <c r="N6" s="3482" t="s">
        <v>3455</v>
      </c>
      <c r="O6" s="3482" t="s">
        <v>3456</v>
      </c>
      <c r="P6" s="3482" t="s">
        <v>3457</v>
      </c>
    </row>
    <row r="7" spans="1:16" s="3479" customFormat="1" ht="17.25" customHeight="1">
      <c r="A7" s="3468" t="s">
        <v>3458</v>
      </c>
      <c r="B7" s="3469" t="s">
        <v>3459</v>
      </c>
      <c r="C7" s="3866">
        <f ca="1">ROUND(C23*I7,0)</f>
        <v>1109442</v>
      </c>
      <c r="D7" s="3867"/>
      <c r="E7" s="3867"/>
      <c r="F7" s="3868"/>
      <c r="G7" s="3465" t="s">
        <v>3460</v>
      </c>
      <c r="H7" s="3469" t="s">
        <v>3461</v>
      </c>
      <c r="I7" s="3483">
        <f>'数据-取费表'!N6</f>
        <v>0.73</v>
      </c>
      <c r="K7" s="3881"/>
      <c r="L7" s="3481" t="s">
        <v>3462</v>
      </c>
      <c r="M7" s="3482">
        <v>100</v>
      </c>
      <c r="N7" s="3482" t="s">
        <v>3463</v>
      </c>
      <c r="O7" s="3482">
        <v>60</v>
      </c>
      <c r="P7" s="3484">
        <v>0.3</v>
      </c>
    </row>
    <row r="8" spans="1:16" s="3479" customFormat="1" ht="23.25" customHeight="1">
      <c r="A8" s="3463" t="s">
        <v>3464</v>
      </c>
      <c r="B8" s="3469" t="s">
        <v>3465</v>
      </c>
      <c r="C8" s="3866">
        <f>ROUND(I8*I3,0)</f>
        <v>980544</v>
      </c>
      <c r="D8" s="3867"/>
      <c r="E8" s="3867"/>
      <c r="F8" s="3868"/>
      <c r="G8" s="3465" t="s">
        <v>3466</v>
      </c>
      <c r="H8" s="3469" t="s">
        <v>3467</v>
      </c>
      <c r="I8" s="3485">
        <f>'数据-取费表'!L6</f>
        <v>2400</v>
      </c>
      <c r="J8" s="3486">
        <f>D36</f>
        <v>5.2</v>
      </c>
      <c r="K8" s="3881"/>
      <c r="L8" s="3481" t="s">
        <v>3468</v>
      </c>
      <c r="M8" s="3482">
        <v>100</v>
      </c>
      <c r="N8" s="3482" t="s">
        <v>3463</v>
      </c>
      <c r="O8" s="3482">
        <v>60</v>
      </c>
      <c r="P8" s="3484">
        <v>0.5</v>
      </c>
    </row>
    <row r="9" spans="1:16" s="3479" customFormat="1" ht="18" customHeight="1">
      <c r="A9" s="3463" t="s">
        <v>3469</v>
      </c>
      <c r="B9" s="3469" t="s">
        <v>3470</v>
      </c>
      <c r="C9" s="3866">
        <f>ROUND(C8*H9,0)</f>
        <v>29416</v>
      </c>
      <c r="D9" s="3867"/>
      <c r="E9" s="3867"/>
      <c r="F9" s="3868"/>
      <c r="G9" s="3465" t="s">
        <v>3471</v>
      </c>
      <c r="H9" s="3882">
        <f>'数据-取费表'!B33</f>
        <v>0.03</v>
      </c>
      <c r="I9" s="3882"/>
      <c r="J9" s="3486">
        <f ca="1">D37</f>
        <v>5.12</v>
      </c>
      <c r="K9" s="3881"/>
      <c r="L9" s="3481" t="s">
        <v>3472</v>
      </c>
      <c r="M9" s="3482">
        <v>100</v>
      </c>
      <c r="N9" s="3482" t="s">
        <v>3463</v>
      </c>
      <c r="O9" s="3482">
        <v>60</v>
      </c>
      <c r="P9" s="3484">
        <f>1-P7-P8</f>
        <v>0.19999999999999996</v>
      </c>
    </row>
    <row r="10" spans="1:16" s="3479" customFormat="1" ht="18" customHeight="1">
      <c r="A10" s="3463" t="s">
        <v>3473</v>
      </c>
      <c r="B10" s="3469" t="s">
        <v>3474</v>
      </c>
      <c r="C10" s="3866">
        <f>ROUND(C8*H10,0)</f>
        <v>0</v>
      </c>
      <c r="D10" s="3867"/>
      <c r="E10" s="3867"/>
      <c r="F10" s="3868"/>
      <c r="G10" s="3465" t="s">
        <v>3471</v>
      </c>
      <c r="H10" s="3882">
        <v>0</v>
      </c>
      <c r="I10" s="3882"/>
      <c r="J10" s="3486">
        <f ca="1">D38</f>
        <v>5.2</v>
      </c>
      <c r="K10" s="3881"/>
      <c r="L10" s="3487" t="s">
        <v>3450</v>
      </c>
      <c r="M10" s="3488">
        <f>1-M5</f>
        <v>0.5</v>
      </c>
      <c r="N10" s="3482" t="s">
        <v>3448</v>
      </c>
      <c r="O10" s="3489">
        <f>ROUND((O7*P7+O8*P8+O9*P9)/100,2)</f>
        <v>0.6</v>
      </c>
      <c r="P10" s="3490"/>
    </row>
    <row r="11" spans="1:16" s="3479" customFormat="1" ht="29.25" customHeight="1">
      <c r="A11" s="3463" t="s">
        <v>3475</v>
      </c>
      <c r="B11" s="3469" t="s">
        <v>3476</v>
      </c>
      <c r="C11" s="3866">
        <f>ROUND(I11*I3,0)</f>
        <v>81712</v>
      </c>
      <c r="D11" s="3867"/>
      <c r="E11" s="3867"/>
      <c r="F11" s="3868"/>
      <c r="G11" s="3465" t="s">
        <v>3477</v>
      </c>
      <c r="H11" s="3469" t="s">
        <v>3478</v>
      </c>
      <c r="I11" s="3465">
        <f>'数据-取费表'!B35</f>
        <v>200</v>
      </c>
      <c r="J11" s="3477"/>
      <c r="K11" s="3491"/>
      <c r="L11" s="3491"/>
      <c r="N11" s="3479" t="e">
        <f>(M4+O10)/2</f>
        <v>#DIV/0!</v>
      </c>
    </row>
    <row r="12" spans="1:16" s="3479" customFormat="1" ht="18" customHeight="1">
      <c r="A12" s="3463" t="s">
        <v>3479</v>
      </c>
      <c r="B12" s="3469" t="s">
        <v>3480</v>
      </c>
      <c r="C12" s="3866">
        <f>ROUND(C8*H12,0)</f>
        <v>14708</v>
      </c>
      <c r="D12" s="3867"/>
      <c r="E12" s="3867"/>
      <c r="F12" s="3868"/>
      <c r="G12" s="3465" t="s">
        <v>3471</v>
      </c>
      <c r="H12" s="3882">
        <f>'数据-取费表'!B36</f>
        <v>1.4999999999999999E-2</v>
      </c>
      <c r="I12" s="3882"/>
      <c r="J12" s="3492" t="s">
        <v>3481</v>
      </c>
      <c r="L12" s="3493"/>
    </row>
    <row r="13" spans="1:16" s="3479" customFormat="1" ht="18" customHeight="1">
      <c r="A13" s="3463" t="s">
        <v>3482</v>
      </c>
      <c r="B13" s="3469" t="s">
        <v>3483</v>
      </c>
      <c r="C13" s="3866">
        <f>SUM(C8:F12)</f>
        <v>1106380</v>
      </c>
      <c r="D13" s="3867"/>
      <c r="E13" s="3867"/>
      <c r="F13" s="3868"/>
      <c r="G13" s="3869" t="s">
        <v>3484</v>
      </c>
      <c r="H13" s="3869"/>
      <c r="I13" s="3869"/>
      <c r="J13" s="3492" t="s">
        <v>3485</v>
      </c>
      <c r="L13" s="3493"/>
    </row>
    <row r="14" spans="1:16" s="3479" customFormat="1" ht="18" customHeight="1">
      <c r="A14" s="3463" t="s">
        <v>3486</v>
      </c>
      <c r="B14" s="3469" t="s">
        <v>3487</v>
      </c>
      <c r="C14" s="3866">
        <f>ROUND(C13*H14,0)</f>
        <v>22128</v>
      </c>
      <c r="D14" s="3867"/>
      <c r="E14" s="3867"/>
      <c r="F14" s="3868"/>
      <c r="G14" s="3465" t="s">
        <v>3488</v>
      </c>
      <c r="H14" s="3882">
        <f>'数据-取费表'!B37</f>
        <v>0.02</v>
      </c>
      <c r="I14" s="3882"/>
      <c r="J14" s="3477"/>
      <c r="L14" s="3493"/>
    </row>
    <row r="15" spans="1:16" s="3479" customFormat="1" ht="18" customHeight="1">
      <c r="A15" s="3463" t="s">
        <v>3489</v>
      </c>
      <c r="B15" s="3469" t="s">
        <v>3490</v>
      </c>
      <c r="C15" s="3887">
        <f>H15</f>
        <v>0.02</v>
      </c>
      <c r="D15" s="3888"/>
      <c r="E15" s="3885" t="str">
        <f>E18</f>
        <v>V</v>
      </c>
      <c r="F15" s="3886"/>
      <c r="G15" s="3465" t="s">
        <v>3491</v>
      </c>
      <c r="H15" s="3882">
        <f>'数据-取费表'!B38</f>
        <v>0.02</v>
      </c>
      <c r="I15" s="3882"/>
      <c r="J15" s="3494"/>
      <c r="K15" s="3495"/>
    </row>
    <row r="16" spans="1:16" s="3479" customFormat="1" ht="18" customHeight="1">
      <c r="A16" s="3496" t="s">
        <v>3492</v>
      </c>
      <c r="B16" s="3497" t="s">
        <v>3493</v>
      </c>
      <c r="C16" s="3498">
        <f ca="1">C17</f>
        <v>46833</v>
      </c>
      <c r="D16" s="3499" t="s">
        <v>3494</v>
      </c>
      <c r="E16" s="3500">
        <f ca="1">C18</f>
        <v>8.299999999999999E-4</v>
      </c>
      <c r="F16" s="3501" t="str">
        <f>E18</f>
        <v>V</v>
      </c>
      <c r="G16" s="3866" t="s">
        <v>3495</v>
      </c>
      <c r="H16" s="3867"/>
      <c r="I16" s="3868"/>
      <c r="J16" s="3477"/>
      <c r="K16" s="3491"/>
    </row>
    <row r="17" spans="1:12" s="3479" customFormat="1" ht="18" customHeight="1">
      <c r="A17" s="3463" t="s">
        <v>3496</v>
      </c>
      <c r="B17" s="3469" t="s">
        <v>3497</v>
      </c>
      <c r="C17" s="3866">
        <f ca="1">ROUND((C13+C14)*I18*(I17/2),0)</f>
        <v>46833</v>
      </c>
      <c r="D17" s="3867"/>
      <c r="E17" s="3867"/>
      <c r="F17" s="3868"/>
      <c r="G17" s="3498" t="s">
        <v>3498</v>
      </c>
      <c r="H17" s="3469" t="s">
        <v>3499</v>
      </c>
      <c r="I17" s="3502">
        <f>'数据-取费表'!B21</f>
        <v>2</v>
      </c>
      <c r="J17" s="3492" t="s">
        <v>3500</v>
      </c>
      <c r="K17" s="3491"/>
      <c r="L17" s="3491"/>
    </row>
    <row r="18" spans="1:12" s="3479" customFormat="1" ht="18" customHeight="1">
      <c r="A18" s="3463" t="s">
        <v>3501</v>
      </c>
      <c r="B18" s="3469" t="s">
        <v>3502</v>
      </c>
      <c r="C18" s="3883">
        <f ca="1">H15*I18*I17/2</f>
        <v>8.299999999999999E-4</v>
      </c>
      <c r="D18" s="3884"/>
      <c r="E18" s="3885" t="s">
        <v>3503</v>
      </c>
      <c r="F18" s="3886"/>
      <c r="G18" s="3498" t="s">
        <v>3504</v>
      </c>
      <c r="H18" s="3469" t="s">
        <v>3505</v>
      </c>
      <c r="I18" s="3503">
        <f ca="1">'数据-取费表'!B40</f>
        <v>4.1499999999999995E-2</v>
      </c>
      <c r="J18" s="3492" t="s">
        <v>3506</v>
      </c>
      <c r="K18" s="3491"/>
      <c r="L18" s="3491"/>
    </row>
    <row r="19" spans="1:12" s="3479" customFormat="1" ht="27" customHeight="1">
      <c r="A19" s="3463" t="s">
        <v>3507</v>
      </c>
      <c r="B19" s="3469" t="s">
        <v>3508</v>
      </c>
      <c r="C19" s="3498">
        <f>C20</f>
        <v>225702</v>
      </c>
      <c r="D19" s="3499" t="s">
        <v>3494</v>
      </c>
      <c r="E19" s="3499">
        <f>C21</f>
        <v>4.0000000000000001E-3</v>
      </c>
      <c r="F19" s="3501" t="str">
        <f>E21</f>
        <v>V</v>
      </c>
      <c r="G19" s="3866" t="s">
        <v>3509</v>
      </c>
      <c r="H19" s="3867"/>
      <c r="I19" s="3868"/>
      <c r="J19" s="3477"/>
      <c r="K19" s="3491"/>
      <c r="L19" s="3491"/>
    </row>
    <row r="20" spans="1:12" s="3479" customFormat="1" ht="26.25" customHeight="1">
      <c r="A20" s="3463" t="s">
        <v>3510</v>
      </c>
      <c r="B20" s="3469" t="s">
        <v>3511</v>
      </c>
      <c r="C20" s="3866">
        <f>ROUND((C13+C14)*I20,0)</f>
        <v>225702</v>
      </c>
      <c r="D20" s="3867"/>
      <c r="E20" s="3867"/>
      <c r="F20" s="3868"/>
      <c r="G20" s="3465" t="s">
        <v>3512</v>
      </c>
      <c r="H20" s="3891" t="s">
        <v>3513</v>
      </c>
      <c r="I20" s="3893">
        <v>0.2</v>
      </c>
      <c r="J20" s="3492" t="s">
        <v>3514</v>
      </c>
      <c r="K20" s="3491"/>
      <c r="L20" s="3491"/>
    </row>
    <row r="21" spans="1:12" s="3479" customFormat="1" ht="27" customHeight="1">
      <c r="A21" s="3463" t="s">
        <v>3510</v>
      </c>
      <c r="B21" s="3469" t="s">
        <v>3515</v>
      </c>
      <c r="C21" s="3894">
        <f>H15*I20</f>
        <v>4.0000000000000001E-3</v>
      </c>
      <c r="D21" s="3895"/>
      <c r="E21" s="3885" t="s">
        <v>3516</v>
      </c>
      <c r="F21" s="3886"/>
      <c r="G21" s="3465" t="s">
        <v>3517</v>
      </c>
      <c r="H21" s="3892"/>
      <c r="I21" s="3893"/>
      <c r="J21" s="3477"/>
      <c r="K21" s="3491"/>
      <c r="L21" s="3491"/>
    </row>
    <row r="22" spans="1:12" s="3479" customFormat="1" ht="18" customHeight="1">
      <c r="A22" s="3463" t="s">
        <v>3518</v>
      </c>
      <c r="B22" s="3469" t="s">
        <v>3519</v>
      </c>
      <c r="C22" s="3894">
        <f>ROUND(H22/1.05,4)</f>
        <v>5.33E-2</v>
      </c>
      <c r="D22" s="3895"/>
      <c r="E22" s="3885" t="s">
        <v>3516</v>
      </c>
      <c r="F22" s="3886"/>
      <c r="G22" s="3465" t="s">
        <v>3520</v>
      </c>
      <c r="H22" s="3882">
        <f>'数据-取费表'!B41</f>
        <v>5.6000000000000001E-2</v>
      </c>
      <c r="I22" s="3882"/>
      <c r="J22" s="3504"/>
      <c r="K22" s="3491"/>
      <c r="L22" s="3491"/>
    </row>
    <row r="23" spans="1:12" s="3479" customFormat="1" ht="18" customHeight="1">
      <c r="A23" s="3463" t="s">
        <v>3521</v>
      </c>
      <c r="B23" s="3469" t="s">
        <v>3522</v>
      </c>
      <c r="C23" s="3866">
        <f ca="1">ROUND((C13+C14+C17+C20)/(1-H15-C18-C21-C22),0)</f>
        <v>1519784</v>
      </c>
      <c r="D23" s="3867"/>
      <c r="E23" s="3867"/>
      <c r="F23" s="3868"/>
      <c r="G23" s="3866" t="s">
        <v>3523</v>
      </c>
      <c r="H23" s="3867"/>
      <c r="I23" s="3868"/>
      <c r="J23" s="3504"/>
      <c r="K23" s="3491"/>
      <c r="L23" s="3491"/>
    </row>
    <row r="24" spans="1:12" s="3479" customFormat="1" ht="18" customHeight="1">
      <c r="A24" s="3463" t="s">
        <v>3524</v>
      </c>
      <c r="B24" s="3469" t="s">
        <v>3525</v>
      </c>
      <c r="C24" s="3505">
        <f ca="1">C27+C28</f>
        <v>24461</v>
      </c>
      <c r="D24" s="3506" t="s">
        <v>3526</v>
      </c>
      <c r="E24" s="3889">
        <f>H29+E26+H25</f>
        <v>0.18028571428571427</v>
      </c>
      <c r="F24" s="3890"/>
      <c r="G24" s="3869" t="s">
        <v>3527</v>
      </c>
      <c r="H24" s="3869"/>
      <c r="I24" s="3869"/>
      <c r="J24" s="3504"/>
      <c r="K24" s="3491"/>
      <c r="L24" s="3491"/>
    </row>
    <row r="25" spans="1:12" s="3479" customFormat="1" ht="18" customHeight="1">
      <c r="A25" s="3463" t="s">
        <v>3482</v>
      </c>
      <c r="B25" s="3469" t="s">
        <v>3528</v>
      </c>
      <c r="C25" s="3887" t="s">
        <v>3529</v>
      </c>
      <c r="D25" s="3888"/>
      <c r="E25" s="3896">
        <f>ROUND(H25/1.05,4)</f>
        <v>5.33E-2</v>
      </c>
      <c r="F25" s="3897"/>
      <c r="G25" s="3465" t="s">
        <v>3530</v>
      </c>
      <c r="H25" s="3898">
        <v>5.6000000000000001E-2</v>
      </c>
      <c r="I25" s="3898"/>
      <c r="J25" s="3494"/>
      <c r="K25" s="3491"/>
      <c r="L25" s="3491"/>
    </row>
    <row r="26" spans="1:12" s="3479" customFormat="1" ht="18" customHeight="1">
      <c r="A26" s="3463" t="s">
        <v>3486</v>
      </c>
      <c r="B26" s="3469" t="s">
        <v>3531</v>
      </c>
      <c r="C26" s="3887" t="s">
        <v>3529</v>
      </c>
      <c r="D26" s="3888"/>
      <c r="E26" s="3899">
        <f>12%/1.05</f>
        <v>0.11428571428571428</v>
      </c>
      <c r="F26" s="3900"/>
      <c r="G26" s="3465"/>
      <c r="H26" s="3901">
        <f>'数据-取费表'!B51</f>
        <v>0.12</v>
      </c>
      <c r="I26" s="3902"/>
      <c r="J26" s="3494"/>
      <c r="K26" s="3491"/>
      <c r="L26" s="3491"/>
    </row>
    <row r="27" spans="1:12" s="3479" customFormat="1" ht="18" customHeight="1">
      <c r="A27" s="3463" t="s">
        <v>3489</v>
      </c>
      <c r="B27" s="3469" t="s">
        <v>3532</v>
      </c>
      <c r="C27" s="3866">
        <f ca="1">ROUND(C23*H27,0)</f>
        <v>22797</v>
      </c>
      <c r="D27" s="3867"/>
      <c r="E27" s="3867"/>
      <c r="F27" s="3868"/>
      <c r="G27" s="3465" t="s">
        <v>3533</v>
      </c>
      <c r="H27" s="3898">
        <f>'数据-取费表'!AK6</f>
        <v>1.4999999999999999E-2</v>
      </c>
      <c r="I27" s="3898"/>
      <c r="J27" s="3494"/>
      <c r="K27" s="3491"/>
      <c r="L27" s="3491"/>
    </row>
    <row r="28" spans="1:12" s="3479" customFormat="1" ht="18" customHeight="1">
      <c r="A28" s="3463" t="s">
        <v>3492</v>
      </c>
      <c r="B28" s="3469" t="s">
        <v>3534</v>
      </c>
      <c r="C28" s="3866">
        <f ca="1">ROUND(C7*H28,0)</f>
        <v>1664</v>
      </c>
      <c r="D28" s="3867"/>
      <c r="E28" s="3867"/>
      <c r="F28" s="3868"/>
      <c r="G28" s="3465" t="s">
        <v>3535</v>
      </c>
      <c r="H28" s="3903">
        <f>'数据-取费表'!AL6</f>
        <v>1.5E-3</v>
      </c>
      <c r="I28" s="3903"/>
      <c r="J28" s="3477"/>
      <c r="K28" s="3491"/>
      <c r="L28" s="3491"/>
    </row>
    <row r="29" spans="1:12" s="3479" customFormat="1" ht="18" customHeight="1">
      <c r="A29" s="3463" t="s">
        <v>3507</v>
      </c>
      <c r="B29" s="3469" t="s">
        <v>3536</v>
      </c>
      <c r="C29" s="3887" t="s">
        <v>3529</v>
      </c>
      <c r="D29" s="3888"/>
      <c r="E29" s="3904">
        <f>H29</f>
        <v>0.01</v>
      </c>
      <c r="F29" s="3890"/>
      <c r="G29" s="3465" t="s">
        <v>3537</v>
      </c>
      <c r="H29" s="3898">
        <f>'数据-取费表'!AM6</f>
        <v>0.01</v>
      </c>
      <c r="I29" s="3898"/>
      <c r="J29" s="3507"/>
      <c r="K29" s="3491"/>
      <c r="L29" s="3491"/>
    </row>
    <row r="30" spans="1:12" s="3479" customFormat="1" ht="18" customHeight="1">
      <c r="A30" s="3468" t="s">
        <v>3538</v>
      </c>
      <c r="B30" s="3469" t="s">
        <v>3539</v>
      </c>
      <c r="C30" s="3866">
        <f ca="1">ROUND((C4+C24)/(1-E24),0)</f>
        <v>649490</v>
      </c>
      <c r="D30" s="3867"/>
      <c r="E30" s="3867"/>
      <c r="F30" s="3868"/>
      <c r="G30" s="3870" t="s">
        <v>3540</v>
      </c>
      <c r="H30" s="3870"/>
      <c r="I30" s="3870"/>
      <c r="J30" s="3508" t="s">
        <v>3541</v>
      </c>
      <c r="K30" s="3491"/>
      <c r="L30" s="3491"/>
    </row>
    <row r="31" spans="1:12" s="3479" customFormat="1" ht="18" customHeight="1">
      <c r="A31" s="3870" t="s">
        <v>3542</v>
      </c>
      <c r="B31" s="3871" t="s">
        <v>3543</v>
      </c>
      <c r="C31" s="3905">
        <f ca="1">ROUND(C30/I31/I32/I3,2)</f>
        <v>5.12</v>
      </c>
      <c r="D31" s="3906"/>
      <c r="E31" s="3906"/>
      <c r="F31" s="3907"/>
      <c r="G31" s="3869" t="s">
        <v>3544</v>
      </c>
      <c r="H31" s="3469" t="s">
        <v>3545</v>
      </c>
      <c r="I31" s="3465">
        <v>365</v>
      </c>
      <c r="J31" s="3509"/>
      <c r="K31" s="3491"/>
      <c r="L31" s="3491"/>
    </row>
    <row r="32" spans="1:12" s="3479" customFormat="1" ht="18" customHeight="1">
      <c r="A32" s="3870"/>
      <c r="B32" s="3871"/>
      <c r="C32" s="3908"/>
      <c r="D32" s="3909"/>
      <c r="E32" s="3909"/>
      <c r="F32" s="3910"/>
      <c r="G32" s="3869"/>
      <c r="H32" s="3469" t="s">
        <v>3546</v>
      </c>
      <c r="I32" s="3510">
        <v>0.85</v>
      </c>
      <c r="J32" s="3511"/>
      <c r="K32" s="3491"/>
      <c r="L32" s="3512"/>
    </row>
    <row r="33" spans="1:13" s="3479" customFormat="1" ht="18" customHeight="1">
      <c r="A33" s="3462"/>
      <c r="B33" s="3513"/>
      <c r="C33" s="3514"/>
      <c r="D33" s="3514"/>
      <c r="E33" s="3514"/>
      <c r="F33" s="3514"/>
      <c r="G33" s="3515"/>
      <c r="H33" s="3516"/>
      <c r="I33" s="3462"/>
      <c r="J33" s="3517"/>
      <c r="K33" s="3491"/>
      <c r="L33" s="3512"/>
    </row>
    <row r="34" spans="1:13" s="3479" customFormat="1" ht="18" customHeight="1">
      <c r="A34" s="3462"/>
      <c r="B34" s="3913" t="s">
        <v>3547</v>
      </c>
      <c r="C34" s="3913"/>
      <c r="D34" s="3913"/>
      <c r="E34" s="3913"/>
      <c r="F34" s="3913"/>
      <c r="G34" s="3518"/>
      <c r="H34" s="3519"/>
      <c r="I34" s="3520"/>
      <c r="J34" s="3477"/>
      <c r="K34" s="3491"/>
      <c r="L34" s="3491"/>
      <c r="M34" s="3462"/>
    </row>
    <row r="35" spans="1:13" s="3479" customFormat="1" ht="18" customHeight="1">
      <c r="A35" s="3462"/>
      <c r="B35" s="3521" t="s">
        <v>3548</v>
      </c>
      <c r="C35" s="3522" t="s">
        <v>3457</v>
      </c>
      <c r="D35" s="3914" t="s">
        <v>3549</v>
      </c>
      <c r="E35" s="3914"/>
      <c r="F35" s="3914"/>
      <c r="G35" s="3518"/>
      <c r="H35" s="3519"/>
      <c r="I35" s="3523"/>
      <c r="J35" s="3504"/>
      <c r="K35" s="3462"/>
      <c r="L35" s="3462"/>
      <c r="M35" s="3462"/>
    </row>
    <row r="36" spans="1:13">
      <c r="B36" s="3521" t="s">
        <v>3550</v>
      </c>
      <c r="C36" s="3524">
        <v>1</v>
      </c>
      <c r="D36" s="3915">
        <f>'比较法-商业'!C49</f>
        <v>5.2</v>
      </c>
      <c r="E36" s="3915"/>
      <c r="F36" s="3915"/>
      <c r="G36" s="3518"/>
      <c r="H36" s="3519"/>
      <c r="I36" s="3523"/>
      <c r="K36" s="3462"/>
      <c r="L36" s="3462"/>
    </row>
    <row r="37" spans="1:13" ht="20.100000000000001" customHeight="1">
      <c r="B37" s="3521" t="s">
        <v>3551</v>
      </c>
      <c r="C37" s="3524">
        <f>1-C36</f>
        <v>0</v>
      </c>
      <c r="D37" s="3915">
        <f ca="1">C31</f>
        <v>5.12</v>
      </c>
      <c r="E37" s="3915"/>
      <c r="F37" s="3915"/>
      <c r="G37" s="3525">
        <f ca="1">(D37-D36)/D37</f>
        <v>-1.5625000000000014E-2</v>
      </c>
      <c r="H37" s="3526"/>
      <c r="I37" s="3527"/>
      <c r="J37" s="3462"/>
      <c r="K37" s="3462"/>
      <c r="L37" s="3462"/>
    </row>
    <row r="38" spans="1:13" ht="22.5" customHeight="1">
      <c r="B38" s="3916" t="s">
        <v>3552</v>
      </c>
      <c r="C38" s="3916"/>
      <c r="D38" s="3917">
        <f ca="1">ROUND(D36*C36+D37*C37,2)</f>
        <v>5.2</v>
      </c>
      <c r="E38" s="3918"/>
      <c r="F38" s="3919"/>
      <c r="G38" s="3518"/>
      <c r="H38" s="3526"/>
      <c r="I38" s="3527"/>
      <c r="J38" s="3462"/>
      <c r="K38" s="3462"/>
      <c r="L38" s="3462"/>
    </row>
    <row r="39" spans="1:13" ht="22.5" customHeight="1">
      <c r="B39" s="3521" t="s">
        <v>3553</v>
      </c>
      <c r="C39" s="3528">
        <f ca="1">ROUND(D38*0.9,1)</f>
        <v>4.7</v>
      </c>
      <c r="D39" s="3529" t="s">
        <v>3554</v>
      </c>
      <c r="E39" s="3911">
        <f ca="1">ROUND(D38*1.1,1)</f>
        <v>5.7</v>
      </c>
      <c r="F39" s="3911"/>
      <c r="G39" s="3530"/>
      <c r="H39" s="3531"/>
      <c r="J39" s="3462"/>
      <c r="K39" s="3462"/>
      <c r="L39" s="3462"/>
    </row>
    <row r="40" spans="1:13" ht="18" customHeight="1">
      <c r="B40" s="3521" t="s">
        <v>3555</v>
      </c>
      <c r="C40" s="3532">
        <f ca="1">ROUND(C39*365*I3/12,0)</f>
        <v>58407</v>
      </c>
      <c r="D40" s="3529" t="s">
        <v>3554</v>
      </c>
      <c r="E40" s="3912">
        <f ca="1">ROUND(E39*365*I3/12,0)</f>
        <v>70834</v>
      </c>
      <c r="F40" s="3912"/>
      <c r="G40" s="3533" t="s">
        <v>3556</v>
      </c>
      <c r="H40" s="3533">
        <f>ROUND(65*12/365,2)</f>
        <v>2.14</v>
      </c>
      <c r="J40" s="3462"/>
      <c r="K40" s="3462"/>
      <c r="L40" s="3462"/>
    </row>
    <row r="41" spans="1:13" ht="18" customHeight="1">
      <c r="B41" s="3534"/>
      <c r="C41" s="3535"/>
      <c r="D41" s="3519"/>
      <c r="E41" s="3519"/>
      <c r="F41" s="3519"/>
      <c r="G41" s="3530"/>
      <c r="H41" s="3536"/>
      <c r="J41" s="3462"/>
    </row>
    <row r="42" spans="1:13" ht="18" customHeight="1">
      <c r="B42" s="3530" t="s">
        <v>3557</v>
      </c>
      <c r="C42" s="3519"/>
      <c r="D42" s="3519"/>
      <c r="E42" s="3530" t="s">
        <v>3558</v>
      </c>
      <c r="F42" s="3519"/>
      <c r="G42" s="3530"/>
      <c r="H42" s="3530" t="s">
        <v>3559</v>
      </c>
      <c r="J42" s="3462"/>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764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18700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461</v>
      </c>
      <c r="D5" s="211" t="s">
        <v>1469</v>
      </c>
      <c r="E5" s="212" t="s">
        <v>1470</v>
      </c>
      <c r="F5" s="212" t="s">
        <v>1471</v>
      </c>
      <c r="G5" s="213"/>
    </row>
    <row r="6" spans="1:9" s="214" customFormat="1" ht="13.5" customHeight="1">
      <c r="A6" s="776" t="s">
        <v>1472</v>
      </c>
      <c r="B6" s="215" t="s">
        <v>1473</v>
      </c>
      <c r="C6" s="216">
        <f>基准地价修正!B2</f>
        <v>447</v>
      </c>
      <c r="D6" s="217"/>
      <c r="E6" s="218"/>
      <c r="F6" s="218"/>
      <c r="G6" s="219"/>
    </row>
    <row r="7" spans="1:9" s="214" customFormat="1" ht="13.5" customHeight="1">
      <c r="A7" s="776" t="s">
        <v>1474</v>
      </c>
      <c r="B7" s="215" t="s">
        <v>1475</v>
      </c>
      <c r="C7" s="220">
        <f>ROUND(C6*F7,0)</f>
        <v>14</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0</v>
      </c>
      <c r="D8" s="222"/>
      <c r="E8" s="220"/>
      <c r="F8" s="221"/>
      <c r="G8" s="1854" t="s">
        <v>3563</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t="s">
        <v>3564</v>
      </c>
      <c r="H9" s="1135"/>
      <c r="I9" s="1856" t="s">
        <v>1479</v>
      </c>
    </row>
    <row r="10" spans="1:9" s="214" customFormat="1" ht="13.5" customHeight="1">
      <c r="A10" s="777" t="s">
        <v>356</v>
      </c>
      <c r="B10" s="224" t="s">
        <v>1480</v>
      </c>
      <c r="C10" s="225">
        <f ca="1">ROUND(D10*E10/10000,0)</f>
        <v>8</v>
      </c>
      <c r="D10" s="843">
        <f ca="1">IF(B1="",'数据-汇总表'!E6,IF(INDIRECT("'数据-取费表'!c"&amp;$G$1)="住宅",INDIRECT("'数据-取费表'!s"&amp;$G$1),INDIRECT("'数据-取费表'!k"&amp;$G$1)+INDIRECT("'数据-取费表'!s"&amp;$G$1)))</f>
        <v>408.56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408.56</v>
      </c>
      <c r="E19" s="211">
        <f>'数据-取费表'!B31</f>
        <v>200</v>
      </c>
      <c r="F19" s="231"/>
      <c r="G19" s="1854" t="s">
        <v>3565</v>
      </c>
    </row>
    <row r="20" spans="1:7" s="214" customFormat="1" ht="13.5" customHeight="1">
      <c r="A20" s="255" t="s">
        <v>1493</v>
      </c>
      <c r="B20" s="210" t="s">
        <v>1494</v>
      </c>
      <c r="C20" s="232">
        <f ca="1">ROUND((C5+C19)*F20,0)</f>
        <v>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39</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94</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94</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98</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8</v>
      </c>
      <c r="D37" s="217">
        <f ca="1">D19</f>
        <v>408.56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5</v>
      </c>
      <c r="D42" s="238"/>
      <c r="E42" s="238"/>
      <c r="F42" s="239"/>
      <c r="G42" s="3841" t="s">
        <v>1544</v>
      </c>
    </row>
    <row r="43" spans="1:7" ht="13.5" customHeight="1">
      <c r="A43" s="778" t="s">
        <v>347</v>
      </c>
      <c r="B43" s="215" t="s">
        <v>1545</v>
      </c>
      <c r="C43" s="238">
        <f ca="1">ROUND(IF('数据-取费表'!B22&lt;=1,C39*F22*'数据-取费表'!B21/2,C39*(POWER((1+F22),'数据-取费表'!B21/2)-1)),0)</f>
        <v>0</v>
      </c>
      <c r="D43" s="238"/>
      <c r="E43" s="238"/>
      <c r="F43" s="239"/>
      <c r="G43" s="3842"/>
    </row>
    <row r="44" spans="1:7" ht="13.5" customHeight="1">
      <c r="A44" s="778" t="s">
        <v>348</v>
      </c>
      <c r="B44" s="215" t="s">
        <v>1546</v>
      </c>
      <c r="C44" s="238">
        <f ca="1">ROUND(IF('数据-取费表'!B22&lt;=1,C40*F22*'数据-取费表'!B21/2,C40*(POWER((1+F22),'数据-取费表'!B21/2)-1)),4)</f>
        <v>8.0000000000000004E-4</v>
      </c>
      <c r="D44" s="238"/>
      <c r="E44" s="238"/>
      <c r="F44" s="239"/>
      <c r="G44" s="3843"/>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78" t="s">
        <v>346</v>
      </c>
      <c r="B46" s="248" t="s">
        <v>1549</v>
      </c>
      <c r="C46" s="249">
        <f ca="1">ROUND((C33+C39)*F27,0)</f>
        <v>22</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151</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764</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777.06169999999997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19020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4689366.6399999997</v>
      </c>
      <c r="D5" s="211" t="s">
        <v>1469</v>
      </c>
      <c r="E5" s="212" t="s">
        <v>1470</v>
      </c>
      <c r="F5" s="212" t="s">
        <v>1471</v>
      </c>
      <c r="G5" s="213"/>
    </row>
    <row r="6" spans="1:8" s="214" customFormat="1" ht="13.5" customHeight="1">
      <c r="A6" s="776" t="s">
        <v>1472</v>
      </c>
      <c r="B6" s="215" t="s">
        <v>1473</v>
      </c>
      <c r="C6" s="216">
        <f>基准地价修正!C33*基准地价修正!D33+基准地价修正!C37*基准地价修正!D37</f>
        <v>4471280.6399999997</v>
      </c>
      <c r="D6" s="217"/>
      <c r="E6" s="218"/>
      <c r="F6" s="218"/>
      <c r="G6" s="219"/>
    </row>
    <row r="7" spans="1:8" s="214" customFormat="1" ht="13.5" customHeight="1">
      <c r="A7" s="776" t="s">
        <v>1474</v>
      </c>
      <c r="B7" s="215" t="s">
        <v>1475</v>
      </c>
      <c r="C7" s="220">
        <f>ROUND(C6*F7,0)</f>
        <v>136374</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81712</v>
      </c>
      <c r="D8" s="222"/>
      <c r="E8" s="220"/>
      <c r="F8" s="221"/>
      <c r="G8" s="1854" t="s">
        <v>3563</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81712</v>
      </c>
      <c r="D10" s="843">
        <f ca="1">IF(B1="",'数据-汇总表'!E6,IF(INDIRECT("'数据-取费表'!c"&amp;$G$1)="住宅",INDIRECT("'数据-取费表'!s"&amp;$G$1),INDIRECT("'数据-取费表'!k"&amp;$G$1)+INDIRECT("'数据-取费表'!s"&amp;$G$1)))</f>
        <v>408.56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408.56</v>
      </c>
      <c r="E19" s="211">
        <f>'数据-取费表'!B31</f>
        <v>200</v>
      </c>
      <c r="F19" s="231"/>
      <c r="G19" s="1854" t="s">
        <v>3565</v>
      </c>
    </row>
    <row r="20" spans="1:7" s="214" customFormat="1" ht="13.5" customHeight="1">
      <c r="A20" s="255" t="s">
        <v>1574</v>
      </c>
      <c r="B20" s="210" t="s">
        <v>1575</v>
      </c>
      <c r="C20" s="232">
        <f ca="1">ROUND((C5+C19)*F20,0)</f>
        <v>93787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401186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397294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3892</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956631</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956631</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6661211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1106380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980544</v>
      </c>
      <c r="D34" s="217"/>
      <c r="E34" s="220"/>
      <c r="F34" s="257"/>
      <c r="G34" s="219"/>
    </row>
    <row r="35" spans="1:7" ht="13.5" customHeight="1">
      <c r="A35" s="778" t="s">
        <v>351</v>
      </c>
      <c r="B35" s="215" t="s">
        <v>1527</v>
      </c>
      <c r="C35" s="220">
        <f ca="1">ROUND(C34*F35,0)</f>
        <v>29416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81712</v>
      </c>
      <c r="D37" s="217">
        <f ca="1">D19</f>
        <v>408.56</v>
      </c>
      <c r="E37" s="249">
        <f>'数据-取费表'!B35</f>
        <v>200</v>
      </c>
      <c r="F37" s="259"/>
      <c r="G37" s="261"/>
    </row>
    <row r="38" spans="1:7" ht="13.5" customHeight="1">
      <c r="A38" s="778" t="s">
        <v>354</v>
      </c>
      <c r="B38" s="215" t="s">
        <v>1533</v>
      </c>
      <c r="C38" s="220">
        <f ca="1">ROUND(C34*F38,0)</f>
        <v>14708</v>
      </c>
      <c r="D38" s="220"/>
      <c r="E38" s="220"/>
      <c r="F38" s="259">
        <f>'数据-取费表'!B36</f>
        <v>1.4999999999999999E-2</v>
      </c>
      <c r="G38" s="219" t="s">
        <v>1528</v>
      </c>
    </row>
    <row r="39" spans="1:7" s="214" customFormat="1" ht="13.5" customHeight="1">
      <c r="A39" s="255" t="s">
        <v>1534</v>
      </c>
      <c r="B39" s="210" t="s">
        <v>1535</v>
      </c>
      <c r="C39" s="232">
        <f ca="1">ROUND(C33*F20,0)</f>
        <v>22128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46833</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45915</v>
      </c>
      <c r="D42" s="238"/>
      <c r="E42" s="238"/>
      <c r="F42" s="239"/>
      <c r="G42" s="3841" t="s">
        <v>1591</v>
      </c>
    </row>
    <row r="43" spans="1:7" ht="13.5" customHeight="1">
      <c r="A43" s="778" t="s">
        <v>347</v>
      </c>
      <c r="B43" s="215" t="s">
        <v>1545</v>
      </c>
      <c r="C43" s="238">
        <f ca="1">ROUND(IF('数据-取费表'!B22&lt;=1,C39*F22*'数据-取费表'!B20/2,C39*(POWER((1+F22),'数据-取费表'!B20/2)-1)),0)</f>
        <v>918</v>
      </c>
      <c r="D43" s="238"/>
      <c r="E43" s="238"/>
      <c r="F43" s="239"/>
      <c r="G43" s="3842"/>
    </row>
    <row r="44" spans="1:7" ht="13.5" customHeight="1">
      <c r="A44" s="778" t="s">
        <v>348</v>
      </c>
      <c r="B44" s="215" t="s">
        <v>1546</v>
      </c>
      <c r="C44" s="238">
        <f ca="1">ROUND(IF('数据-取费表'!B22&lt;=1,C40*F22*'数据-取费表'!B20/2,C40*(POWER((1+F22),'数据-取费表'!B20/2)-1)),4)</f>
        <v>8.0000000000000004E-4</v>
      </c>
      <c r="D44" s="238"/>
      <c r="E44" s="238"/>
      <c r="F44" s="239"/>
      <c r="G44" s="3843"/>
    </row>
    <row r="45" spans="1:7" s="214" customFormat="1" ht="13.5" customHeight="1">
      <c r="A45" s="255" t="s">
        <v>1547</v>
      </c>
      <c r="B45" s="244" t="s">
        <v>1513</v>
      </c>
      <c r="C45" s="245">
        <f ca="1">C46</f>
        <v>225702</v>
      </c>
      <c r="D45" s="235">
        <f ca="1">C47</f>
        <v>4.0000000000000001E-3</v>
      </c>
      <c r="E45" s="236" t="s">
        <v>1539</v>
      </c>
      <c r="F45" s="246">
        <f ca="1">F27</f>
        <v>0.2</v>
      </c>
      <c r="G45" s="247" t="s">
        <v>1548</v>
      </c>
    </row>
    <row r="46" spans="1:7" s="214" customFormat="1" ht="13.5" customHeight="1">
      <c r="A46" s="778" t="s">
        <v>346</v>
      </c>
      <c r="B46" s="248" t="s">
        <v>1549</v>
      </c>
      <c r="C46" s="249">
        <f ca="1">ROUND((C33+C39)*F27,0)</f>
        <v>225702</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1519734</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1109406</v>
      </c>
      <c r="D51" s="232"/>
      <c r="E51" s="232"/>
      <c r="F51" s="264"/>
      <c r="G51" s="234" t="s">
        <v>1560</v>
      </c>
    </row>
    <row r="52" spans="1:7" s="208" customFormat="1" ht="16.5" thickBot="1">
      <c r="A52" s="265" t="s">
        <v>1561</v>
      </c>
      <c r="B52" s="266"/>
      <c r="C52" s="267">
        <f ca="1">C31+C51</f>
        <v>7770617</v>
      </c>
      <c r="D52" s="266"/>
      <c r="E52" s="266"/>
      <c r="F52" s="266"/>
      <c r="G52" s="268"/>
    </row>
    <row r="55" spans="1:7" ht="15">
      <c r="B55" s="270" t="s">
        <v>1562</v>
      </c>
      <c r="C55" s="271"/>
    </row>
    <row r="56" spans="1:7">
      <c r="B56" s="273" t="s">
        <v>802</v>
      </c>
      <c r="C56" s="275">
        <f ca="1">1-C57</f>
        <v>0.85699999999999998</v>
      </c>
    </row>
    <row r="57" spans="1:7">
      <c r="B57" s="273" t="s">
        <v>803</v>
      </c>
      <c r="C57" s="274">
        <f ca="1">ROUND(C51/C52,3)</f>
        <v>0.14299999999999999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D37" sqref="D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408.56</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447</v>
      </c>
      <c r="C2" s="1997" t="s">
        <v>1935</v>
      </c>
      <c r="D2" s="1998" t="s">
        <v>1936</v>
      </c>
      <c r="E2" s="3420"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Ⅴ-15</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15764</v>
      </c>
      <c r="U2" s="1211">
        <f>'数据-汇总表'!F19</f>
        <v>408.56</v>
      </c>
      <c r="V2" s="3359">
        <f>ROUND(T2*U2/10000,0)</f>
        <v>644</v>
      </c>
      <c r="W2" s="1214"/>
      <c r="X2" s="1214"/>
      <c r="Y2" s="1214"/>
      <c r="Z2" s="1214"/>
      <c r="AA2" s="1214"/>
      <c r="AB2" s="1214"/>
      <c r="AC2" s="1215"/>
      <c r="AD2" s="1216"/>
      <c r="AE2" s="1216"/>
      <c r="AF2" s="1216"/>
      <c r="AG2" s="1216"/>
      <c r="AH2" s="1216"/>
      <c r="AI2" s="1216"/>
      <c r="AJ2" s="1217"/>
    </row>
    <row r="3" spans="1:36" ht="15.75">
      <c r="A3" s="203" t="s">
        <v>1940</v>
      </c>
      <c r="B3" s="204">
        <f>ROUND(B2*10000/D1,0)</f>
        <v>10941</v>
      </c>
      <c r="C3" s="1997" t="s">
        <v>1941</v>
      </c>
      <c r="D3" s="1998" t="s">
        <v>1942</v>
      </c>
      <c r="E3" s="3418" t="s">
        <v>2442</v>
      </c>
      <c r="F3" s="2002" t="s">
        <v>3560</v>
      </c>
      <c r="G3" s="750">
        <f>IF(F3="宗地容积率",'数据-汇总表'!I4,IF(F3="估价对象容积率",'数据-汇总表'!I6,'数据-汇总表'!I7))</f>
        <v>2</v>
      </c>
      <c r="H3" s="170" t="s">
        <v>1943</v>
      </c>
      <c r="I3" s="773">
        <v>2</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12425</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927"/>
      <c r="B4" s="3928"/>
      <c r="C4" s="3928"/>
      <c r="D4" s="3929"/>
      <c r="E4" s="3929"/>
      <c r="F4" s="3929"/>
      <c r="G4" s="3929"/>
      <c r="H4" s="3929"/>
      <c r="I4" s="3929"/>
      <c r="J4" s="393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10501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14620</v>
      </c>
      <c r="D5" s="1337">
        <f>ROUND(C6*C17+C20,0)</f>
        <v>14620</v>
      </c>
      <c r="E5" s="1337"/>
      <c r="F5" s="2005"/>
      <c r="G5" s="2006"/>
      <c r="H5" s="2006"/>
      <c r="I5" s="2006"/>
      <c r="J5" s="2007"/>
      <c r="K5" s="2008"/>
      <c r="L5" s="2001" t="s">
        <v>1948</v>
      </c>
      <c r="M5" s="862">
        <f>SUMPRODUCT((区片价!B87:B126=I2)*(区片价!C3:G3=E2)*(区片价!C87:G126))</f>
        <v>14620</v>
      </c>
      <c r="N5" s="864">
        <f>SUMPRODUCT((因素修正幅度!B87:B126=I2)*(因素修正幅度!C3:G3=E2)*(因素修正幅度!C87:G126))</f>
        <v>0.1</v>
      </c>
      <c r="O5" s="1117"/>
      <c r="P5" s="1117"/>
      <c r="Q5" s="1117"/>
      <c r="R5" s="1210">
        <v>4</v>
      </c>
      <c r="S5" s="3359">
        <f>ROUND(SUMPRODUCT((B106:B110=R5)*(C105:N105=G2)*(C106:N110)),4)</f>
        <v>0.88239999999999996</v>
      </c>
      <c r="T5" s="3359">
        <f t="shared" si="0"/>
        <v>9262</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14620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8901</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五级</v>
      </c>
      <c r="Y7" s="1212" t="s">
        <v>1956</v>
      </c>
      <c r="Z7" s="1213">
        <f>G3</f>
        <v>2</v>
      </c>
      <c r="AA7" s="1214"/>
      <c r="AB7" s="1214"/>
      <c r="AC7" s="1215"/>
      <c r="AD7" s="1216"/>
      <c r="AE7" s="1216"/>
      <c r="AF7" s="1216"/>
      <c r="AG7" s="1216"/>
      <c r="AH7" s="1216"/>
      <c r="AI7" s="1216"/>
      <c r="AJ7" s="1217"/>
    </row>
    <row r="8" spans="1:36" ht="25.5">
      <c r="A8" s="3297"/>
      <c r="B8" s="170" t="s">
        <v>1957</v>
      </c>
      <c r="C8" s="2024" t="s">
        <v>3561</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924" t="s">
        <v>1960</v>
      </c>
      <c r="X8" s="392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926"/>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92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3237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3238</v>
      </c>
      <c r="G14" s="3310" t="s">
        <v>3238</v>
      </c>
      <c r="H14" s="3310" t="s">
        <v>3238</v>
      </c>
      <c r="I14" s="3310" t="s">
        <v>3238</v>
      </c>
      <c r="J14" s="3310" t="s">
        <v>3238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3569</v>
      </c>
      <c r="D15" s="2042" t="s">
        <v>3569</v>
      </c>
      <c r="E15" s="2043" t="s">
        <v>3587</v>
      </c>
      <c r="F15" s="3311" t="s">
        <v>3239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3243</v>
      </c>
      <c r="E18" s="3327"/>
      <c r="F18" s="3322" t="s">
        <v>3246</v>
      </c>
      <c r="G18" s="3326">
        <f>ROUND(1-(1/(POWER(1+G24,E18))),4)</f>
        <v>0</v>
      </c>
      <c r="H18" s="3322" t="s">
        <v>3248</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3244</v>
      </c>
      <c r="E19" s="3336"/>
      <c r="F19" s="3337" t="s">
        <v>3247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931" t="s">
        <v>3249</v>
      </c>
      <c r="B20" s="167" t="s">
        <v>1994</v>
      </c>
      <c r="C20" s="3323">
        <f>ROUND(IF(F21="与级别开发程度一致",0,(G21-E21)/C21),0)</f>
        <v>0</v>
      </c>
      <c r="D20" s="3339" t="s">
        <v>1998</v>
      </c>
      <c r="E20" s="3340"/>
      <c r="F20" s="3937" t="s">
        <v>1995</v>
      </c>
      <c r="G20" s="393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93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3562</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0.8</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2" t="s">
        <v>2002</v>
      </c>
      <c r="E23" s="759">
        <v>44197</v>
      </c>
      <c r="F23" s="2052" t="s">
        <v>2003</v>
      </c>
      <c r="G23" s="760">
        <f>'数据-取费表'!B2</f>
        <v>45062</v>
      </c>
      <c r="H23" s="3341" t="s">
        <v>3251</v>
      </c>
      <c r="I23" s="3342" t="str">
        <f>IF(H23="季度增幅（自定义）",SUMIF(N25:N28,E2,O25:O28),"")</f>
        <v/>
      </c>
      <c r="J23" s="3444" t="s">
        <v>3250</v>
      </c>
      <c r="K23" s="1123"/>
      <c r="L23" s="2053" t="s">
        <v>2004</v>
      </c>
      <c r="M23" s="1326">
        <f>ROUND(SUMIF(地价!B2:G2,E2,地价!B16:G16),0)</f>
        <v>350</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0.82769999999999999</v>
      </c>
      <c r="D24" s="2058" t="s">
        <v>2007</v>
      </c>
      <c r="E24" s="1333">
        <f>存贷款利率!E22/100</f>
        <v>4.3499999999999997E-2</v>
      </c>
      <c r="F24" s="2058" t="s">
        <v>1999</v>
      </c>
      <c r="G24" s="766">
        <f>SUMIF(M30:Q30,E2,M33:Q33)</f>
        <v>5.5E-2</v>
      </c>
      <c r="H24" s="2058" t="s">
        <v>2008</v>
      </c>
      <c r="I24" s="767">
        <f>SUMIF('数据-取费表'!C6:C15,E2,'数据-取费表'!F6:F15)/COUNTIF('数据-取费表'!C6:C15,E2)</f>
        <v>24.49</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3588</v>
      </c>
      <c r="C25" s="769">
        <f>IF(B25="容积率修正",IF(G3&lt;10,D26,J26),C27)</f>
        <v>1.0427</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1.0427</v>
      </c>
      <c r="E26" s="750">
        <f>ROUNDDOWN(G3,1)</f>
        <v>2</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0">
        <f>ROUNDUP(G3,1)</f>
        <v>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1.1838</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447</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10944</v>
      </c>
      <c r="D33" s="2096">
        <f>'数据-汇总表'!F19</f>
        <v>408.56</v>
      </c>
      <c r="E33" s="771">
        <f>ROUND(C33*D33/10000,0)</f>
        <v>447</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2736</v>
      </c>
      <c r="D34" s="2101"/>
      <c r="E34" s="771">
        <f>ROUND(IF(B25="楼层修正",SUM(V2:V16)*M40,C34*D34/10000),0)</f>
        <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935"/>
      <c r="B37" s="2111" t="s">
        <v>2036</v>
      </c>
      <c r="C37" s="175">
        <f>ROUND(D5*C22*C23*C24*C28*F37,0)</f>
        <v>6298</v>
      </c>
      <c r="D37" s="2096">
        <f>'数据-汇总表'!G19</f>
        <v>0</v>
      </c>
      <c r="E37" s="171">
        <f>ROUND(C37*D37/10000,0)</f>
        <v>0</v>
      </c>
      <c r="F37" s="171">
        <f>SUMIF(修正!A57:A68,G2,修正!B57:B68)</f>
        <v>0.6</v>
      </c>
      <c r="G37" s="171">
        <f>ROUND(IF(E2="工业",C37*$M$42,C37*$M$41),0)</f>
        <v>1575</v>
      </c>
      <c r="H37" s="171">
        <f>D37</f>
        <v>0</v>
      </c>
      <c r="I37" s="171">
        <f>ROUND(G37*H37/10000,0)</f>
        <v>0</v>
      </c>
      <c r="J37" s="3010"/>
      <c r="K37" s="3357" t="s">
        <v>3261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936"/>
      <c r="B38" s="2039" t="s">
        <v>2037</v>
      </c>
      <c r="C38" s="175">
        <f>ROUND(D5*C22*C23*C24*C28*F38,0)</f>
        <v>3149</v>
      </c>
      <c r="D38" s="2096"/>
      <c r="E38" s="171">
        <f t="shared" ref="E38:E42" si="4">ROUND(C38*D38/10000,0)</f>
        <v>0</v>
      </c>
      <c r="F38" s="171">
        <f>SUMIF(修正!A57:A68,G2,修正!C57:C68)</f>
        <v>0.3</v>
      </c>
      <c r="G38" s="171">
        <f>ROUND(IF(E2="工业",C38*$M$42,C38*$M$41),0)</f>
        <v>787</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936"/>
      <c r="B39" s="2039" t="s">
        <v>3254</v>
      </c>
      <c r="C39" s="175">
        <f>ROUND(D5*C22*C23*C24*C28*F39,0)</f>
        <v>2624</v>
      </c>
      <c r="D39" s="2096"/>
      <c r="E39" s="171">
        <f t="shared" si="4"/>
        <v>0</v>
      </c>
      <c r="F39" s="171">
        <f>SUMIF(修正!A57:A68,G2,修正!D57:D68)</f>
        <v>0.25</v>
      </c>
      <c r="G39" s="171">
        <f>ROUND(IF(E2="工业",C39*$M$42,C39*$M$41),0)</f>
        <v>656</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2624</v>
      </c>
      <c r="D40" s="2096"/>
      <c r="E40" s="171">
        <f t="shared" si="4"/>
        <v>0</v>
      </c>
      <c r="F40" s="175">
        <f>SUMIF(修正!A57:A68,G2,修正!E57:E68)</f>
        <v>0.25</v>
      </c>
      <c r="G40" s="171">
        <f>ROUND(IF(E2="工业",C40*$M$42,C40*$M$41),0)</f>
        <v>656</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2487</v>
      </c>
      <c r="D41" s="2096"/>
      <c r="E41" s="171">
        <f t="shared" si="4"/>
        <v>0</v>
      </c>
      <c r="F41" s="175">
        <f>SUMIF(修正!A57:A68,G2,修正!F57:F68)</f>
        <v>0.25</v>
      </c>
      <c r="G41" s="171">
        <f>ROUND(IF(E2="工业",C41*$M$42,C41*$M$41),0)</f>
        <v>622</v>
      </c>
      <c r="H41" s="171">
        <f t="shared" si="5"/>
        <v>0</v>
      </c>
      <c r="I41" s="171">
        <f t="shared" si="6"/>
        <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1492</v>
      </c>
      <c r="D42" s="2101"/>
      <c r="E42" s="187">
        <f t="shared" si="4"/>
        <v>0</v>
      </c>
      <c r="F42" s="765">
        <f>SUMIF(修正!A57:A68,G2,修正!G57:G68)</f>
        <v>0.15</v>
      </c>
      <c r="G42" s="187">
        <f>ROUND(IF(E2="工业",C42*$M$42,C42*$M$41),0)</f>
        <v>373</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0.78449999999999998</v>
      </c>
      <c r="D44" s="171" t="s">
        <v>1999</v>
      </c>
      <c r="E44" s="2151">
        <f>G24</f>
        <v>5.5E-2</v>
      </c>
      <c r="F44" s="171" t="s">
        <v>2008</v>
      </c>
      <c r="G44" s="183">
        <f>项目基本情况!D15</f>
        <v>24.49</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1.05</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t="str">
        <f>'比较法-商业'!C16</f>
        <v>较好</v>
      </c>
      <c r="D50" s="1063">
        <f t="shared" ref="D50:D58" si="7">SUMIF($J$49:$N$49,C50,J50:N50)</f>
        <v>1.4999999999999999E-2</v>
      </c>
      <c r="E50" s="742">
        <f>ROUND(SUM(D50:D58),4)</f>
        <v>0.05</v>
      </c>
      <c r="F50" s="1812">
        <f>IF(E2="商业",SUMIF(L1:L12,G2,N1:N12),"——")</f>
        <v>0.1</v>
      </c>
      <c r="G50" s="1061">
        <f>H50</f>
        <v>1.4999999999999999E-2</v>
      </c>
      <c r="H50" s="1064">
        <f t="shared" ref="H50:H58" si="8">IFERROR(ROUNDDOWN($F$50*I50/2,4),"——")</f>
        <v>1.4999999999999999E-2</v>
      </c>
      <c r="I50" s="3365">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t="str">
        <f>'比较法-商业'!C18</f>
        <v>较好</v>
      </c>
      <c r="D51" s="1063">
        <f t="shared" si="7"/>
        <v>1.0999999999999999E-2</v>
      </c>
      <c r="E51" s="743"/>
      <c r="F51" s="1812"/>
      <c r="G51" s="1061">
        <f t="shared" ref="G51:G58" si="12">H51</f>
        <v>1.0999999999999999E-2</v>
      </c>
      <c r="H51" s="1064">
        <f t="shared" si="8"/>
        <v>1.0999999999999999E-2</v>
      </c>
      <c r="I51" s="3365">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t="s">
        <v>3393</v>
      </c>
      <c r="D52" s="1063">
        <f t="shared" si="7"/>
        <v>6.0000000000000001E-3</v>
      </c>
      <c r="E52" s="743"/>
      <c r="F52" s="1812"/>
      <c r="G52" s="1061">
        <f t="shared" si="12"/>
        <v>6.0000000000000001E-3</v>
      </c>
      <c r="H52" s="1064">
        <f t="shared" si="8"/>
        <v>6.0000000000000001E-3</v>
      </c>
      <c r="I52" s="3365">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3393</v>
      </c>
      <c r="D53" s="1063">
        <f t="shared" si="7"/>
        <v>2.5000000000000001E-3</v>
      </c>
      <c r="E53" s="743"/>
      <c r="F53" s="1812"/>
      <c r="G53" s="1061">
        <f t="shared" si="12"/>
        <v>2.5000000000000001E-3</v>
      </c>
      <c r="H53" s="1064">
        <f t="shared" si="8"/>
        <v>2.5000000000000001E-3</v>
      </c>
      <c r="I53" s="3365">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3393</v>
      </c>
      <c r="D54" s="1063">
        <f t="shared" si="7"/>
        <v>4.0000000000000001E-3</v>
      </c>
      <c r="E54" s="743"/>
      <c r="F54" s="1812"/>
      <c r="G54" s="1061">
        <f t="shared" si="12"/>
        <v>4.0000000000000001E-3</v>
      </c>
      <c r="H54" s="1064">
        <f t="shared" si="8"/>
        <v>4.0000000000000001E-3</v>
      </c>
      <c r="I54" s="3365">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3393</v>
      </c>
      <c r="D55" s="1063">
        <f t="shared" si="7"/>
        <v>2.5000000000000001E-3</v>
      </c>
      <c r="E55" s="743"/>
      <c r="F55" s="1812"/>
      <c r="G55" s="1061">
        <f t="shared" si="12"/>
        <v>2.5000000000000001E-3</v>
      </c>
      <c r="H55" s="1064">
        <f t="shared" si="8"/>
        <v>2.5000000000000001E-3</v>
      </c>
      <c r="I55" s="3365">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t="s">
        <v>3393</v>
      </c>
      <c r="D56" s="1063">
        <f t="shared" si="7"/>
        <v>2.5000000000000001E-3</v>
      </c>
      <c r="E56" s="743"/>
      <c r="F56" s="1812"/>
      <c r="G56" s="1061">
        <f t="shared" si="12"/>
        <v>2.5000000000000001E-3</v>
      </c>
      <c r="H56" s="1064">
        <f t="shared" si="8"/>
        <v>2.5000000000000001E-3</v>
      </c>
      <c r="I56" s="3365">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t="s">
        <v>3393</v>
      </c>
      <c r="D57" s="1063">
        <f t="shared" si="7"/>
        <v>4.0000000000000001E-3</v>
      </c>
      <c r="E57" s="743"/>
      <c r="F57" s="1812"/>
      <c r="G57" s="1061">
        <f t="shared" si="12"/>
        <v>4.0000000000000001E-3</v>
      </c>
      <c r="H57" s="1064">
        <f t="shared" si="8"/>
        <v>4.0000000000000001E-3</v>
      </c>
      <c r="I57" s="3365">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t="s">
        <v>3393</v>
      </c>
      <c r="D58" s="1063">
        <f t="shared" si="7"/>
        <v>2.5000000000000001E-3</v>
      </c>
      <c r="E58" s="744"/>
      <c r="F58" s="1812"/>
      <c r="G58" s="1061">
        <f t="shared" si="12"/>
        <v>2.5000000000000001E-3</v>
      </c>
      <c r="H58" s="1064">
        <f t="shared" si="8"/>
        <v>2.5000000000000001E-3</v>
      </c>
      <c r="I58" s="3366">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3">SUMIF($J$60:$N$60,C61,J61:N61)</f>
        <v>0</v>
      </c>
      <c r="E61" s="742">
        <f>ROUND(SUM(D61:D69),4)</f>
        <v>0</v>
      </c>
      <c r="F61" s="1812" t="str">
        <f>IF(E2="办公",SUMIF(L1:L12,G2,N1:N12),"——")</f>
        <v>——</v>
      </c>
      <c r="G61" s="1061"/>
      <c r="H61" s="1064" t="str">
        <f t="shared" ref="H61:H69" si="14">IFERROR(ROUNDDOWN($F$61*I61/2,4),"——")</f>
        <v>——</v>
      </c>
      <c r="I61" s="3365">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3"/>
        <v>0</v>
      </c>
      <c r="E62" s="743"/>
      <c r="F62" s="1812"/>
      <c r="G62" s="1061"/>
      <c r="H62" s="1064" t="str">
        <f t="shared" si="14"/>
        <v>——</v>
      </c>
      <c r="I62" s="3365">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3"/>
        <v>0</v>
      </c>
      <c r="E63" s="743"/>
      <c r="F63" s="1812"/>
      <c r="G63" s="1061"/>
      <c r="H63" s="1064" t="str">
        <f t="shared" si="14"/>
        <v>——</v>
      </c>
      <c r="I63" s="3365">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3"/>
        <v>0</v>
      </c>
      <c r="E64" s="743"/>
      <c r="F64" s="1812"/>
      <c r="G64" s="1061"/>
      <c r="H64" s="1064" t="str">
        <f t="shared" si="14"/>
        <v>——</v>
      </c>
      <c r="I64" s="3365">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3"/>
        <v>0</v>
      </c>
      <c r="E65" s="743"/>
      <c r="F65" s="1812"/>
      <c r="G65" s="1061"/>
      <c r="H65" s="1064" t="str">
        <f t="shared" si="14"/>
        <v>——</v>
      </c>
      <c r="I65" s="3365">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3"/>
        <v>0</v>
      </c>
      <c r="E66" s="743"/>
      <c r="F66" s="1812"/>
      <c r="G66" s="1061"/>
      <c r="H66" s="1064" t="str">
        <f t="shared" si="14"/>
        <v>——</v>
      </c>
      <c r="I66" s="3365">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3"/>
        <v>0</v>
      </c>
      <c r="E67" s="743"/>
      <c r="F67" s="1812"/>
      <c r="G67" s="1061"/>
      <c r="H67" s="1064" t="str">
        <f t="shared" si="14"/>
        <v>——</v>
      </c>
      <c r="I67" s="3365">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3"/>
        <v>0</v>
      </c>
      <c r="E68" s="743"/>
      <c r="F68" s="1812"/>
      <c r="G68" s="1061"/>
      <c r="H68" s="1064" t="str">
        <f t="shared" si="14"/>
        <v>——</v>
      </c>
      <c r="I68" s="3365">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3"/>
        <v>0</v>
      </c>
      <c r="E69" s="744"/>
      <c r="F69" s="1812"/>
      <c r="G69" s="1061"/>
      <c r="H69" s="1064" t="str">
        <f t="shared" si="14"/>
        <v>——</v>
      </c>
      <c r="I69" s="3366">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6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8"/>
        <v>0</v>
      </c>
      <c r="E73" s="745"/>
      <c r="F73" s="1812"/>
      <c r="G73" s="1061"/>
      <c r="H73" s="1064" t="str">
        <f t="shared" si="19"/>
        <v>——</v>
      </c>
      <c r="I73" s="336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8"/>
        <v>0</v>
      </c>
      <c r="E74" s="745"/>
      <c r="F74" s="1812"/>
      <c r="G74" s="1061"/>
      <c r="H74" s="1064" t="str">
        <f t="shared" si="19"/>
        <v>——</v>
      </c>
      <c r="I74" s="336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8"/>
        <v>0</v>
      </c>
      <c r="E75" s="745"/>
      <c r="F75" s="1812"/>
      <c r="G75" s="1061"/>
      <c r="H75" s="1064" t="str">
        <f t="shared" si="19"/>
        <v>——</v>
      </c>
      <c r="I75" s="336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2059</v>
      </c>
      <c r="B76" s="1324">
        <f>估价对象房地状况!C21</f>
        <v>0</v>
      </c>
      <c r="C76" s="2042"/>
      <c r="D76" s="1063">
        <f t="shared" si="18"/>
        <v>0</v>
      </c>
      <c r="E76" s="745"/>
      <c r="F76" s="1812"/>
      <c r="G76" s="1061"/>
      <c r="H76" s="1064" t="str">
        <f t="shared" si="19"/>
        <v>——</v>
      </c>
      <c r="I76" s="3365">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2060</v>
      </c>
      <c r="B77" s="1324">
        <f>估价对象房地状况!C22</f>
        <v>0</v>
      </c>
      <c r="C77" s="2042"/>
      <c r="D77" s="1063">
        <f t="shared" si="18"/>
        <v>0</v>
      </c>
      <c r="E77" s="745"/>
      <c r="F77" s="1812"/>
      <c r="G77" s="1061"/>
      <c r="H77" s="1064" t="str">
        <f t="shared" si="19"/>
        <v>——</v>
      </c>
      <c r="I77" s="336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2057</v>
      </c>
      <c r="B78" s="2134" t="s">
        <v>2058</v>
      </c>
      <c r="C78" s="2042"/>
      <c r="D78" s="1063">
        <f t="shared" si="18"/>
        <v>0</v>
      </c>
      <c r="E78" s="745"/>
      <c r="F78" s="1812"/>
      <c r="G78" s="1061"/>
      <c r="H78" s="1064" t="str">
        <f t="shared" si="19"/>
        <v>——</v>
      </c>
      <c r="I78" s="3365">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2061</v>
      </c>
      <c r="B79" s="2131">
        <f>估价对象房地状况!C20</f>
        <v>0</v>
      </c>
      <c r="C79" s="2042"/>
      <c r="D79" s="1063">
        <f t="shared" si="18"/>
        <v>0</v>
      </c>
      <c r="E79" s="745"/>
      <c r="F79" s="1812"/>
      <c r="G79" s="1061"/>
      <c r="H79" s="1064" t="str">
        <f t="shared" si="19"/>
        <v>——</v>
      </c>
      <c r="I79" s="3365">
        <v>0.12</v>
      </c>
      <c r="J79" s="1062">
        <f t="shared" si="20"/>
        <v>0</v>
      </c>
      <c r="K79" s="1062">
        <f t="shared" si="21"/>
        <v>0</v>
      </c>
      <c r="L79" s="1062">
        <v>0</v>
      </c>
      <c r="M79" s="1062">
        <f t="shared" si="22"/>
        <v>0</v>
      </c>
      <c r="N79" s="1062">
        <f t="shared" si="22"/>
        <v>0</v>
      </c>
      <c r="Z79" s="1996"/>
      <c r="AA79" s="2051"/>
      <c r="AG79" s="1119"/>
      <c r="AK79" s="2051"/>
    </row>
    <row r="80" spans="1:37" ht="24.75" thickBot="1">
      <c r="A80" s="2136" t="s">
        <v>2068</v>
      </c>
      <c r="B80" s="2140"/>
      <c r="C80" s="2042"/>
      <c r="D80" s="1063">
        <f t="shared" si="18"/>
        <v>0</v>
      </c>
      <c r="E80" s="746"/>
      <c r="F80" s="1812"/>
      <c r="G80" s="1061"/>
      <c r="H80" s="1064" t="str">
        <f t="shared" si="19"/>
        <v>——</v>
      </c>
      <c r="I80" s="3366">
        <v>0.05</v>
      </c>
      <c r="J80" s="1062">
        <f t="shared" si="20"/>
        <v>0</v>
      </c>
      <c r="K80" s="1062">
        <f t="shared" si="21"/>
        <v>0</v>
      </c>
      <c r="L80" s="1062">
        <v>0</v>
      </c>
      <c r="M80" s="1062">
        <f t="shared" si="22"/>
        <v>0</v>
      </c>
      <c r="N80" s="1062">
        <f t="shared" si="22"/>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3">SUMIF($J$82:$N$82,C83,J83:N83)</f>
        <v>0</v>
      </c>
      <c r="E83" s="742">
        <f>ROUND(SUM(D83:D90),4)</f>
        <v>0</v>
      </c>
      <c r="F83" s="1812" t="str">
        <f>IF(E2="工业",SUMIF(L1:L12,G2,N1:N12),"——")</f>
        <v>——</v>
      </c>
      <c r="G83" s="1061"/>
      <c r="H83" s="1064" t="str">
        <f t="shared" ref="H83:H90" si="24">IFERROR(ROUNDDOWN($F$83*I83/2,4),"——")</f>
        <v>——</v>
      </c>
      <c r="I83" s="336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2053</v>
      </c>
      <c r="B84" s="2132">
        <f>估价对象房地状况!G16</f>
        <v>0</v>
      </c>
      <c r="C84" s="2042"/>
      <c r="D84" s="1063">
        <f t="shared" si="23"/>
        <v>0</v>
      </c>
      <c r="E84" s="745"/>
      <c r="F84" s="1812"/>
      <c r="G84" s="1061"/>
      <c r="H84" s="1064" t="str">
        <f t="shared" si="24"/>
        <v>——</v>
      </c>
      <c r="I84" s="3365">
        <v>0.3</v>
      </c>
      <c r="J84" s="1062">
        <f t="shared" si="25"/>
        <v>0</v>
      </c>
      <c r="K84" s="1062">
        <f t="shared" si="26"/>
        <v>0</v>
      </c>
      <c r="L84" s="1062">
        <v>0</v>
      </c>
      <c r="M84" s="1062">
        <f t="shared" si="27"/>
        <v>0</v>
      </c>
      <c r="N84" s="1062">
        <f t="shared" si="27"/>
        <v>0</v>
      </c>
      <c r="Z84" s="1996"/>
      <c r="AA84" s="2051"/>
      <c r="AG84" s="1119"/>
      <c r="AK84" s="2051"/>
    </row>
    <row r="85" spans="1:37" ht="36">
      <c r="A85" s="3367" t="s">
        <v>3265</v>
      </c>
      <c r="B85" s="2132">
        <f>估价对象房地状况!G17</f>
        <v>0</v>
      </c>
      <c r="C85" s="2042"/>
      <c r="D85" s="1063">
        <f t="shared" si="23"/>
        <v>0</v>
      </c>
      <c r="E85" s="745"/>
      <c r="F85" s="1812"/>
      <c r="G85" s="1061"/>
      <c r="H85" s="1064" t="str">
        <f t="shared" si="24"/>
        <v>——</v>
      </c>
      <c r="I85" s="3365">
        <v>0.1</v>
      </c>
      <c r="J85" s="1062">
        <f t="shared" si="25"/>
        <v>0</v>
      </c>
      <c r="K85" s="1062">
        <f t="shared" si="26"/>
        <v>0</v>
      </c>
      <c r="L85" s="1062">
        <v>0</v>
      </c>
      <c r="M85" s="1062">
        <f t="shared" si="27"/>
        <v>0</v>
      </c>
      <c r="N85" s="1062">
        <f t="shared" si="27"/>
        <v>0</v>
      </c>
      <c r="Z85" s="1996"/>
      <c r="AA85" s="2051"/>
      <c r="AG85" s="1119"/>
      <c r="AK85" s="2051"/>
    </row>
    <row r="86" spans="1:37" ht="14.25">
      <c r="A86" s="2128" t="s">
        <v>2067</v>
      </c>
      <c r="B86" s="2132">
        <f>估价对象房地状况!G22</f>
        <v>0</v>
      </c>
      <c r="C86" s="2042"/>
      <c r="D86" s="1063">
        <f t="shared" si="23"/>
        <v>0</v>
      </c>
      <c r="E86" s="745"/>
      <c r="F86" s="1812"/>
      <c r="G86" s="1061"/>
      <c r="H86" s="1064" t="str">
        <f t="shared" si="24"/>
        <v>——</v>
      </c>
      <c r="I86" s="3365">
        <v>0.05</v>
      </c>
      <c r="J86" s="1062">
        <f t="shared" si="25"/>
        <v>0</v>
      </c>
      <c r="K86" s="1062">
        <f t="shared" si="26"/>
        <v>0</v>
      </c>
      <c r="L86" s="1062">
        <v>0</v>
      </c>
      <c r="M86" s="1062">
        <f t="shared" si="27"/>
        <v>0</v>
      </c>
      <c r="N86" s="1062">
        <f t="shared" si="27"/>
        <v>0</v>
      </c>
      <c r="Z86" s="1996"/>
      <c r="AA86" s="2051"/>
      <c r="AG86" s="1119"/>
      <c r="AK86" s="2051"/>
    </row>
    <row r="87" spans="1:37" ht="24">
      <c r="A87" s="2128" t="s">
        <v>2059</v>
      </c>
      <c r="B87" s="1324">
        <f>估价对象房地状况!G19</f>
        <v>0</v>
      </c>
      <c r="C87" s="2042"/>
      <c r="D87" s="1063">
        <f t="shared" si="23"/>
        <v>0</v>
      </c>
      <c r="E87" s="745"/>
      <c r="F87" s="1812"/>
      <c r="G87" s="1061"/>
      <c r="H87" s="1064" t="str">
        <f t="shared" si="24"/>
        <v>——</v>
      </c>
      <c r="I87" s="3365">
        <v>0.06</v>
      </c>
      <c r="J87" s="1062">
        <f t="shared" si="25"/>
        <v>0</v>
      </c>
      <c r="K87" s="1062">
        <f t="shared" si="26"/>
        <v>0</v>
      </c>
      <c r="L87" s="1062">
        <v>0</v>
      </c>
      <c r="M87" s="1062">
        <f t="shared" si="27"/>
        <v>0</v>
      </c>
      <c r="N87" s="1062">
        <f t="shared" si="27"/>
        <v>0</v>
      </c>
    </row>
    <row r="88" spans="1:37" ht="24">
      <c r="A88" s="2128" t="s">
        <v>2060</v>
      </c>
      <c r="B88" s="1324">
        <f>估价对象房地状况!G20</f>
        <v>0</v>
      </c>
      <c r="C88" s="2042"/>
      <c r="D88" s="1063">
        <f t="shared" si="23"/>
        <v>0</v>
      </c>
      <c r="E88" s="745"/>
      <c r="F88" s="1812"/>
      <c r="G88" s="1061"/>
      <c r="H88" s="1064" t="str">
        <f t="shared" si="24"/>
        <v>——</v>
      </c>
      <c r="I88" s="3365">
        <v>0.12</v>
      </c>
      <c r="J88" s="1062">
        <f t="shared" si="25"/>
        <v>0</v>
      </c>
      <c r="K88" s="1062">
        <f t="shared" si="26"/>
        <v>0</v>
      </c>
      <c r="L88" s="1062">
        <v>0</v>
      </c>
      <c r="M88" s="1062">
        <f t="shared" si="27"/>
        <v>0</v>
      </c>
      <c r="N88" s="1062">
        <f t="shared" si="27"/>
        <v>0</v>
      </c>
    </row>
    <row r="89" spans="1:37" ht="24">
      <c r="A89" s="2128" t="s">
        <v>2057</v>
      </c>
      <c r="B89" s="2134" t="s">
        <v>2071</v>
      </c>
      <c r="C89" s="2042"/>
      <c r="D89" s="1063">
        <f t="shared" si="23"/>
        <v>0</v>
      </c>
      <c r="E89" s="745"/>
      <c r="F89" s="1812"/>
      <c r="G89" s="1061"/>
      <c r="H89" s="1064" t="str">
        <f t="shared" si="24"/>
        <v>——</v>
      </c>
      <c r="I89" s="3365">
        <v>0.06</v>
      </c>
      <c r="J89" s="1062">
        <f t="shared" si="25"/>
        <v>0</v>
      </c>
      <c r="K89" s="1062">
        <f t="shared" si="26"/>
        <v>0</v>
      </c>
      <c r="L89" s="1062">
        <v>0</v>
      </c>
      <c r="M89" s="1062">
        <f t="shared" si="27"/>
        <v>0</v>
      </c>
      <c r="N89" s="1062">
        <f t="shared" si="27"/>
        <v>0</v>
      </c>
    </row>
    <row r="90" spans="1:37" ht="15" thickBot="1">
      <c r="A90" s="2136" t="s">
        <v>2072</v>
      </c>
      <c r="B90" s="2141">
        <f>估价对象房地状况!G18</f>
        <v>0</v>
      </c>
      <c r="C90" s="2042"/>
      <c r="D90" s="1063">
        <f t="shared" si="23"/>
        <v>0</v>
      </c>
      <c r="E90" s="746"/>
      <c r="F90" s="1812"/>
      <c r="G90" s="1061"/>
      <c r="H90" s="1064" t="str">
        <f t="shared" si="24"/>
        <v>——</v>
      </c>
      <c r="I90" s="3366">
        <v>0.05</v>
      </c>
      <c r="J90" s="1062">
        <f t="shared" si="25"/>
        <v>0</v>
      </c>
      <c r="K90" s="1062">
        <f t="shared" si="26"/>
        <v>0</v>
      </c>
      <c r="L90" s="1062">
        <v>0</v>
      </c>
      <c r="M90" s="1062">
        <f t="shared" si="27"/>
        <v>0</v>
      </c>
      <c r="N90" s="1062">
        <f t="shared" si="27"/>
        <v>0</v>
      </c>
    </row>
    <row r="91" spans="1:37" ht="15">
      <c r="A91" s="3375" t="s">
        <v>2605</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3268</v>
      </c>
      <c r="B94" s="3368">
        <f>估价对象房地状况!C18</f>
        <v>0</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3264</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3269</v>
      </c>
      <c r="B96" s="3383" t="s">
        <v>3280</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3270</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3271</v>
      </c>
      <c r="B98" s="3384" t="s">
        <v>3281</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4">
      <c r="A99" s="3377" t="s">
        <v>3272</v>
      </c>
      <c r="B99" s="3368">
        <f>估价对象房地状况!C21</f>
        <v>0</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4">
      <c r="A100" s="3377" t="s">
        <v>3273</v>
      </c>
      <c r="B100" s="3368">
        <f>估价对象房地状况!C22</f>
        <v>0</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3274</v>
      </c>
      <c r="B101" s="3385">
        <f>估价对象房地状况!C20</f>
        <v>0</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933" t="s">
        <v>3289</v>
      </c>
      <c r="B103" s="3933"/>
      <c r="C103" s="3933"/>
      <c r="D103" s="3933"/>
      <c r="E103" s="3933"/>
      <c r="F103" s="3933"/>
      <c r="G103" s="3933"/>
      <c r="H103" s="3933"/>
      <c r="I103" s="3933"/>
      <c r="J103" s="3933"/>
      <c r="K103" s="3388"/>
      <c r="L103" s="3388"/>
      <c r="M103" s="3388"/>
      <c r="N103" s="3388"/>
    </row>
    <row r="104" spans="1:14">
      <c r="A104" s="3934" t="s">
        <v>3290</v>
      </c>
      <c r="B104" s="3934" t="s">
        <v>3291</v>
      </c>
      <c r="C104" s="3389" t="s">
        <v>3292</v>
      </c>
      <c r="D104" s="3390"/>
      <c r="E104" s="3390"/>
      <c r="F104" s="3390"/>
      <c r="G104" s="3390"/>
      <c r="H104" s="3390"/>
      <c r="I104" s="3390"/>
      <c r="J104" s="3391"/>
      <c r="K104" s="3392"/>
      <c r="L104" s="3392"/>
      <c r="M104" s="3392"/>
      <c r="N104" s="3392"/>
    </row>
    <row r="105" spans="1:14">
      <c r="A105" s="3934"/>
      <c r="B105" s="3934"/>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920"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2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2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2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2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21"/>
      <c r="B111" s="3393" t="s">
        <v>3263</v>
      </c>
      <c r="C111" s="3394">
        <f>$I$3</f>
        <v>2</v>
      </c>
      <c r="D111" s="3394">
        <f t="shared" ref="D111:M111" si="33">$I$3</f>
        <v>2</v>
      </c>
      <c r="E111" s="3394">
        <f t="shared" si="33"/>
        <v>2</v>
      </c>
      <c r="F111" s="3394">
        <f t="shared" si="33"/>
        <v>2</v>
      </c>
      <c r="G111" s="3394">
        <f t="shared" si="33"/>
        <v>2</v>
      </c>
      <c r="H111" s="3394">
        <f t="shared" si="33"/>
        <v>2</v>
      </c>
      <c r="I111" s="3394">
        <f t="shared" si="33"/>
        <v>2</v>
      </c>
      <c r="J111" s="3394">
        <f t="shared" si="33"/>
        <v>2</v>
      </c>
      <c r="K111" s="3394">
        <f t="shared" si="33"/>
        <v>2</v>
      </c>
      <c r="L111" s="3394">
        <f t="shared" si="33"/>
        <v>2</v>
      </c>
      <c r="M111" s="3394">
        <f t="shared" si="33"/>
        <v>2</v>
      </c>
      <c r="N111" s="3394">
        <f>$I$3</f>
        <v>2</v>
      </c>
    </row>
    <row r="112" spans="1:14">
      <c r="A112" s="3922"/>
      <c r="B112" s="3393">
        <v>6</v>
      </c>
      <c r="C112" s="3386">
        <f>(-0.5556*(C111^2)-0.2719*C111+8944)*(10^(-4))</f>
        <v>0.89412338000000002</v>
      </c>
      <c r="D112" s="3386">
        <f>(-0.5556*(D111^2)-0.2719*D111+8944)*(10^(-4))</f>
        <v>0.89412338000000002</v>
      </c>
      <c r="E112" s="3386">
        <f>(-0.7912*(E111^2)-11.3794*E111+8482)*(10^(-4))</f>
        <v>0.84560763999999999</v>
      </c>
      <c r="F112" s="3386">
        <f t="shared" ref="F112:I112" si="34">(-0.7912*(F111^2)-11.3794*F111+8482)*(10^(-4))</f>
        <v>0.84560763999999999</v>
      </c>
      <c r="G112" s="3386">
        <f t="shared" si="34"/>
        <v>0.84560763999999999</v>
      </c>
      <c r="H112" s="3386">
        <f t="shared" si="34"/>
        <v>0.84560763999999999</v>
      </c>
      <c r="I112" s="3386">
        <f t="shared" si="34"/>
        <v>0.84560763999999999</v>
      </c>
      <c r="J112" s="3386">
        <f>(-0.989*(J111^2)-63.78*J111+7771)*(10^(-4))</f>
        <v>0.76394840000000008</v>
      </c>
      <c r="K112" s="3386">
        <f t="shared" ref="K112:N112" si="35">(-0.989*(K111^2)-63.78*K111+7771)*(10^(-4))</f>
        <v>0.76394840000000008</v>
      </c>
      <c r="L112" s="3386">
        <f t="shared" si="35"/>
        <v>0.76394840000000008</v>
      </c>
      <c r="M112" s="3386">
        <f t="shared" si="35"/>
        <v>0.76394840000000008</v>
      </c>
      <c r="N112" s="3386">
        <f t="shared" si="35"/>
        <v>0.76394840000000008</v>
      </c>
    </row>
    <row r="113" spans="1:14">
      <c r="A113" s="3923" t="s">
        <v>3306</v>
      </c>
      <c r="B113" s="3923"/>
      <c r="C113" s="3923"/>
      <c r="D113" s="3923"/>
      <c r="E113" s="3923"/>
      <c r="F113" s="3923"/>
      <c r="G113" s="3923"/>
      <c r="H113" s="3923"/>
      <c r="I113" s="3923"/>
      <c r="J113" s="392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2</v>
      </c>
      <c r="C116" s="3398" t="s">
        <v>3308</v>
      </c>
      <c r="D116" s="3399">
        <f>SUMPRODUCT((A118:A122=F116)*(B117:M117=H116)*B118:M122)</f>
        <v>0.92100000000000004</v>
      </c>
      <c r="E116" s="1998" t="s">
        <v>3309</v>
      </c>
      <c r="F116" s="3400" t="str">
        <f>E2</f>
        <v>商业</v>
      </c>
      <c r="G116" s="1998" t="s">
        <v>3310</v>
      </c>
      <c r="H116" s="3400" t="str">
        <f>G2</f>
        <v>五级</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3324</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3325</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3326</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2605</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I37" sqref="I37"/>
    </sheetView>
  </sheetViews>
  <sheetFormatPr defaultRowHeight="13.5"/>
  <cols>
    <col min="1" max="1" width="27.625" style="3540" bestFit="1" customWidth="1"/>
    <col min="2" max="2" width="15.125" style="3540" bestFit="1" customWidth="1"/>
    <col min="3" max="3" width="15.125" style="3540" customWidth="1"/>
    <col min="4" max="6" width="9" style="3540"/>
    <col min="7" max="7" width="14.875" style="3540" bestFit="1" customWidth="1"/>
    <col min="8" max="8" width="19.25" style="3540" bestFit="1" customWidth="1"/>
    <col min="9" max="9" width="17.375" style="3540" bestFit="1" customWidth="1"/>
    <col min="10" max="16384" width="9" style="3540"/>
  </cols>
  <sheetData>
    <row r="1" spans="1:10">
      <c r="A1" s="3539" t="s">
        <v>3373</v>
      </c>
      <c r="B1" s="3539" t="s">
        <v>3374</v>
      </c>
      <c r="C1" s="3539" t="s">
        <v>3380</v>
      </c>
      <c r="D1" s="3539" t="s">
        <v>3375</v>
      </c>
      <c r="E1" s="3539" t="s">
        <v>3376</v>
      </c>
      <c r="F1" s="3539" t="s">
        <v>3377</v>
      </c>
      <c r="G1" s="3539" t="s">
        <v>3378</v>
      </c>
      <c r="H1" s="3539" t="s">
        <v>3382</v>
      </c>
      <c r="I1" s="3539" t="s">
        <v>3573</v>
      </c>
    </row>
    <row r="2" spans="1:10">
      <c r="A2" s="3539" t="s">
        <v>3567</v>
      </c>
      <c r="B2" s="3539" t="s">
        <v>3575</v>
      </c>
      <c r="C2" s="3539" t="s">
        <v>3568</v>
      </c>
      <c r="D2" s="3539">
        <v>650</v>
      </c>
      <c r="E2" s="3539">
        <v>5.2</v>
      </c>
      <c r="F2" s="3539" t="s">
        <v>3570</v>
      </c>
      <c r="G2" s="3539"/>
      <c r="H2" s="3539" t="s">
        <v>3572</v>
      </c>
      <c r="I2" s="3539" t="s">
        <v>3574</v>
      </c>
    </row>
    <row r="3" spans="1:10">
      <c r="A3" s="3539" t="s">
        <v>3577</v>
      </c>
      <c r="B3" s="3539" t="s">
        <v>3586</v>
      </c>
      <c r="C3" s="3539" t="s">
        <v>3381</v>
      </c>
      <c r="D3" s="3539">
        <v>559</v>
      </c>
      <c r="E3" s="3539">
        <v>5.6</v>
      </c>
      <c r="F3" s="3539" t="s">
        <v>3379</v>
      </c>
      <c r="G3" s="3539"/>
      <c r="H3" s="3539" t="s">
        <v>3383</v>
      </c>
      <c r="I3" s="3539" t="s">
        <v>3576</v>
      </c>
      <c r="J3" s="3541"/>
    </row>
    <row r="4" spans="1:10">
      <c r="A4" s="3539" t="s">
        <v>3578</v>
      </c>
      <c r="B4" s="3539" t="s">
        <v>3575</v>
      </c>
      <c r="C4" s="3539" t="s">
        <v>3581</v>
      </c>
      <c r="D4" s="3539">
        <v>580</v>
      </c>
      <c r="E4" s="3539">
        <v>4.5</v>
      </c>
      <c r="F4" s="3539"/>
      <c r="G4" s="3539" t="s">
        <v>3580</v>
      </c>
      <c r="H4" s="3539" t="s">
        <v>3383</v>
      </c>
      <c r="I4" s="3539" t="s">
        <v>3579</v>
      </c>
      <c r="J4" s="3541"/>
    </row>
    <row r="5" spans="1:10">
      <c r="J5" s="3541"/>
    </row>
    <row r="6" spans="1:10">
      <c r="J6" s="3541"/>
    </row>
    <row r="7" spans="1:10">
      <c r="J7" s="3541"/>
    </row>
    <row r="8" spans="1:10">
      <c r="J8" s="3541"/>
    </row>
    <row r="9" spans="1:10">
      <c r="J9" s="3541"/>
    </row>
    <row r="10" spans="1:10">
      <c r="J10" s="3541"/>
    </row>
    <row r="11" spans="1:10">
      <c r="J11" s="3541"/>
    </row>
    <row r="12" spans="1:10">
      <c r="J12" s="3541"/>
    </row>
    <row r="13" spans="1:10">
      <c r="J13" s="3541"/>
    </row>
    <row r="14" spans="1:10">
      <c r="J14" s="3541"/>
    </row>
    <row r="15" spans="1:10">
      <c r="J15" s="3541"/>
    </row>
    <row r="16" spans="1:10">
      <c r="J16" s="3541"/>
    </row>
    <row r="17" spans="10:10">
      <c r="J17" s="3541"/>
    </row>
    <row r="18" spans="10:10">
      <c r="J18" s="3541"/>
    </row>
    <row r="19" spans="10:10">
      <c r="J19" s="3541"/>
    </row>
    <row r="20" spans="10:10">
      <c r="J20" s="3541"/>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4" t="str">
        <f>IF(项目基本情况!B9="房地产市场价值","估价结果一览表","结果表-2")</f>
        <v>结果表-2</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房地产价值</v>
      </c>
      <c r="I2" s="3555"/>
    </row>
    <row r="3" spans="1:9" ht="15">
      <c r="A3" s="3556"/>
      <c r="B3" s="3556"/>
      <c r="C3" s="3556"/>
      <c r="D3" s="852" t="s">
        <v>925</v>
      </c>
      <c r="E3" s="852" t="s">
        <v>931</v>
      </c>
      <c r="F3" s="852" t="s">
        <v>925</v>
      </c>
      <c r="G3" s="852" t="s">
        <v>926</v>
      </c>
      <c r="H3" s="852" t="s">
        <v>925</v>
      </c>
      <c r="I3" s="852" t="s">
        <v>926</v>
      </c>
    </row>
    <row r="4" spans="1:9" ht="15">
      <c r="A4" s="1503" t="str">
        <f>项目基本情况!S2</f>
        <v>房地产</v>
      </c>
      <c r="B4" s="852">
        <f>项目基本情况!C17</f>
        <v>408.56</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6" t="s">
        <v>927</v>
      </c>
      <c r="B5" s="3556"/>
      <c r="C5" s="3556"/>
      <c r="D5" s="3556" t="e">
        <f ca="1">结果表!D119</f>
        <v>#REF!</v>
      </c>
      <c r="E5" s="3556"/>
      <c r="F5" s="3556" t="e">
        <f ca="1">结果表!F119</f>
        <v>#REF!</v>
      </c>
      <c r="G5" s="3556"/>
      <c r="H5" s="3556" t="e">
        <f ca="1">结果表!H119</f>
        <v>#REF!</v>
      </c>
      <c r="I5" s="3556"/>
    </row>
    <row r="6" spans="1:9" ht="15.75">
      <c r="A6" s="3557" t="str">
        <f>结果表!A120</f>
        <v>估价师知悉的法定优先受偿款</v>
      </c>
      <c r="B6" s="3557"/>
      <c r="C6" s="3557"/>
      <c r="D6" s="3557">
        <f>结果表!D120</f>
        <v>0</v>
      </c>
      <c r="E6" s="3557"/>
      <c r="F6" s="3557"/>
      <c r="G6" s="3557"/>
      <c r="H6" s="3557"/>
      <c r="I6" s="3557"/>
    </row>
    <row r="7" spans="1:9" ht="15">
      <c r="A7" s="3556" t="s">
        <v>927</v>
      </c>
      <c r="B7" s="3556"/>
      <c r="C7" s="3556"/>
      <c r="D7" s="3558" t="str">
        <f>结果表!D121</f>
        <v>零元整</v>
      </c>
      <c r="E7" s="3559"/>
      <c r="F7" s="3559"/>
      <c r="G7" s="3559"/>
      <c r="H7" s="3559"/>
      <c r="I7" s="3560"/>
    </row>
    <row r="8" spans="1:9" ht="15.75">
      <c r="A8" s="3557" t="str">
        <f>结果表!A122</f>
        <v>房地产抵押价值</v>
      </c>
      <c r="B8" s="3557"/>
      <c r="C8" s="3557"/>
      <c r="D8" s="3557" t="e">
        <f ca="1">结果表!D122</f>
        <v>#REF!</v>
      </c>
      <c r="E8" s="3557"/>
      <c r="F8" s="3557"/>
      <c r="G8" s="3557"/>
      <c r="H8" s="3557"/>
      <c r="I8" s="3557"/>
    </row>
    <row r="9" spans="1:9" ht="15">
      <c r="A9" s="3556" t="s">
        <v>927</v>
      </c>
      <c r="B9" s="3556"/>
      <c r="C9" s="3556"/>
      <c r="D9" s="3556" t="e">
        <f ca="1">结果表!D123</f>
        <v>#REF!</v>
      </c>
      <c r="E9" s="3556"/>
      <c r="F9" s="3556"/>
      <c r="G9" s="3556"/>
      <c r="H9" s="3556"/>
      <c r="I9" s="3556"/>
    </row>
    <row r="10" spans="1:9" ht="15.75">
      <c r="A10" s="3557" t="str">
        <f>结果表!A124</f>
        <v/>
      </c>
      <c r="B10" s="3557"/>
      <c r="C10" s="3557"/>
      <c r="D10" s="3557" t="str">
        <f>结果表!D124</f>
        <v>——</v>
      </c>
      <c r="E10" s="3557"/>
      <c r="F10" s="3557"/>
      <c r="G10" s="3557"/>
      <c r="H10" s="3557"/>
      <c r="I10" s="3557"/>
    </row>
    <row r="11" spans="1:9" ht="15">
      <c r="A11" s="3556" t="s">
        <v>927</v>
      </c>
      <c r="B11" s="3556"/>
      <c r="C11" s="3556"/>
      <c r="D11" s="3556" t="e">
        <f>结果表!D125</f>
        <v>#VALUE!</v>
      </c>
      <c r="E11" s="3556"/>
      <c r="F11" s="3556"/>
      <c r="G11" s="3556"/>
      <c r="H11" s="3556"/>
      <c r="I11" s="3556"/>
    </row>
    <row r="12" spans="1:9" ht="15.75">
      <c r="A12" s="3557" t="str">
        <f>结果表!A126</f>
        <v/>
      </c>
      <c r="B12" s="3557"/>
      <c r="C12" s="3557"/>
      <c r="D12" s="3557" t="str">
        <f>结果表!D126</f>
        <v>——</v>
      </c>
      <c r="E12" s="3557"/>
      <c r="F12" s="3557"/>
      <c r="G12" s="3557"/>
      <c r="H12" s="3557"/>
      <c r="I12" s="3557"/>
    </row>
    <row r="13" spans="1:9" ht="15.75" thickBot="1">
      <c r="A13" s="3561" t="s">
        <v>927</v>
      </c>
      <c r="B13" s="3561"/>
      <c r="C13" s="3561"/>
      <c r="D13" s="3561" t="e">
        <f>结果表!D127</f>
        <v>#VALUE!</v>
      </c>
      <c r="E13" s="3561"/>
      <c r="F13" s="3561"/>
      <c r="G13" s="3561"/>
      <c r="H13" s="3561"/>
      <c r="I13" s="3561"/>
    </row>
    <row r="14" spans="1:9" ht="15" thickTop="1">
      <c r="A14" s="3562" t="s">
        <v>932</v>
      </c>
      <c r="B14" s="3562"/>
      <c r="C14" s="3562"/>
      <c r="D14" s="3562"/>
      <c r="E14" s="3562"/>
      <c r="F14" s="3562"/>
      <c r="G14" s="3562"/>
      <c r="H14" s="3562"/>
      <c r="I14" s="35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3" t="s">
        <v>949</v>
      </c>
      <c r="B1" s="3563"/>
      <c r="C1" s="3563"/>
      <c r="D1" s="3563"/>
    </row>
    <row r="2" spans="1:4" ht="18">
      <c r="A2" s="3564" t="s">
        <v>933</v>
      </c>
      <c r="B2" s="3564"/>
      <c r="C2" s="3564"/>
      <c r="D2" s="356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64" t="s">
        <v>939</v>
      </c>
      <c r="B6" s="3564"/>
      <c r="C6" s="3564"/>
      <c r="D6" s="356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65" t="s">
        <v>942</v>
      </c>
      <c r="B11" s="3566"/>
      <c r="C11" s="3566"/>
      <c r="D11" s="3566"/>
    </row>
    <row r="12" spans="1:4" ht="15.75">
      <c r="A12" s="35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7"/>
      <c r="C12" s="3567"/>
      <c r="D12" s="3567"/>
    </row>
    <row r="13" spans="1:4" ht="30" customHeight="1">
      <c r="A13" s="3566" t="str">
        <f>IF(项目基本情况!B8="抵押","3.抵押双方在办理抵押登记手续时，应使用本公司出具的正式《房地产评估报告》，特提醒报告使用者注意。","——")</f>
        <v>——</v>
      </c>
      <c r="B13" s="3567"/>
      <c r="C13" s="3567"/>
      <c r="D13" s="3567"/>
    </row>
    <row r="14" spans="1:4" ht="15.75" customHeight="1">
      <c r="A14" s="3566" t="str">
        <f>IF(项目基本情况!B8="抵押","4.本次评估估价师所知悉的法定优先受偿款情况说明如下：","——")</f>
        <v>——</v>
      </c>
      <c r="B14" s="3567"/>
      <c r="C14" s="3567"/>
      <c r="D14" s="3567"/>
    </row>
    <row r="15" spans="1:4" ht="42" customHeight="1">
      <c r="A15" s="3566" t="str">
        <f>IF(项目基本情况!B8="抵押","（1）"&amp;CONCATENATE(项目基本情况!L20,项目基本情况!L21,项目基本情况!L22),"——")</f>
        <v>——</v>
      </c>
      <c r="B15" s="3566"/>
      <c r="C15" s="3566"/>
      <c r="D15" s="3566"/>
    </row>
    <row r="16" spans="1:4" ht="30" customHeight="1">
      <c r="A16" s="3569" t="s">
        <v>943</v>
      </c>
      <c r="B16" s="3569"/>
      <c r="C16" s="3569"/>
      <c r="D16" s="3569"/>
    </row>
    <row r="17" spans="1:4" ht="144" customHeight="1">
      <c r="A17" s="3569" t="s">
        <v>944</v>
      </c>
      <c r="B17" s="3569"/>
      <c r="C17" s="3569"/>
      <c r="D17" s="3569"/>
    </row>
    <row r="18" spans="1:4" ht="15.75" customHeight="1">
      <c r="A18" s="3566" t="str">
        <f>IF(项目基本情况!B8="抵押",结果表!K120,"——")</f>
        <v>——</v>
      </c>
      <c r="B18" s="3566"/>
      <c r="C18" s="3566"/>
      <c r="D18" s="3566"/>
    </row>
    <row r="19" spans="1:4" ht="46.5" customHeight="1">
      <c r="A19" s="35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6"/>
      <c r="C19" s="3566"/>
      <c r="D19" s="3566"/>
    </row>
    <row r="20" spans="1:4" ht="57.75" customHeight="1">
      <c r="A20" s="35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6"/>
      <c r="C20" s="3566"/>
      <c r="D20" s="3566"/>
    </row>
    <row r="21" spans="1:4" ht="57.75" customHeight="1">
      <c r="A21" s="35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0"/>
      <c r="C21" s="3570"/>
      <c r="D21" s="3570"/>
    </row>
    <row r="22" spans="1:4" ht="18.75" customHeight="1">
      <c r="A22" s="3571" t="s">
        <v>945</v>
      </c>
      <c r="B22" s="3571"/>
      <c r="C22" s="3571"/>
      <c r="D22" s="357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68">
        <v>42551</v>
      </c>
      <c r="D31" s="35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7" t="s">
        <v>956</v>
      </c>
      <c r="B15" s="3572" t="s">
        <v>109</v>
      </c>
      <c r="C15" s="3573"/>
    </row>
    <row r="16" spans="1:7" ht="13.5">
      <c r="A16" s="3578"/>
      <c r="B16" s="3572" t="s">
        <v>42</v>
      </c>
      <c r="C16" s="3573"/>
    </row>
    <row r="17" spans="1:3" ht="13.5">
      <c r="A17" s="3578"/>
      <c r="B17" s="3575" t="s">
        <v>957</v>
      </c>
      <c r="C17" s="1530" t="s">
        <v>956</v>
      </c>
    </row>
    <row r="18" spans="1:3" ht="13.5">
      <c r="A18" s="3578"/>
      <c r="B18" s="3575"/>
      <c r="C18" s="1530" t="s">
        <v>958</v>
      </c>
    </row>
    <row r="19" spans="1:3" ht="13.5">
      <c r="A19" s="3578"/>
      <c r="B19" s="3575"/>
      <c r="C19" s="1530" t="s">
        <v>959</v>
      </c>
    </row>
    <row r="20" spans="1:3" ht="13.5">
      <c r="A20" s="3579"/>
      <c r="B20" s="3574" t="s">
        <v>960</v>
      </c>
      <c r="C20" s="3573"/>
    </row>
    <row r="21" spans="1:3" ht="13.5">
      <c r="A21" s="1531" t="s">
        <v>961</v>
      </c>
      <c r="B21" s="1532"/>
      <c r="C21" s="1533"/>
    </row>
    <row r="22" spans="1:3" ht="13.5">
      <c r="A22" s="3576" t="s">
        <v>962</v>
      </c>
      <c r="B22" s="3574" t="s">
        <v>963</v>
      </c>
      <c r="C22" s="3573"/>
    </row>
    <row r="23" spans="1:3" ht="13.5">
      <c r="A23" s="3576"/>
      <c r="B23" s="3574" t="s">
        <v>964</v>
      </c>
      <c r="C23" s="3573"/>
    </row>
    <row r="24" spans="1:3" ht="13.5">
      <c r="A24" s="3576"/>
      <c r="B24" s="3574" t="s">
        <v>965</v>
      </c>
      <c r="C24" s="3573"/>
    </row>
    <row r="25" spans="1:3" ht="13.5">
      <c r="A25" s="3576"/>
      <c r="B25" s="3575" t="s">
        <v>966</v>
      </c>
      <c r="C25" s="1530" t="s">
        <v>967</v>
      </c>
    </row>
    <row r="26" spans="1:3" ht="13.5">
      <c r="A26" s="3576"/>
      <c r="B26" s="3575"/>
      <c r="C26" s="1530" t="s">
        <v>968</v>
      </c>
    </row>
    <row r="27" spans="1:3" ht="13.5">
      <c r="A27" s="3576"/>
      <c r="B27" s="3575"/>
      <c r="C27" s="1530" t="s">
        <v>969</v>
      </c>
    </row>
    <row r="28" spans="1:3" ht="13.5">
      <c r="A28" s="3576"/>
      <c r="B28" s="3575"/>
      <c r="C28" s="1530" t="s">
        <v>970</v>
      </c>
    </row>
    <row r="29" spans="1:3" ht="13.5">
      <c r="A29" s="3576"/>
      <c r="B29" s="3575"/>
      <c r="C29" s="1530" t="s">
        <v>971</v>
      </c>
    </row>
    <row r="30" spans="1:3" ht="13.5">
      <c r="A30" s="3576"/>
      <c r="B30" s="3575"/>
      <c r="C30" s="1530" t="s">
        <v>972</v>
      </c>
    </row>
    <row r="31" spans="1:3" ht="13.5">
      <c r="A31" s="3576"/>
      <c r="B31" s="3575"/>
      <c r="C31" s="1530" t="s">
        <v>973</v>
      </c>
    </row>
    <row r="32" spans="1:3" ht="13.5">
      <c r="A32" s="3576"/>
      <c r="B32" s="3575"/>
      <c r="C32" s="1530" t="s">
        <v>974</v>
      </c>
    </row>
    <row r="33" spans="1:3" ht="13.5">
      <c r="A33" s="3576"/>
      <c r="B33" s="357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45070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80" t="s">
        <v>2159</v>
      </c>
      <c r="B17" s="3580"/>
      <c r="C17" s="3580"/>
      <c r="D17" s="3580"/>
      <c r="E17" s="3580"/>
      <c r="F17" s="3580"/>
      <c r="G17" s="3580"/>
      <c r="H17" s="3580"/>
    </row>
    <row r="18" spans="1:8" ht="24" customHeight="1">
      <c r="A18" s="3581" t="s">
        <v>2160</v>
      </c>
      <c r="B18" s="3581"/>
      <c r="C18" s="3581"/>
      <c r="D18" s="2341"/>
      <c r="E18" s="3582" t="s">
        <v>2161</v>
      </c>
      <c r="F18" s="3581"/>
      <c r="G18" s="358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2023-05-24T07:26:29Z</dcterms:modified>
</cp:coreProperties>
</file>