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14400" windowHeight="11400" tabRatio="875" firstSheet="11"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 name="Sheet1" sheetId="77" r:id="rId49"/>
  </sheets>
  <externalReferences>
    <externalReference r:id="rId50"/>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I47" i="33" l="1"/>
  <c r="G47" i="33"/>
  <c r="E47" i="33"/>
  <c r="I48" i="34"/>
  <c r="G48" i="34"/>
  <c r="E48" i="34"/>
  <c r="B130" i="33"/>
  <c r="F46" i="33"/>
  <c r="AA46" i="33"/>
  <c r="R47" i="33"/>
  <c r="B2" i="1"/>
  <c r="C7" i="33"/>
  <c r="C58" i="33"/>
  <c r="D58" i="33"/>
  <c r="E58" i="33"/>
  <c r="F58" i="33"/>
  <c r="G58" i="33"/>
  <c r="H58" i="33"/>
  <c r="I58" i="33"/>
  <c r="J58" i="33"/>
  <c r="K58" i="33"/>
  <c r="L58" i="33"/>
  <c r="M58" i="33"/>
  <c r="N58" i="33"/>
  <c r="O58" i="33"/>
  <c r="F7" i="33"/>
  <c r="AA7" i="33"/>
  <c r="R48" i="33"/>
  <c r="H46" i="33"/>
  <c r="AB46" i="33"/>
  <c r="T47" i="33"/>
  <c r="H7" i="33"/>
  <c r="AB7" i="33"/>
  <c r="T48" i="33"/>
  <c r="J46" i="33"/>
  <c r="AC46" i="33"/>
  <c r="V47" i="33"/>
  <c r="J7" i="33"/>
  <c r="AC7" i="33"/>
  <c r="V48" i="33"/>
  <c r="R49" i="33"/>
  <c r="C49" i="33"/>
  <c r="B3" i="33"/>
  <c r="R24" i="31"/>
  <c r="R28" i="31"/>
  <c r="S28" i="31"/>
  <c r="C10" i="12"/>
  <c r="S24" i="31"/>
  <c r="R25" i="31"/>
  <c r="S25" i="31"/>
  <c r="R26" i="31"/>
  <c r="S26" i="31"/>
  <c r="R27" i="31"/>
  <c r="S27"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0" i="12"/>
  <c r="F6" i="15"/>
  <c r="F8" i="15"/>
  <c r="F7" i="15"/>
  <c r="F9" i="15"/>
  <c r="C6" i="15"/>
  <c r="C1" i="65"/>
  <c r="N1" i="65"/>
  <c r="N4" i="65"/>
  <c r="C4" i="65"/>
  <c r="B39" i="1"/>
  <c r="F11" i="15"/>
  <c r="C10" i="15"/>
  <c r="C5" i="15"/>
  <c r="C32" i="15"/>
  <c r="C33" i="15"/>
  <c r="F35" i="15"/>
  <c r="C34" i="15"/>
  <c r="C31" i="15"/>
  <c r="M14" i="1"/>
  <c r="T9" i="1"/>
  <c r="C14" i="15"/>
  <c r="C15" i="15"/>
  <c r="F16" i="15"/>
  <c r="C16" i="15"/>
  <c r="F43" i="15"/>
  <c r="C17" i="15"/>
  <c r="C18" i="15"/>
  <c r="C19" i="15"/>
  <c r="C20" i="15"/>
  <c r="H1" i="65"/>
  <c r="I6" i="65"/>
  <c r="I1" i="65"/>
  <c r="I5" i="65"/>
  <c r="E2" i="65"/>
  <c r="B40" i="1"/>
  <c r="F24" i="15"/>
  <c r="C23" i="15"/>
  <c r="F26" i="15"/>
  <c r="C26" i="15"/>
  <c r="C24" i="15"/>
  <c r="C27" i="15"/>
  <c r="C42" i="1"/>
  <c r="C28" i="15"/>
  <c r="C29" i="15"/>
  <c r="F36" i="15"/>
  <c r="C36" i="15"/>
  <c r="F13" i="15"/>
  <c r="C13" i="15"/>
  <c r="F37" i="15"/>
  <c r="C37" i="15"/>
  <c r="F38" i="15"/>
  <c r="C38" i="15"/>
  <c r="C30" i="15"/>
  <c r="C39" i="15"/>
  <c r="F42" i="15"/>
  <c r="F40" i="15"/>
  <c r="G19" i="4"/>
  <c r="F9" i="1"/>
  <c r="L48" i="15"/>
  <c r="J51" i="15"/>
  <c r="J53" i="15"/>
  <c r="F1" i="15"/>
  <c r="AE9" i="1"/>
  <c r="F41" i="15"/>
  <c r="C40" i="15"/>
  <c r="F10" i="12"/>
  <c r="R48" i="34"/>
  <c r="B131" i="34"/>
  <c r="F47" i="34"/>
  <c r="AA47" i="34"/>
  <c r="C7" i="34"/>
  <c r="C59" i="34"/>
  <c r="D59" i="34"/>
  <c r="E59" i="34"/>
  <c r="F59" i="34"/>
  <c r="G59" i="34"/>
  <c r="H59" i="34"/>
  <c r="I59" i="34"/>
  <c r="J59" i="34"/>
  <c r="K59" i="34"/>
  <c r="L59" i="34"/>
  <c r="M59" i="34"/>
  <c r="N59" i="34"/>
  <c r="O59" i="34"/>
  <c r="F7" i="34"/>
  <c r="AA7" i="34"/>
  <c r="R49" i="34"/>
  <c r="T48" i="34"/>
  <c r="H47" i="34"/>
  <c r="AB47" i="34"/>
  <c r="H7" i="34"/>
  <c r="AB7" i="34"/>
  <c r="T49" i="34"/>
  <c r="V48" i="34"/>
  <c r="J47" i="34"/>
  <c r="AC47" i="34"/>
  <c r="J7" i="34"/>
  <c r="AC7" i="34"/>
  <c r="V49" i="34"/>
  <c r="R50" i="34"/>
  <c r="C50" i="34"/>
  <c r="B3" i="34"/>
  <c r="B2" i="34"/>
  <c r="E10" i="12"/>
  <c r="C6" i="12"/>
  <c r="E8" i="12"/>
  <c r="G7" i="39"/>
  <c r="E5" i="33"/>
  <c r="D83" i="39"/>
  <c r="E83" i="39"/>
  <c r="F83" i="39"/>
  <c r="G83" i="39"/>
  <c r="H13" i="39"/>
  <c r="AB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H9" i="39"/>
  <c r="AB9" i="39"/>
  <c r="F9" i="39"/>
  <c r="AA9" i="39"/>
  <c r="D77" i="33"/>
  <c r="F15" i="33"/>
  <c r="AA15" i="33"/>
  <c r="E77" i="33"/>
  <c r="H15" i="33"/>
  <c r="AB15" i="33"/>
  <c r="H32" i="33"/>
  <c r="AB32" i="33"/>
  <c r="J15" i="33"/>
  <c r="AC15" i="33"/>
  <c r="M7" i="1"/>
  <c r="O7" i="1"/>
  <c r="P7" i="1"/>
  <c r="O14" i="1"/>
  <c r="P14" i="1"/>
  <c r="P16" i="1"/>
  <c r="C13" i="12"/>
  <c r="C14" i="12"/>
  <c r="C15" i="12"/>
  <c r="D16" i="12"/>
  <c r="C16" i="12"/>
  <c r="C17" i="12"/>
  <c r="C18" i="12"/>
  <c r="D19" i="12"/>
  <c r="C19" i="12"/>
  <c r="D21" i="12"/>
  <c r="C21" i="12"/>
  <c r="D22" i="12"/>
  <c r="C22" i="12"/>
  <c r="B29" i="1"/>
  <c r="C20" i="12"/>
  <c r="C23" i="12"/>
  <c r="C24" i="12"/>
  <c r="F26" i="12"/>
  <c r="C28" i="12"/>
  <c r="C26" i="12"/>
  <c r="C29" i="12"/>
  <c r="C31" i="12"/>
  <c r="C30" i="12"/>
  <c r="Q16" i="1"/>
  <c r="F33" i="12"/>
  <c r="C35" i="12"/>
  <c r="C33" i="12"/>
  <c r="C25" i="12"/>
  <c r="C27" i="12"/>
  <c r="D26" i="12"/>
  <c r="C32" i="12"/>
  <c r="D30" i="12"/>
  <c r="C34" i="12"/>
  <c r="D33" i="12"/>
  <c r="C36" i="12"/>
  <c r="B2" i="12"/>
  <c r="D19" i="9"/>
  <c r="T24" i="31"/>
  <c r="V24" i="31"/>
  <c r="D8" i="12"/>
  <c r="U24" i="31"/>
  <c r="M57" i="76"/>
  <c r="L56" i="76"/>
  <c r="L54" i="76"/>
  <c r="L53" i="76"/>
  <c r="L52" i="76"/>
  <c r="K52" i="76"/>
  <c r="I40" i="39"/>
  <c r="E40" i="39"/>
  <c r="I9" i="39"/>
  <c r="E9" i="39"/>
  <c r="I7" i="39"/>
  <c r="E7" i="39"/>
  <c r="R48" i="76"/>
  <c r="I7" i="6"/>
  <c r="Q48" i="76"/>
  <c r="P48" i="76"/>
  <c r="O48" i="76"/>
  <c r="N48" i="76"/>
  <c r="M48" i="76"/>
  <c r="G35" i="9"/>
  <c r="E37" i="9"/>
  <c r="C37" i="9"/>
  <c r="B37" i="9"/>
  <c r="AL15" i="3"/>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B19" i="73"/>
  <c r="C19" i="73"/>
  <c r="B18" i="73"/>
  <c r="B17" i="73"/>
  <c r="B20" i="73"/>
  <c r="I1" i="73"/>
  <c r="I4" i="73"/>
  <c r="F22" i="73"/>
  <c r="K4" i="73"/>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C40" i="39"/>
  <c r="L18" i="69"/>
  <c r="L19" i="69"/>
  <c r="L20" i="69"/>
  <c r="L21" i="69"/>
  <c r="L22" i="69"/>
  <c r="L23" i="69"/>
  <c r="L24" i="69"/>
  <c r="L25" i="69"/>
  <c r="L26" i="69"/>
  <c r="L27" i="69"/>
  <c r="L28" i="69"/>
  <c r="L17" i="69"/>
  <c r="L3" i="69"/>
  <c r="F28" i="69"/>
  <c r="F27" i="69"/>
  <c r="F26" i="69"/>
  <c r="F25" i="69"/>
  <c r="F24" i="69"/>
  <c r="F23" i="69"/>
  <c r="F22" i="69"/>
  <c r="F21" i="69"/>
  <c r="F20" i="69"/>
  <c r="F19" i="69"/>
  <c r="F18" i="69"/>
  <c r="F17" i="69"/>
  <c r="L6" i="69"/>
  <c r="L4" i="69"/>
  <c r="L5" i="69"/>
  <c r="L7" i="69"/>
  <c r="L8" i="69"/>
  <c r="L9" i="69"/>
  <c r="L10" i="69"/>
  <c r="L11" i="69"/>
  <c r="F11" i="69"/>
  <c r="F10" i="69"/>
  <c r="F9" i="69"/>
  <c r="F8" i="69"/>
  <c r="F7" i="69"/>
  <c r="F6" i="69"/>
  <c r="F5" i="69"/>
  <c r="F4" i="69"/>
  <c r="F3" i="69"/>
  <c r="B22" i="7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N7" i="65"/>
  <c r="B76" i="63"/>
  <c r="N6" i="65"/>
  <c r="N3" i="65"/>
  <c r="N5" i="65"/>
  <c r="J5" i="65"/>
  <c r="I3" i="65"/>
  <c r="I7"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M20" i="46"/>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F41" i="21"/>
  <c r="S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29" i="34"/>
  <c r="B127" i="34"/>
  <c r="B99" i="34"/>
  <c r="B97" i="34"/>
  <c r="H31" i="34"/>
  <c r="B95" i="34"/>
  <c r="B93" i="34"/>
  <c r="B75" i="34"/>
  <c r="B73" i="34"/>
  <c r="J13" i="34"/>
  <c r="W13" i="34"/>
  <c r="B71" i="34"/>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Q11" i="33"/>
  <c r="Z11" i="33"/>
  <c r="Q10" i="33"/>
  <c r="Z10" i="33"/>
  <c r="Q9" i="33"/>
  <c r="Z9" i="33"/>
  <c r="J9" i="33"/>
  <c r="AC9" i="33"/>
  <c r="H9" i="33"/>
  <c r="AB9" i="33"/>
  <c r="F9" i="33"/>
  <c r="AA9" i="33"/>
  <c r="J8" i="33"/>
  <c r="W8" i="33"/>
  <c r="H8" i="33"/>
  <c r="F8" i="33"/>
  <c r="S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H13" i="34"/>
  <c r="U13" i="34"/>
  <c r="F13" i="34"/>
  <c r="AA13" i="34"/>
  <c r="F29" i="34"/>
  <c r="S29" i="34"/>
  <c r="J31" i="34"/>
  <c r="F31" i="34"/>
  <c r="S31" i="34"/>
  <c r="J45" i="34"/>
  <c r="W45" i="34"/>
  <c r="U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J51" i="71"/>
  <c r="J51" i="72"/>
  <c r="U32" i="33"/>
  <c r="W33" i="33"/>
  <c r="AB43" i="33"/>
  <c r="AC36" i="33"/>
  <c r="S32" i="33"/>
  <c r="W32" i="33"/>
  <c r="AC28"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48" i="35"/>
  <c r="D48" i="35"/>
  <c r="C52" i="37"/>
  <c r="D52" i="37"/>
  <c r="C67" i="40"/>
  <c r="D65" i="40"/>
  <c r="P24" i="46"/>
  <c r="B68" i="40"/>
  <c r="P23" i="46"/>
  <c r="P21" i="46"/>
  <c r="P22" i="46"/>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8" i="68"/>
  <c r="L49" i="44"/>
  <c r="F43" i="68"/>
  <c r="M8" i="44"/>
  <c r="F45" i="44"/>
  <c r="F7" i="68"/>
  <c r="M24" i="44"/>
  <c r="M22" i="15"/>
  <c r="F10" i="44"/>
  <c r="M10" i="44"/>
  <c r="F7" i="71"/>
  <c r="M11" i="44"/>
  <c r="M30" i="44"/>
  <c r="M26" i="44"/>
  <c r="F40" i="44"/>
  <c r="F9" i="44"/>
  <c r="F38" i="44"/>
  <c r="F43" i="71"/>
  <c r="F15" i="44"/>
  <c r="F28" i="44"/>
  <c r="M9" i="15"/>
  <c r="F39" i="44"/>
  <c r="M6" i="15"/>
  <c r="L48" i="71"/>
  <c r="J17" i="44"/>
  <c r="M25" i="44"/>
  <c r="L48" i="72"/>
  <c r="M31" i="44"/>
  <c r="M23"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6" i="44"/>
  <c r="C26" i="44"/>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E48" i="35"/>
  <c r="F48" i="35"/>
  <c r="G48" i="35"/>
  <c r="H48" i="35"/>
  <c r="I48" i="35"/>
  <c r="J48" i="35"/>
  <c r="K48" i="35"/>
  <c r="L48" i="35"/>
  <c r="M48" i="35"/>
  <c r="N48" i="35"/>
  <c r="O48" i="35"/>
  <c r="E46" i="36"/>
  <c r="F46" i="36"/>
  <c r="G46" i="36"/>
  <c r="H46" i="36"/>
  <c r="I46" i="36"/>
  <c r="J46" i="36"/>
  <c r="K46" i="36"/>
  <c r="L46" i="36"/>
  <c r="M46" i="36"/>
  <c r="N46" i="36"/>
  <c r="O46" i="36"/>
  <c r="W7" i="33"/>
  <c r="I48" i="33"/>
  <c r="I52" i="33"/>
  <c r="J52" i="33"/>
  <c r="U7" i="33"/>
  <c r="G48" i="33"/>
  <c r="D67" i="40"/>
  <c r="E65" i="40"/>
  <c r="S7" i="33"/>
  <c r="C39" i="46"/>
  <c r="G39" i="46"/>
  <c r="I39" i="46"/>
  <c r="C37" i="46"/>
  <c r="G37" i="46"/>
  <c r="I37" i="46"/>
  <c r="F18" i="11"/>
  <c r="E4" i="4"/>
  <c r="C4" i="4"/>
  <c r="F64" i="15"/>
  <c r="F50" i="15"/>
  <c r="F67" i="15"/>
  <c r="F70" i="15"/>
  <c r="G66" i="36"/>
  <c r="J18" i="36"/>
  <c r="AE8" i="1"/>
  <c r="M17" i="71"/>
  <c r="M19" i="44"/>
  <c r="F33" i="44"/>
  <c r="F31" i="15"/>
  <c r="F31" i="71"/>
  <c r="F31" i="72"/>
  <c r="J36" i="71"/>
  <c r="F26" i="71"/>
  <c r="F16" i="71"/>
  <c r="M26" i="71"/>
  <c r="F38" i="72"/>
  <c r="F43" i="72"/>
  <c r="F37" i="72"/>
  <c r="L47" i="72"/>
  <c r="M22" i="71"/>
  <c r="M29" i="72"/>
  <c r="F13" i="72"/>
  <c r="F6" i="71"/>
  <c r="F42" i="72"/>
  <c r="J36" i="15"/>
  <c r="M17" i="68"/>
  <c r="C16" i="68"/>
  <c r="M26" i="72"/>
  <c r="F37" i="71"/>
  <c r="F8" i="71"/>
  <c r="J15" i="72"/>
  <c r="M6" i="71"/>
  <c r="M27" i="72"/>
  <c r="F9" i="71"/>
  <c r="M28" i="71"/>
  <c r="M26" i="15"/>
  <c r="F7" i="72"/>
  <c r="F16" i="72"/>
  <c r="M24" i="72"/>
  <c r="M23" i="72"/>
  <c r="M28" i="15"/>
  <c r="F36" i="71"/>
  <c r="M24" i="71"/>
  <c r="L47" i="15"/>
  <c r="M8" i="72"/>
  <c r="J15" i="15"/>
  <c r="F40" i="71"/>
  <c r="M23" i="71"/>
  <c r="M29" i="15"/>
  <c r="F8" i="72"/>
  <c r="M6" i="72"/>
  <c r="F40" i="72"/>
  <c r="F9" i="72"/>
  <c r="M22" i="72"/>
  <c r="M9" i="71"/>
  <c r="F38" i="71"/>
  <c r="J36" i="72"/>
  <c r="M8" i="71"/>
  <c r="F13" i="71"/>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C24" i="72"/>
  <c r="E27" i="6"/>
  <c r="K26" i="6"/>
  <c r="M26" i="6"/>
  <c r="I26" i="6"/>
  <c r="S26" i="6"/>
  <c r="F107" i="46"/>
  <c r="K105" i="46"/>
  <c r="C105" i="46"/>
  <c r="K104" i="46"/>
  <c r="J109" i="46"/>
  <c r="J105" i="46"/>
  <c r="F30" i="6"/>
  <c r="F31" i="6"/>
  <c r="H7" i="36"/>
  <c r="AB7" i="36"/>
  <c r="T36" i="36"/>
  <c r="G36" i="36"/>
  <c r="G40" i="36"/>
  <c r="H40" i="36"/>
  <c r="J7" i="35"/>
  <c r="AC7" i="35"/>
  <c r="V38" i="35"/>
  <c r="I38" i="35"/>
  <c r="I42" i="35"/>
  <c r="J42" i="35"/>
  <c r="F65" i="15"/>
  <c r="J57" i="15"/>
  <c r="J55" i="15"/>
  <c r="J58" i="15"/>
  <c r="Q51" i="15"/>
  <c r="L56" i="15"/>
  <c r="I54" i="15"/>
  <c r="F63" i="15"/>
  <c r="Q72" i="15"/>
  <c r="L58" i="15"/>
  <c r="Q74" i="15"/>
  <c r="L59" i="15"/>
  <c r="Q75" i="15"/>
  <c r="F49" i="15"/>
  <c r="C48" i="15"/>
  <c r="M7" i="15"/>
  <c r="J6" i="68"/>
  <c r="J5" i="68"/>
  <c r="J7" i="36"/>
  <c r="W7" i="36"/>
  <c r="F7" i="36"/>
  <c r="H7" i="35"/>
  <c r="AB7" i="35"/>
  <c r="T38" i="35"/>
  <c r="G38" i="35"/>
  <c r="G42" i="35"/>
  <c r="H42" i="35"/>
  <c r="F7" i="35"/>
  <c r="G49" i="34"/>
  <c r="G53" i="34"/>
  <c r="H53" i="34"/>
  <c r="I49" i="34"/>
  <c r="I53" i="34"/>
  <c r="J53" i="34"/>
  <c r="T15" i="46"/>
  <c r="V15" i="46"/>
  <c r="T11" i="46"/>
  <c r="V11" i="46"/>
  <c r="T14" i="46"/>
  <c r="V14" i="46"/>
  <c r="T10" i="46"/>
  <c r="V10" i="46"/>
  <c r="O6" i="1"/>
  <c r="P6" i="1"/>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AG6" i="1"/>
  <c r="AC6" i="3"/>
  <c r="D12" i="11"/>
  <c r="C12" i="11"/>
  <c r="E59" i="40"/>
  <c r="E29" i="6"/>
  <c r="L20" i="6"/>
  <c r="E58" i="40"/>
  <c r="E63" i="39"/>
  <c r="E16" i="6"/>
  <c r="AZ5" i="3"/>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39" i="46"/>
  <c r="E46" i="37"/>
  <c r="F46" i="37"/>
  <c r="C48" i="33"/>
  <c r="M17" i="72"/>
  <c r="F58" i="71"/>
  <c r="F58" i="15"/>
  <c r="M17" i="15"/>
  <c r="F58" i="72"/>
  <c r="AE10" i="1"/>
  <c r="AE7" i="1"/>
  <c r="M27" i="15"/>
  <c r="M27" i="7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W7" i="34"/>
  <c r="S7" i="34"/>
  <c r="M24" i="6"/>
  <c r="I24" i="6"/>
  <c r="S24" i="6"/>
  <c r="S11" i="1"/>
  <c r="E31" i="6"/>
  <c r="K21" i="6"/>
  <c r="M21" i="6"/>
  <c r="I21" i="6"/>
  <c r="S21" i="6"/>
  <c r="K23" i="6"/>
  <c r="M23" i="6"/>
  <c r="I23" i="6"/>
  <c r="S23" i="6"/>
  <c r="K22" i="6"/>
  <c r="M22" i="6"/>
  <c r="I22" i="6"/>
  <c r="S22" i="6"/>
  <c r="C38" i="71"/>
  <c r="J24" i="71"/>
  <c r="J26" i="71"/>
  <c r="J18" i="71"/>
  <c r="C59" i="71"/>
  <c r="C65" i="71"/>
  <c r="Q53" i="15"/>
  <c r="S10" i="1"/>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E6" i="3"/>
  <c r="Q69" i="44"/>
  <c r="L58" i="44"/>
  <c r="L61" i="44"/>
  <c r="D113" i="46"/>
  <c r="J22" i="46"/>
  <c r="E41" i="36"/>
  <c r="F41" i="36"/>
  <c r="I47" i="37"/>
  <c r="J47" i="37"/>
  <c r="E53" i="33"/>
  <c r="F53" i="33"/>
  <c r="I53" i="33"/>
  <c r="J53" i="33"/>
  <c r="L27" i="6"/>
  <c r="E38" i="35"/>
  <c r="I43" i="35"/>
  <c r="J43" i="35"/>
  <c r="R37" i="36"/>
  <c r="C26" i="43"/>
  <c r="D24" i="43"/>
  <c r="K16" i="1"/>
  <c r="M20" i="6"/>
  <c r="I20" i="6"/>
  <c r="S20" i="6"/>
  <c r="S7" i="1"/>
  <c r="M19" i="6"/>
  <c r="S6" i="1"/>
  <c r="E3" i="6"/>
  <c r="AY6" i="3"/>
  <c r="R43" i="37"/>
  <c r="E49" i="34"/>
  <c r="C39" i="35"/>
  <c r="B3" i="35"/>
  <c r="B2" i="35"/>
  <c r="AC7" i="21"/>
  <c r="V48" i="21"/>
  <c r="I48" i="21"/>
  <c r="W7" i="21"/>
  <c r="U7" i="21"/>
  <c r="AB7" i="21"/>
  <c r="T48" i="21"/>
  <c r="G48" i="21"/>
  <c r="S7" i="21"/>
  <c r="AA7" i="21"/>
  <c r="R48" i="21"/>
  <c r="F67" i="40"/>
  <c r="G65" i="40"/>
  <c r="J20" i="44"/>
  <c r="J26" i="44"/>
  <c r="F41" i="68"/>
  <c r="F41" i="72"/>
  <c r="C14" i="68"/>
  <c r="F41" i="71"/>
  <c r="F46" i="44"/>
  <c r="C17" i="68"/>
  <c r="C17" i="71"/>
  <c r="C30" i="46"/>
  <c r="E30" i="46"/>
  <c r="F68" i="72"/>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R27" i="74"/>
  <c r="S27" i="74"/>
  <c r="S24" i="74"/>
  <c r="R29" i="74"/>
  <c r="R28" i="74"/>
  <c r="R25" i="74"/>
  <c r="S25" i="74"/>
  <c r="R26" i="74"/>
  <c r="S26" i="74"/>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M16" i="1"/>
  <c r="C43" i="37"/>
  <c r="B3" i="37"/>
  <c r="B2" i="37"/>
  <c r="C42" i="37"/>
  <c r="C49" i="34"/>
  <c r="E54" i="34"/>
  <c r="F54" i="34"/>
  <c r="I54" i="34"/>
  <c r="J54" i="34"/>
  <c r="E53" i="34"/>
  <c r="F53" i="34"/>
  <c r="I52" i="21"/>
  <c r="J52" i="21"/>
  <c r="E48" i="21"/>
  <c r="R49" i="21"/>
  <c r="G52" i="21"/>
  <c r="H52" i="21"/>
  <c r="G53" i="21"/>
  <c r="H53" i="21"/>
  <c r="G67" i="40"/>
  <c r="H65" i="40"/>
  <c r="C19" i="44"/>
  <c r="F7" i="67"/>
  <c r="C17" i="72"/>
  <c r="C27" i="46"/>
  <c r="C8" i="12"/>
  <c r="S16" i="1"/>
  <c r="T13" i="1"/>
  <c r="C13" i="39"/>
  <c r="E4" i="67"/>
  <c r="C26" i="46"/>
  <c r="S28" i="74"/>
  <c r="S29" i="74"/>
  <c r="C19" i="68"/>
  <c r="C20" i="68"/>
  <c r="C26" i="68"/>
  <c r="E68" i="39"/>
  <c r="E63" i="40"/>
  <c r="O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65" i="40"/>
  <c r="H67" i="40"/>
  <c r="C14" i="71"/>
  <c r="E7" i="67"/>
  <c r="T11" i="1"/>
  <c r="T12" i="1"/>
  <c r="T7" i="1"/>
  <c r="T8" i="1"/>
  <c r="T6" i="1"/>
  <c r="T10" i="1"/>
  <c r="C11" i="11"/>
  <c r="C10" i="11"/>
  <c r="F13" i="39"/>
  <c r="J13" i="39"/>
  <c r="E3" i="67"/>
  <c r="B2" i="46"/>
  <c r="B20" i="31"/>
  <c r="R22" i="31"/>
  <c r="S22" i="74"/>
  <c r="B2" i="21"/>
  <c r="C18" i="71"/>
  <c r="C15" i="71"/>
  <c r="C23" i="68"/>
  <c r="C29" i="68"/>
  <c r="C57" i="68"/>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C47" i="15"/>
  <c r="M21" i="15"/>
  <c r="B7" i="67"/>
  <c r="C14" i="72"/>
  <c r="C16" i="44"/>
  <c r="F35" i="68"/>
  <c r="M21" i="72"/>
  <c r="M21" i="68"/>
  <c r="F37" i="44"/>
  <c r="M21" i="71"/>
  <c r="F35" i="71"/>
  <c r="M23" i="44"/>
  <c r="F35" i="72"/>
  <c r="T16" i="1"/>
  <c r="C15" i="72"/>
  <c r="C18" i="72"/>
  <c r="C17" i="44"/>
  <c r="C20" i="44"/>
  <c r="C17" i="11"/>
  <c r="C18" i="11"/>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F62" i="15"/>
  <c r="C61" i="15"/>
  <c r="J22" i="44"/>
  <c r="R16" i="1"/>
  <c r="D31" i="6"/>
  <c r="I6" i="6"/>
  <c r="R27" i="6"/>
  <c r="C18" i="43"/>
  <c r="K65" i="40"/>
  <c r="J67" i="40"/>
  <c r="C65" i="15"/>
  <c r="C59"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19" i="43"/>
  <c r="C22" i="43"/>
  <c r="C21" i="43"/>
  <c r="K67" i="40"/>
  <c r="L65" i="40"/>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M65" i="40"/>
  <c r="L67" i="40"/>
  <c r="L51" i="68"/>
  <c r="Q50" i="15"/>
  <c r="J14" i="15"/>
  <c r="J22"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65" i="40"/>
  <c r="N67" i="40"/>
  <c r="M67" i="40"/>
  <c r="C60" i="15"/>
  <c r="J16" i="15"/>
  <c r="J25" i="15"/>
  <c r="J26" i="15"/>
  <c r="J29" i="15"/>
  <c r="C55" i="15"/>
  <c r="C64" i="15"/>
  <c r="Q71"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Q70" i="15"/>
  <c r="C58" i="15"/>
  <c r="Q70" i="44"/>
  <c r="Q49" i="44"/>
  <c r="Q55" i="44"/>
  <c r="Q58" i="44"/>
  <c r="Q64" i="44"/>
  <c r="B3" i="43"/>
  <c r="B5" i="43"/>
  <c r="B4" i="43"/>
  <c r="J9" i="40"/>
  <c r="F9" i="40"/>
  <c r="H9" i="40"/>
  <c r="J9" i="39"/>
  <c r="L51" i="71"/>
  <c r="C57" i="15"/>
  <c r="C66" i="15"/>
  <c r="C67" i="15"/>
  <c r="C70" i="15"/>
  <c r="Q69" i="15"/>
  <c r="Q68" i="71"/>
  <c r="J13" i="72"/>
  <c r="J23" i="72"/>
  <c r="J22" i="72"/>
  <c r="C63" i="72"/>
  <c r="C60" i="72"/>
  <c r="C58" i="72"/>
  <c r="Q71" i="72"/>
  <c r="C37" i="72"/>
  <c r="C30" i="72"/>
  <c r="C39" i="72"/>
  <c r="C55" i="72"/>
  <c r="C64" i="72"/>
  <c r="J35" i="72"/>
  <c r="C46" i="71"/>
  <c r="J39" i="15"/>
  <c r="J40" i="15"/>
  <c r="B5" i="44"/>
  <c r="B3" i="44"/>
  <c r="S9" i="39"/>
  <c r="W9" i="39"/>
  <c r="AC9" i="39"/>
  <c r="AA9" i="40"/>
  <c r="R44" i="40"/>
  <c r="S9" i="40"/>
  <c r="U9" i="39"/>
  <c r="AB9" i="40"/>
  <c r="T44" i="40"/>
  <c r="G44" i="40"/>
  <c r="U9" i="40"/>
  <c r="AC9" i="40"/>
  <c r="V44" i="40"/>
  <c r="I44" i="40"/>
  <c r="W9" i="40"/>
  <c r="L51" i="15"/>
  <c r="L51" i="72"/>
  <c r="Q48" i="15"/>
  <c r="Q54" i="15"/>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C70" i="72"/>
  <c r="C46" i="72"/>
  <c r="Q66" i="72"/>
  <c r="Q76" i="72"/>
  <c r="B2" i="72"/>
  <c r="B3" i="72"/>
  <c r="C43" i="72"/>
  <c r="Q48" i="72"/>
  <c r="Q54" i="72"/>
  <c r="Q57" i="72"/>
  <c r="Q63" i="72"/>
  <c r="J42" i="72"/>
  <c r="J43" i="72"/>
  <c r="L46" i="15"/>
  <c r="B2" i="15"/>
  <c r="Q76" i="15"/>
  <c r="Q58" i="15"/>
  <c r="Q63" i="15"/>
  <c r="E48" i="40"/>
  <c r="F48" i="40"/>
  <c r="E49" i="40"/>
  <c r="F49" i="40"/>
  <c r="C45" i="40"/>
  <c r="C44" i="40"/>
  <c r="I49" i="40"/>
  <c r="J49" i="40"/>
  <c r="B3" i="15"/>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L44" i="9"/>
  <c r="B5" i="12"/>
  <c r="B4" i="12"/>
  <c r="B3" i="12"/>
  <c r="D45" i="9"/>
  <c r="E45" i="9"/>
  <c r="O40" i="9"/>
  <c r="F45" i="9"/>
  <c r="D20" i="9"/>
  <c r="D21" i="9"/>
  <c r="K31" i="9"/>
  <c r="K32" i="9"/>
  <c r="R7" i="54"/>
  <c r="B52" i="63"/>
  <c r="N76" i="9"/>
  <c r="C46" i="9"/>
  <c r="K33" i="9"/>
  <c r="F46" i="9"/>
  <c r="I14" i="66"/>
  <c r="B8" i="66"/>
  <c r="D46" i="9"/>
  <c r="O41" i="9"/>
  <c r="R8" i="54"/>
  <c r="B54" i="63"/>
  <c r="E46" i="9"/>
  <c r="C8" i="66"/>
  <c r="D8" i="66"/>
  <c r="K34"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D14" i="66"/>
  <c r="B5" i="66"/>
  <c r="D5" i="66"/>
  <c r="C5" i="66"/>
  <c r="E98" i="9"/>
  <c r="E99" i="9"/>
  <c r="E114" i="9"/>
  <c r="E115" i="9"/>
  <c r="M83" i="9"/>
  <c r="N83" i="9"/>
  <c r="M84" i="9"/>
  <c r="N84" i="9"/>
  <c r="M85" i="9"/>
  <c r="N85" i="9"/>
  <c r="M86" i="9"/>
  <c r="N86" i="9"/>
  <c r="M87" i="9"/>
  <c r="N87" i="9"/>
  <c r="M88" i="9"/>
  <c r="N88" i="9"/>
  <c r="N89" i="9"/>
  <c r="O89" i="9"/>
  <c r="E14" i="66"/>
  <c r="F14" i="66"/>
  <c r="C82" i="9"/>
  <c r="C81" i="9"/>
  <c r="C85" i="9"/>
  <c r="C86" i="9"/>
  <c r="D72" i="9"/>
  <c r="D70" i="9"/>
  <c r="O38" i="9"/>
  <c r="K26" i="9"/>
  <c r="K25" i="9"/>
  <c r="C34" i="9"/>
  <c r="M38" i="9"/>
  <c r="K27" i="9"/>
  <c r="E42" i="9"/>
  <c r="P5" i="54"/>
  <c r="B46" i="63"/>
  <c r="C33" i="9"/>
  <c r="N38" i="9"/>
  <c r="K28" i="9"/>
  <c r="D42" i="9"/>
  <c r="Q5" i="54"/>
  <c r="B47" i="63"/>
  <c r="N68" i="9"/>
  <c r="R5" i="54"/>
  <c r="B48" i="63"/>
  <c r="O39" i="9"/>
  <c r="R6" i="54"/>
  <c r="B50" i="63"/>
  <c r="K29" i="9"/>
  <c r="K30" i="9"/>
  <c r="O43" i="9"/>
  <c r="C35" i="9"/>
  <c r="F42" i="9"/>
  <c r="F44" i="9"/>
  <c r="E44" i="9"/>
  <c r="D44" i="9"/>
  <c r="G14" i="66"/>
  <c r="B6" i="66"/>
  <c r="C6" i="66"/>
  <c r="D6" i="66"/>
  <c r="N43" i="9"/>
  <c r="G22" i="9"/>
  <c r="B4" i="39"/>
  <c r="C21" i="9"/>
  <c r="G21" i="9"/>
  <c r="B3" i="39"/>
  <c r="C20" i="9"/>
  <c r="G20" i="9"/>
  <c r="D22" i="9"/>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<sst xmlns="http://schemas.openxmlformats.org/spreadsheetml/2006/main" count="8999" uniqueCount="3616">
  <si>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</si>
  <si>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</si>
  <si>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</si>
  <si>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</si>
  <si>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</si>
  <si>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</si>
  <si>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</si>
  <si>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</si>
  <si>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</si>
  <si>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</si>
  <si>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</si>
  <si>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</si>
  <si>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</si>
  <si>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</si>
  <si>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</si>
  <si>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</si>
  <si>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</si>
  <si>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</si>
  <si>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</si>
  <si>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</si>
  <si>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</si>
  <si>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</si>
  <si>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</si>
  <si>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</si>
  <si>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</si>
  <si>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</si>
  <si>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</si>
  <si>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</si>
  <si>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</si>
  <si>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</si>
  <si>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</si>
  <si>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</si>
  <si>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</si>
  <si>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</si>
  <si>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</si>
  <si>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</si>
  <si>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</si>
  <si>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</si>
  <si>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</si>
  <si>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</si>
  <si>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</si>
  <si>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</si>
  <si>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</si>
  <si>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</si>
  <si>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</si>
  <si>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</si>
  <si>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</si>
  <si>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</si>
  <si>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</si>
  <si>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</si>
  <si>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</si>
  <si>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</si>
  <si>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</si>
  <si>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</si>
  <si>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</si>
  <si>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</si>
  <si>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</si>
  <si>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</si>
  <si>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</si>
  <si>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</si>
  <si>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</si>
  <si>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</si>
  <si>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</si>
  <si>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</si>
  <si>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</si>
  <si>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</si>
  <si>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</si>
  <si>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</si>
  <si>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</si>
  <si>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</si>
  <si>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</si>
  <si>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</si>
  <si>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</si>
  <si>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</si>
  <si>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</si>
  <si>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</si>
  <si>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</si>
  <si>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</si>
  <si>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</si>
  <si>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</si>
  <si>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</si>
  <si>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</si>
  <si>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</si>
  <si>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</si>
  <si>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</si>
  <si>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</si>
  <si>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</si>
  <si>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</si>
  <si>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</si>
  <si>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</si>
  <si>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</si>
  <si>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</si>
  <si>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</si>
  <si>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</si>
  <si>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</si>
  <si>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</si>
  <si>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</si>
  <si>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</si>
  <si>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</si>
  <si>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</si>
  <si>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</si>
  <si>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</si>
  <si>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</si>
  <si>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</si>
  <si>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</si>
  <si>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</si>
  <si>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</si>
  <si>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</si>
  <si>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</si>
  <si>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</si>
  <si>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</si>
  <si>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</si>
  <si>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</si>
  <si>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</si>
  <si>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</si>
  <si>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</si>
  <si>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</si>
  <si>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</si>
  <si>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</si>
  <si>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</si>
  <si>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</si>
  <si>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</si>
  <si>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</si>
  <si>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</si>
  <si>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</si>
  <si>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</si>
  <si>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</si>
  <si>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</si>
  <si>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</si>
  <si>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</si>
  <si>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</si>
  <si>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</si>
  <si>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</si>
  <si>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</si>
  <si>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</si>
  <si>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</si>
  <si>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</si>
  <si>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</si>
  <si>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</si>
  <si>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</si>
  <si>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</si>
  <si>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</si>
  <si>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</si>
  <si>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</si>
  <si>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</si>
  <si>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</si>
  <si>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</si>
  <si>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</si>
  <si>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</si>
  <si>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</si>
  <si>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</si>
  <si>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</si>
  <si>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</si>
  <si>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</si>
  <si>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</si>
  <si>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</si>
  <si>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</si>
  <si>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</si>
  <si>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</si>
  <si>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</si>
  <si>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</si>
  <si>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</si>
  <si>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</si>
  <si>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</si>
  <si>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</si>
  <si>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</si>
  <si>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</si>
  <si>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</si>
  <si>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</si>
  <si>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</si>
  <si>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</si>
  <si>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</si>
  <si>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</si>
  <si>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</si>
  <si>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</si>
  <si>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</si>
  <si>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</si>
  <si>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</si>
  <si>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</si>
  <si>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</si>
  <si>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</si>
  <si>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</si>
  <si>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</si>
  <si>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</si>
  <si>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</si>
  <si>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</si>
  <si>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</si>
  <si>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</si>
  <si>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</si>
  <si>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</si>
  <si>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</si>
  <si>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</si>
  <si>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</si>
  <si>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</si>
  <si>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</si>
  <si>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</si>
  <si>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</si>
  <si>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</si>
  <si>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</si>
  <si>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</si>
  <si>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</si>
  <si>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</si>
  <si>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</si>
  <si>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</si>
  <si>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</si>
  <si>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</si>
  <si>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</si>
  <si>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</si>
  <si>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</si>
  <si>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</si>
  <si>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</si>
  <si>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</si>
  <si>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</si>
  <si>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</si>
  <si>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</si>
  <si>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</si>
  <si>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</si>
  <si>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</si>
  <si>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</si>
  <si>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</si>
  <si>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</si>
  <si>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</si>
  <si>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</si>
  <si>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</si>
  <si>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</si>
  <si>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</si>
  <si>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</si>
  <si>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</si>
  <si>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</si>
  <si>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</si>
  <si>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</si>
  <si>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</si>
  <si>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</si>
  <si>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</si>
  <si>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</si>
  <si>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</si>
  <si>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</si>
  <si>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</si>
  <si>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</si>
  <si>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</si>
  <si>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</si>
  <si>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</si>
  <si>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</si>
  <si>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</si>
  <si>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</si>
  <si>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</si>
  <si>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</si>
  <si>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</si>
  <si>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</si>
  <si>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</si>
  <si>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</si>
  <si>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</si>
  <si>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</si>
  <si>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</si>
  <si>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</si>
  <si>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</si>
  <si>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</si>
  <si>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</si>
  <si>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</si>
  <si>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</si>
  <si>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</si>
  <si>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</si>
  <si>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</si>
  <si>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</si>
  <si>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</si>
  <si>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</si>
  <si>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</si>
  <si>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</si>
  <si>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</si>
  <si>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</si>
  <si>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</si>
  <si>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</si>
  <si>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</si>
  <si>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</si>
  <si>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</si>
  <si>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</si>
  <si>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</si>
  <si>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</si>
  <si>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</si>
  <si>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</si>
  <si>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</si>
  <si>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</si>
  <si>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</si>
  <si>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</si>
  <si>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</si>
  <si>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</si>
  <si>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</si>
  <si>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</si>
  <si>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</si>
  <si>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</si>
  <si>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</si>
  <si>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</si>
  <si>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</si>
  <si>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</si>
  <si>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</si>
  <si>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</si>
  <si>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</si>
  <si>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</si>
  <si>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</si>
  <si>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</si>
  <si>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</si>
  <si>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</si>
  <si>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</si>
  <si>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</si>
  <si>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</si>
  <si>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</si>
  <si>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</si>
  <si>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</si>
  <si>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</si>
  <si>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</si>
  <si>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</si>
  <si>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</si>
  <si>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</si>
  <si>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</si>
  <si>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</si>
  <si>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</si>
  <si>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</si>
  <si>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</si>
  <si>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</si>
  <si>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</si>
  <si>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</si>
  <si>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</si>
  <si>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</si>
  <si>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</si>
  <si>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</si>
  <si>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</si>
  <si>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</si>
  <si>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</si>
  <si>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</si>
  <si>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</si>
  <si>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</si>
  <si>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</si>
  <si>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</si>
  <si>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</si>
  <si>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</si>
  <si>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</si>
  <si>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</si>
  <si>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</si>
  <si>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</si>
  <si>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</si>
  <si>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</si>
  <si>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</si>
  <si>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</si>
  <si>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</si>
  <si>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</si>
  <si>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</si>
  <si>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</si>
  <si>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</si>
  <si>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</si>
  <si>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</si>
  <si>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</si>
  <si>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</si>
  <si>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</si>
  <si>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</si>
  <si>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</si>
  <si>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</si>
  <si>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</si>
  <si>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</si>
  <si>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</si>
  <si>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</si>
  <si>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</si>
  <si>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</si>
  <si>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</si>
  <si>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</si>
  <si>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</si>
  <si>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</si>
  <si>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</si>
  <si>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</si>
  <si>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</si>
  <si>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</si>
  <si>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</si>
  <si>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</si>
  <si>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</si>
  <si>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</si>
  <si>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</si>
  <si>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</si>
  <si>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</si>
  <si>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</si>
  <si>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</si>
  <si>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</si>
  <si>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</si>
  <si>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</si>
  <si>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</si>
  <si>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</si>
  <si>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</si>
  <si>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</si>
  <si>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</si>
  <si>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</si>
  <si>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</si>
  <si>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</si>
  <si>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</si>
  <si>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</si>
  <si>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</si>
  <si>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</si>
  <si>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</si>
  <si>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</si>
  <si>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</si>
  <si>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</si>
  <si>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</si>
  <si>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</si>
  <si>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</si>
  <si>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</si>
  <si>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</si>
  <si>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</si>
  <si>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</si>
  <si>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</si>
  <si>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</si>
  <si>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</si>
  <si>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</si>
  <si>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</si>
  <si>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</si>
  <si>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</si>
  <si>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</si>
  <si>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</si>
  <si>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</si>
  <si>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</si>
  <si>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</si>
  <si>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</si>
  <si>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</si>
  <si>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</si>
  <si>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</si>
  <si>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</si>
  <si>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</si>
  <si>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</si>
  <si>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</si>
  <si>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</si>
  <si>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</si>
  <si>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</si>
  <si>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</si>
  <si>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</si>
  <si>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</si>
  <si>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</si>
  <si>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</si>
  <si>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</si>
  <si>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</si>
  <si>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</si>
  <si>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</si>
  <si>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</si>
  <si>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</si>
  <si>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</si>
  <si>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</si>
  <si>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</si>
  <si>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</si>
  <si>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</si>
  <si>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</si>
  <si>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</si>
  <si>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</si>
  <si>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</si>
  <si>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</si>
  <si>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</si>
  <si>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</si>
  <si>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</si>
  <si>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</si>
  <si>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</si>
  <si>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</si>
  <si>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</si>
  <si>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</si>
  <si>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</si>
  <si>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</si>
  <si>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</si>
  <si>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</si>
  <si>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</si>
  <si>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</si>
  <si>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</si>
  <si>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</si>
  <si>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</si>
  <si>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</si>
  <si>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</si>
  <si>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</si>
  <si>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</si>
  <si>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</si>
  <si>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</si>
  <si>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</si>
  <si>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</si>
  <si>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</si>
  <si>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</si>
  <si>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</si>
  <si>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</si>
  <si>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</si>
  <si>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</si>
  <si>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</si>
  <si>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</si>
  <si>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</si>
  <si>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</si>
  <si>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</si>
  <si>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</si>
  <si>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</si>
  <si>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</si>
  <si>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</si>
  <si>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</si>
  <si>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</si>
  <si>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</si>
  <si>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</si>
  <si>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</si>
  <si>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</si>
  <si>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</si>
  <si>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</si>
  <si>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</si>
  <si>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</si>
  <si>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</si>
  <si>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</si>
  <si>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</si>
  <si>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</si>
  <si>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</si>
  <si>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</si>
  <si>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</si>
  <si>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</si>
  <si>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</si>
  <si>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</si>
  <si>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</si>
  <si>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</si>
  <si>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</si>
  <si>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</si>
  <si>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</si>
  <si>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</si>
  <si>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</si>
  <si>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</si>
  <si>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</si>
  <si>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</si>
  <si>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</si>
  <si>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</si>
  <si>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</si>
  <si>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</si>
  <si>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</si>
  <si>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</si>
  <si>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</si>
  <si>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</si>
  <si>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</si>
  <si>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</si>
  <si>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</si>
  <si>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</si>
  <si>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</si>
  <si>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</si>
  <si>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</si>
  <si>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</si>
  <si>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</si>
  <si>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</si>
  <si>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</si>
  <si>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</si>
  <si>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</si>
  <si>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</si>
  <si>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</si>
  <si>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</si>
  <si>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</si>
  <si>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</si>
  <si>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</si>
  <si>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</si>
  <si>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</si>
  <si>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</si>
  <si>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</si>
  <si>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</si>
  <si>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</si>
  <si>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</si>
  <si>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</si>
  <si>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</si>
  <si>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</si>
  <si>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</si>
  <si>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</si>
  <si>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</si>
  <si>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</si>
  <si>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</si>
  <si>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</si>
  <si>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</si>
  <si>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</si>
  <si>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</si>
  <si>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</si>
  <si>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</si>
  <si>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</si>
  <si>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</si>
  <si>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</si>
  <si>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</si>
  <si>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</si>
  <si>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</si>
  <si>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</si>
  <si>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</si>
  <si>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</si>
  <si>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</si>
  <si>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</si>
  <si>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</si>
  <si>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</si>
  <si>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</si>
  <si>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</si>
  <si>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</si>
  <si>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</si>
  <si>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</si>
  <si>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</si>
  <si>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</si>
  <si>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</si>
  <si>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</si>
  <si>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</si>
  <si>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</si>
  <si>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</si>
  <si>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</si>
  <si>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</si>
  <si>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</si>
  <si>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</si>
  <si>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</si>
  <si>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</si>
  <si>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</si>
  <si>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</si>
  <si>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</si>
  <si>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</si>
  <si>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</si>
  <si>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</si>
  <si>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</si>
  <si>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</si>
  <si>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</si>
  <si>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</si>
  <si>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</si>
  <si>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</si>
  <si>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</si>
  <si>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</si>
  <si>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</si>
  <si>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</si>
  <si>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</si>
  <si>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</si>
  <si>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</si>
  <si>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</si>
  <si>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</si>
  <si>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</si>
  <si>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</si>
  <si>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</si>
  <si>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</si>
  <si>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</si>
  <si>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</si>
  <si>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</si>
  <si>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</si>
  <si>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</si>
  <si>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</si>
  <si>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</si>
  <si>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</si>
  <si>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</si>
  <si>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</si>
  <si>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</si>
  <si>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</si>
  <si>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</si>
  <si>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</si>
  <si>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</si>
  <si>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</si>
  <si>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</si>
  <si>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</si>
  <si>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</si>
  <si>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</si>
  <si>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</si>
  <si>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</si>
  <si>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</si>
  <si>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</si>
  <si>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</si>
  <si>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</si>
  <si>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</si>
  <si>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</si>
  <si>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</si>
  <si>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</si>
  <si>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</si>
  <si>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</si>
  <si>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</si>
  <si>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</si>
  <si>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</si>
  <si>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</si>
  <si>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</si>
  <si>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</si>
  <si>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</si>
  <si>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</si>
  <si>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</si>
  <si>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</si>
  <si>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</si>
  <si>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</si>
  <si>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</si>
  <si>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</si>
  <si>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</si>
  <si>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</si>
  <si>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</si>
  <si>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</si>
  <si>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</si>
  <si>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</si>
  <si>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</si>
  <si>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</si>
  <si>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</si>
  <si>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</si>
  <si>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</si>
  <si>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</si>
  <si>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</si>
  <si>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</si>
  <si>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</si>
  <si>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</si>
  <si>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</si>
  <si>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</si>
  <si>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</si>
  <si>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</si>
  <si>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</si>
  <si>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</si>
  <si>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</si>
  <si>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</si>
  <si>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</si>
  <si>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</si>
  <si>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</si>
  <si>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</si>
  <si>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</si>
  <si>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</si>
  <si>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</si>
  <si>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</si>
  <si>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</si>
  <si>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</si>
  <si>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</si>
  <si>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</si>
  <si>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</si>
  <si>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</si>
  <si>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</si>
  <si>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</si>
  <si>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</si>
  <si>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</si>
  <si>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</si>
  <si>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</si>
  <si>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</si>
  <si>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</si>
  <si>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</si>
  <si>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</si>
  <si>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</si>
  <si>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</si>
  <si>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</si>
  <si>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</si>
  <si>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</si>
  <si>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</si>
  <si>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</si>
  <si>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</si>
  <si>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</si>
  <si>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</si>
  <si>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</si>
  <si>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</si>
  <si>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</si>
  <si>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</si>
  <si>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</si>
  <si>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</si>
  <si>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</si>
  <si>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</si>
  <si>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</si>
  <si>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</si>
  <si>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</si>
  <si>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</si>
  <si>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</si>
  <si>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</si>
  <si>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</si>
  <si>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</si>
  <si>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</si>
  <si>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</si>
  <si>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</si>
  <si>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</si>
  <si>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</si>
  <si>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</si>
  <si>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</si>
  <si>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</si>
  <si>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</si>
  <si>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</si>
  <si>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</si>
  <si>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</si>
  <si>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</si>
  <si>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</si>
  <si>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</si>
  <si>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</si>
  <si>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</si>
  <si>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</si>
  <si>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</si>
  <si>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</si>
  <si>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</si>
  <si>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</si>
  <si>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</si>
  <si>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</si>
  <si>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</si>
  <si>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</si>
  <si>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</si>
  <si>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</si>
  <si>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</si>
  <si>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</si>
  <si>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</si>
  <si>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</si>
  <si>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</si>
  <si>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</si>
  <si>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</si>
  <si>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</si>
  <si>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</si>
  <si>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</si>
  <si>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</si>
  <si>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</si>
  <si>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</si>
  <si>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</si>
  <si>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</si>
  <si>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</si>
  <si>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</si>
  <si>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</si>
  <si>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</si>
  <si>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</si>
  <si>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</si>
  <si>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</si>
  <si>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</si>
  <si>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</si>
  <si>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</si>
  <si>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</si>
  <si>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</si>
  <si>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</si>
  <si>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</si>
  <si>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</si>
  <si>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</si>
  <si>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</si>
  <si>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</si>
  <si>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</si>
  <si>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</si>
  <si>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</si>
  <si>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</si>
  <si>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</si>
  <si>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</si>
  <si>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</si>
  <si>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</si>
  <si>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</si>
  <si>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</si>
  <si>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</si>
  <si>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</si>
  <si>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</si>
  <si>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</si>
  <si>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</si>
  <si>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</si>
  <si>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</si>
  <si>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</si>
  <si>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</si>
  <si>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</si>
  <si>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</si>
  <si>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</si>
  <si>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</si>
  <si>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</si>
  <si>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</si>
  <si>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</si>
  <si>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</si>
  <si>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</si>
  <si>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</si>
  <si>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</si>
  <si>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</si>
  <si>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</si>
  <si>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</si>
  <si>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</si>
  <si>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</si>
  <si>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</si>
  <si>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</si>
  <si>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</si>
  <si>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</si>
  <si>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</si>
  <si>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</si>
  <si>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</si>
  <si>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</si>
  <si>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</si>
  <si>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</si>
  <si>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</si>
  <si>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</si>
  <si>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</si>
  <si>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</si>
  <si>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</si>
  <si>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</si>
  <si>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</si>
  <si>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</si>
  <si>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</si>
  <si>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</si>
  <si>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</si>
  <si>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</si>
  <si>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</si>
  <si>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</si>
  <si>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</si>
  <si>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</si>
  <si>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</si>
  <si>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</si>
  <si>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</si>
  <si>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</si>
  <si>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</si>
  <si>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</si>
  <si>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</si>
  <si>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</si>
  <si>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</si>
  <si>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</si>
  <si>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</si>
  <si>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</si>
  <si>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</si>
  <si>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</si>
  <si>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</si>
  <si>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</si>
  <si>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</si>
  <si>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</si>
  <si>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</si>
  <si>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</si>
  <si>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</si>
  <si>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</si>
  <si>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</si>
  <si>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</si>
  <si>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</si>
  <si>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</si>
  <si>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</si>
  <si>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</si>
  <si>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</si>
  <si>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</si>
  <si>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</si>
  <si>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</si>
  <si>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</si>
  <si>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</si>
  <si>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</si>
  <si>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</si>
  <si>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</si>
  <si>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</si>
  <si>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</si>
  <si>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</si>
  <si>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</si>
  <si>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</si>
  <si>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</si>
  <si>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</si>
  <si>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</si>
  <si>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</si>
  <si>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</si>
  <si>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</si>
  <si>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</si>
  <si>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</si>
  <si>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</si>
  <si>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</si>
  <si>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</si>
  <si>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</si>
  <si>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</si>
  <si>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</si>
  <si>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</si>
  <si>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</si>
  <si>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</si>
  <si>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</si>
  <si>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</si>
  <si>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</si>
  <si>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</si>
  <si>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</si>
  <si>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</si>
  <si>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</si>
  <si>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</si>
  <si>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</si>
  <si>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</si>
  <si>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</si>
  <si>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</si>
  <si>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</si>
  <si>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</si>
  <si>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</si>
  <si>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</si>
  <si>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</si>
  <si>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</si>
  <si>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</si>
  <si>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</si>
  <si>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</si>
  <si>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</si>
  <si>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</si>
  <si>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</si>
  <si>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</si>
  <si>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</si>
  <si>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</si>
  <si>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</si>
  <si>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</si>
  <si>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</si>
  <si>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</si>
  <si>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</si>
  <si>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</si>
  <si>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</si>
  <si>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</si>
  <si>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</si>
  <si>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</si>
  <si>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</si>
  <si>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</si>
  <si>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</si>
  <si>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</si>
  <si>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</si>
  <si>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</si>
  <si>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</si>
  <si>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</si>
  <si>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</si>
  <si>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</si>
  <si>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</si>
  <si>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</si>
  <si>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</si>
  <si>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</si>
  <si>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</si>
  <si>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</si>
  <si>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</si>
  <si>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</si>
  <si>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</si>
  <si>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</si>
  <si>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</si>
  <si>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</si>
  <si>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</si>
  <si>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</si>
  <si>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</si>
  <si>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</si>
  <si>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</si>
  <si>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</si>
  <si>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</si>
  <si>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</si>
  <si>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</si>
  <si>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</si>
  <si>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</si>
  <si>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</si>
  <si>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</si>
  <si>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</si>
  <si>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</si>
  <si>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</si>
  <si>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</si>
  <si>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</si>
  <si>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</si>
  <si>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</si>
  <si>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</si>
  <si>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</si>
  <si>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</si>
  <si>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</si>
  <si>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</si>
  <si>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</si>
  <si>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</si>
  <si>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</si>
  <si>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</si>
  <si>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</si>
  <si>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</si>
  <si>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</si>
  <si>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</si>
  <si>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</si>
  <si>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</si>
  <si>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</si>
  <si>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</si>
  <si>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</si>
  <si>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</si>
  <si>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</si>
  <si>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</si>
  <si>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</si>
  <si>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</si>
  <si>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</si>
  <si>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</si>
  <si>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</si>
  <si>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</si>
  <si>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</si>
  <si>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</si>
  <si>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</si>
  <si>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</si>
  <si>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</si>
  <si>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</si>
  <si>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</si>
  <si>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</si>
  <si>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</si>
  <si>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</si>
  <si>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</si>
  <si>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</si>
  <si>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</si>
  <si>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</si>
  <si>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</si>
  <si>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</si>
  <si>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</si>
  <si>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</si>
  <si>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</si>
  <si>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</si>
  <si>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</si>
  <si>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</si>
  <si>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</si>
  <si>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</si>
  <si>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</si>
  <si>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</si>
  <si>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</si>
  <si>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</si>
  <si>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</si>
  <si>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</si>
  <si>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</si>
  <si>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</si>
  <si>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</si>
  <si>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</si>
  <si>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</si>
  <si>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</si>
  <si>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</si>
  <si>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</si>
  <si>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</si>
  <si>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</si>
  <si>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</si>
  <si>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</si>
  <si>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</si>
  <si>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</si>
  <si>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</si>
  <si>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</si>
  <si>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</si>
  <si>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</si>
  <si>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</si>
  <si>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</si>
  <si>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</si>
  <si>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</si>
  <si>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</si>
  <si>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</si>
  <si>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</si>
  <si>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</si>
  <si>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</si>
  <si>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</si>
  <si>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</si>
  <si>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</si>
  <si>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</si>
  <si>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</si>
  <si>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</si>
  <si>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</si>
  <si>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</si>
  <si>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</si>
  <si>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</si>
  <si>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</si>
  <si>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</si>
  <si>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</si>
  <si>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</si>
  <si>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</si>
  <si>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</si>
  <si>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</si>
  <si>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</si>
  <si>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</si>
  <si>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</si>
  <si>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</si>
  <si>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</si>
  <si>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</si>
  <si>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</si>
  <si>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</si>
  <si>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</si>
  <si>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</si>
  <si>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</si>
  <si>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</si>
  <si>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</si>
  <si>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</si>
  <si>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</si>
  <si>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</si>
  <si>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</si>
  <si>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</si>
  <si>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</si>
  <si>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</si>
  <si>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</si>
  <si>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</si>
  <si>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</si>
  <si>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</si>
  <si>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</si>
  <si>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</si>
  <si>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</si>
  <si>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</si>
  <si>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</si>
  <si>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</si>
  <si>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</si>
  <si>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</si>
  <si>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</si>
  <si>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</si>
  <si>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</si>
  <si>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</si>
  <si>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</si>
  <si>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</si>
  <si>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</si>
  <si>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</si>
  <si>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</si>
  <si>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</si>
  <si>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</si>
  <si>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</si>
  <si>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</si>
  <si>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</si>
  <si>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</si>
  <si>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</si>
  <si>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</si>
  <si>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</si>
  <si>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</si>
  <si>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</si>
  <si>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</si>
  <si>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</si>
  <si>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</si>
  <si>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</si>
  <si>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</si>
  <si>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</si>
  <si>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</si>
  <si>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</si>
  <si>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</si>
  <si>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</si>
  <si>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</si>
  <si>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</si>
  <si>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</si>
  <si>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</si>
  <si>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</si>
  <si>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</si>
  <si>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</si>
  <si>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</si>
  <si>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</si>
  <si>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</si>
  <si>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</si>
  <si>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</si>
  <si>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</si>
  <si>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</si>
  <si>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</si>
  <si>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</si>
  <si>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</si>
  <si>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</si>
  <si>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</si>
  <si>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</si>
  <si>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</si>
  <si>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</si>
  <si>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</si>
  <si>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</si>
  <si>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</si>
  <si>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</si>
  <si>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</si>
  <si>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</si>
  <si>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</si>
  <si>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</si>
  <si>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</si>
  <si>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</si>
  <si>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</si>
  <si>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</si>
  <si>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</si>
  <si>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</si>
  <si>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</si>
  <si>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</si>
  <si>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</si>
  <si>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</si>
  <si>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</si>
  <si>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</si>
  <si>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</si>
  <si>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</si>
  <si>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</si>
  <si>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</si>
  <si>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</si>
  <si>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</si>
  <si>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</si>
  <si>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</si>
  <si>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</si>
  <si>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</si>
  <si>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</si>
  <si>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</si>
  <si>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</si>
  <si>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</si>
  <si>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</si>
  <si>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</si>
  <si>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</si>
  <si>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</si>
  <si>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</si>
  <si>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</si>
  <si>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</si>
  <si>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</si>
  <si>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</si>
  <si>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</si>
  <si>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</si>
  <si>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</si>
  <si>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</si>
  <si>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</si>
  <si>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</si>
  <si>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</si>
  <si>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</si>
  <si>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</si>
  <si>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</si>
  <si>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</si>
  <si>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</si>
  <si>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</si>
  <si>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</si>
  <si>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</si>
  <si>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</si>
  <si>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</si>
  <si>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</si>
  <si>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</si>
  <si>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</si>
  <si>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</si>
  <si>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</si>
  <si>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</si>
  <si>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</si>
  <si>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</si>
  <si>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</si>
  <si>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</si>
  <si>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</si>
  <si>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</si>
  <si>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</si>
  <si>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</si>
  <si>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</si>
  <si>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</si>
  <si>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</si>
  <si>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</si>
  <si>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</si>
  <si>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</si>
  <si>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</si>
  <si>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</si>
  <si>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</si>
  <si>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</si>
  <si>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</si>
  <si>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</si>
  <si>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</si>
  <si>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</si>
  <si>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</si>
  <si>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</si>
  <si>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</si>
  <si>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</si>
  <si>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</si>
  <si>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</si>
  <si>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</si>
  <si>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</si>
  <si>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</si>
  <si>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</si>
  <si>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</si>
  <si>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</si>
  <si>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</si>
  <si>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</si>
  <si>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</si>
  <si>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</si>
  <si>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</si>
  <si>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</si>
  <si>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</si>
  <si>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</si>
  <si>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</si>
  <si>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</si>
  <si>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</si>
  <si>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</si>
  <si>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</si>
  <si>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</si>
  <si>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</si>
  <si>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</si>
  <si>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</si>
  <si>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</si>
  <si>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</si>
  <si>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</si>
  <si>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</si>
  <si>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</si>
  <si>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</si>
  <si>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</si>
  <si>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</si>
  <si>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</si>
  <si>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</si>
  <si>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</si>
  <si>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</si>
  <si>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</si>
  <si>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</si>
  <si>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</si>
  <si>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</si>
  <si>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</si>
  <si>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</si>
  <si>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</si>
  <si>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</si>
  <si>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</si>
  <si>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</si>
  <si>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</si>
  <si>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</si>
  <si>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</si>
  <si>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</si>
  <si>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</si>
  <si>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</si>
  <si>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</si>
  <si>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</si>
  <si>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</si>
  <si>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</si>
  <si>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</si>
  <si>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</si>
  <si>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</si>
  <si>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</si>
  <si>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</si>
  <si>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</si>
  <si>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</si>
  <si>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</si>
  <si>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</si>
  <si>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</si>
  <si>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</si>
  <si>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</si>
  <si>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</si>
  <si>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</si>
  <si>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</si>
  <si>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</si>
  <si>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</si>
  <si>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</si>
  <si>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</si>
  <si>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</si>
  <si>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</si>
  <si>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</si>
  <si>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</si>
  <si>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</si>
  <si>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</si>
  <si>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</si>
  <si>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</si>
  <si>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</si>
  <si>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</si>
  <si>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</si>
  <si>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</si>
  <si>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</si>
  <si>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</si>
  <si>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</si>
  <si>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</si>
  <si>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</si>
  <si>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</si>
  <si>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</si>
  <si>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</si>
  <si>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</si>
  <si>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</si>
  <si>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</si>
  <si>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</si>
  <si>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</si>
  <si>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</si>
  <si>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</si>
  <si>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</si>
  <si>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</si>
  <si>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</si>
  <si>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</si>
  <si>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</si>
  <si>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</si>
  <si>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</si>
  <si>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</si>
  <si>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</si>
  <si>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</si>
  <si>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</si>
  <si>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</si>
  <si>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</si>
  <si>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</si>
  <si>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</si>
  <si>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</si>
  <si>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</si>
  <si>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</si>
  <si>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</si>
  <si>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</si>
  <si>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</si>
  <si>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</si>
  <si>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</si>
  <si>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</si>
  <si>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</si>
  <si>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</si>
  <si>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</si>
  <si>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</si>
  <si>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</si>
  <si>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</si>
  <si>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</si>
  <si>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</si>
  <si>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</si>
  <si>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</si>
  <si>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</si>
  <si>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</si>
  <si>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</si>
  <si>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</si>
  <si>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</si>
  <si>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</si>
  <si>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</si>
  <si>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</si>
  <si>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</si>
  <si>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</si>
  <si>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</si>
  <si>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</si>
  <si>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</si>
  <si>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</si>
  <si>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</si>
  <si>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</si>
  <si>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</si>
  <si>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</si>
  <si>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</si>
  <si>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</si>
  <si>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</si>
  <si>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</si>
  <si>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</si>
  <si>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</si>
  <si>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</si>
  <si>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</si>
  <si>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</si>
  <si>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</si>
  <si>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</si>
  <si>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</si>
  <si>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</si>
  <si>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</si>
  <si>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</si>
  <si>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</si>
  <si>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</si>
  <si>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</si>
  <si>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</si>
  <si>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</si>
  <si>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</si>
  <si>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</si>
  <si>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</si>
  <si>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</si>
  <si>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</si>
  <si>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</si>
  <si>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</si>
  <si>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</si>
  <si>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</si>
  <si>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</si>
  <si>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</si>
  <si>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</si>
  <si>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</si>
  <si>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</si>
  <si>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</si>
  <si>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</si>
  <si>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</si>
  <si>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</si>
  <si>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</si>
  <si>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</si>
  <si>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</si>
  <si>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</si>
  <si>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</si>
  <si>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</si>
  <si>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</si>
  <si>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</si>
  <si>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</si>
  <si>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</si>
  <si>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</si>
  <si>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</si>
  <si>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</si>
  <si>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</si>
  <si>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</si>
  <si>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</si>
  <si>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</si>
  <si>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</si>
  <si>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</si>
  <si>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</si>
  <si>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</si>
  <si>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</si>
  <si>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</si>
  <si>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</si>
  <si>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</si>
  <si>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</si>
  <si>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</si>
  <si>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</si>
  <si>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</si>
  <si>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</si>
  <si>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</si>
  <si>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</si>
  <si>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</si>
  <si>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</si>
  <si>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</si>
  <si>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</si>
  <si>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</si>
  <si>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</si>
  <si>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</si>
  <si>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</si>
  <si>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</si>
  <si>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</si>
  <si>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</si>
  <si>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</si>
  <si>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</si>
  <si>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</si>
  <si>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</si>
  <si>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</si>
  <si>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</si>
  <si>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</si>
  <si>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</si>
  <si>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</si>
  <si>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</si>
  <si>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</si>
  <si>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</si>
  <si>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</si>
  <si>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</si>
  <si>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</si>
  <si>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</si>
  <si>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</si>
  <si>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</si>
  <si>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</si>
  <si>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</si>
  <si>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</si>
  <si>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</si>
  <si>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</si>
  <si>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</si>
  <si>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</si>
  <si>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</si>
  <si>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</si>
  <si>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</si>
  <si>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</si>
  <si>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</si>
  <si>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</si>
  <si>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</si>
  <si>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</si>
  <si>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</si>
  <si>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</si>
  <si>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</si>
  <si>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</si>
  <si>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</si>
  <si>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</si>
  <si>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</si>
  <si>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</si>
  <si>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</si>
  <si>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</si>
  <si>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</si>
  <si>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</si>
  <si>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</si>
  <si>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</si>
  <si>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</si>
  <si>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</si>
  <si>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</si>
  <si>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</si>
  <si>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</si>
  <si>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</si>
  <si>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</si>
  <si>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</si>
  <si>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</si>
  <si>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</si>
  <si>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</si>
  <si>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</si>
  <si>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</si>
  <si>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</si>
  <si>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</si>
  <si>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</si>
  <si>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</si>
  <si>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</si>
  <si>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</si>
  <si>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</si>
  <si>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</si>
  <si>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</si>
  <si>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</si>
  <si>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</si>
  <si>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</si>
  <si>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</si>
  <si>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</si>
  <si>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</si>
  <si>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</si>
  <si>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</si>
  <si>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</si>
  <si>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</si>
  <si>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</si>
  <si>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</si>
  <si>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</si>
  <si>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</si>
  <si>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</si>
  <si>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</si>
  <si>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</si>
  <si>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</si>
  <si>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</si>
  <si>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</si>
  <si>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</si>
  <si>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</si>
  <si>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</si>
  <si>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</si>
  <si>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</si>
  <si>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</si>
  <si>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</si>
  <si>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</si>
  <si>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</si>
  <si>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</si>
  <si>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</si>
  <si>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</si>
  <si>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</si>
  <si>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</si>
  <si>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</si>
  <si>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</si>
  <si>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</si>
  <si>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</si>
  <si>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</si>
  <si>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</si>
  <si>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</si>
  <si>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</si>
  <si>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</si>
  <si>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</si>
  <si>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</si>
  <si>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</si>
  <si>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</si>
  <si>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</si>
  <si>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</si>
  <si>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</si>
  <si>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</si>
  <si>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</si>
  <si>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</si>
  <si>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</si>
  <si>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</si>
  <si>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</si>
  <si>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</si>
  <si>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</si>
  <si>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</si>
  <si>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</si>
  <si>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</si>
  <si>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</si>
  <si>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</si>
  <si>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</si>
  <si>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</si>
  <si>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</si>
  <si>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</si>
  <si>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</si>
  <si>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</si>
  <si>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</si>
  <si>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</si>
  <si>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</si>
  <si>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</si>
  <si>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</si>
  <si>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</si>
  <si>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</si>
  <si>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</si>
  <si>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</si>
  <si>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</si>
  <si>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</si>
  <si>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</si>
  <si>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</si>
  <si>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</si>
  <si>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</si>
  <si>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</si>
  <si>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</si>
  <si>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</si>
  <si>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</si>
  <si>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</si>
  <si>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</si>
  <si>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</si>
  <si>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</si>
  <si>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</si>
  <si>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</si>
  <si>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</si>
  <si>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</si>
  <si>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</si>
  <si>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</si>
  <si>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</si>
  <si>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</si>
  <si>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</si>
  <si>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</si>
  <si>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</si>
  <si>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</si>
  <si>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</si>
  <si>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</si>
  <si>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</si>
  <si>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</si>
  <si>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</si>
  <si>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</si>
  <si>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</si>
  <si>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</si>
  <si>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</si>
  <si>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</si>
  <si>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</si>
  <si>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</si>
  <si>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</si>
  <si>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</si>
  <si>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</si>
  <si>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</si>
  <si>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</si>
  <si>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</si>
  <si>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</si>
  <si>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</si>
  <si>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</si>
  <si>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</si>
  <si>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</si>
  <si>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</si>
  <si>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</si>
  <si>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</si>
  <si>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</si>
  <si>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</si>
  <si>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</si>
  <si>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</si>
  <si>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</si>
  <si>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</si>
  <si>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</si>
  <si>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</si>
  <si>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</si>
  <si>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</si>
  <si>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</si>
  <si>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</si>
  <si>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</si>
  <si>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</si>
  <si>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</si>
  <si>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</si>
  <si>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</si>
  <si>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</si>
  <si>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</si>
  <si>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</si>
  <si>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</si>
  <si>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</si>
  <si>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</si>
  <si>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</si>
  <si>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</si>
  <si>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</si>
  <si>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</si>
  <si>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</si>
  <si>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</si>
  <si>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</si>
  <si>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</si>
  <si>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</si>
  <si>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</si>
  <si>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</si>
  <si>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</si>
  <si>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</si>
  <si>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</si>
  <si>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</si>
  <si>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</si>
  <si>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</si>
  <si>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</si>
  <si>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</si>
  <si>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</si>
  <si>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</si>
  <si>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</si>
  <si>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</si>
  <si>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</si>
  <si>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</si>
  <si>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</si>
  <si>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</si>
  <si>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</si>
  <si>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</si>
  <si>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</si>
  <si>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</si>
  <si>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</si>
  <si>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</si>
  <si>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</si>
  <si>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</si>
  <si>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</si>
  <si>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</si>
  <si>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</si>
  <si>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</si>
  <si>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</si>
  <si>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</si>
  <si>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</si>
  <si>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</si>
  <si>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</si>
  <si>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</si>
  <si>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</si>
  <si>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</si>
  <si>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</si>
  <si>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</si>
  <si>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</si>
  <si>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</si>
  <si>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</si>
  <si>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</si>
  <si>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</si>
  <si>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</si>
  <si>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</si>
  <si>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</si>
  <si>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</si>
  <si>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</si>
  <si>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</si>
  <si>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</si>
  <si>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</si>
  <si>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</si>
  <si>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</si>
  <si>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</si>
  <si>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</si>
  <si>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</si>
  <si>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</si>
  <si>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</si>
  <si>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</si>
  <si>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</si>
  <si>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</si>
  <si>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</si>
  <si>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</si>
  <si>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</si>
  <si>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</si>
  <si>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</si>
  <si>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</si>
  <si>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</si>
  <si>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</si>
  <si>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</si>
  <si>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</si>
  <si>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</si>
  <si>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</si>
  <si>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</si>
  <si>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</si>
  <si>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</si>
  <si>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</si>
  <si>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</si>
  <si>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</si>
  <si>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</si>
  <si>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</si>
  <si>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</si>
  <si>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</si>
  <si>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</si>
  <si>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</si>
  <si>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</si>
  <si>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</si>
  <si>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</si>
  <si>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</si>
  <si>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</si>
  <si>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</si>
  <si>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</si>
  <si>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</si>
  <si>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</si>
  <si>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</si>
  <si>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</si>
  <si>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</si>
  <si>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</si>
  <si>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</si>
  <si>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</si>
  <si>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</si>
  <si>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</si>
  <si>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</si>
  <si>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</si>
  <si>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</si>
  <si>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</si>
  <si>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</si>
  <si>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</si>
  <si>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</si>
  <si>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</si>
  <si>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</si>
  <si>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</si>
  <si>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</si>
  <si>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</si>
  <si>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</si>
  <si>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</si>
  <si>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</si>
  <si>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</si>
  <si>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</si>
  <si>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</si>
  <si>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</si>
  <si>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</si>
  <si>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</si>
  <si>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</si>
  <si>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</si>
  <si>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</si>
  <si>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</si>
  <si>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</si>
  <si>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</si>
  <si>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</si>
  <si>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</si>
  <si>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</si>
  <si>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</si>
  <si>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</si>
  <si>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</si>
  <si>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</si>
  <si>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</si>
  <si>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</si>
  <si>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</si>
  <si>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</si>
  <si>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</si>
  <si>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</si>
  <si>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</si>
  <si>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</si>
  <si>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</si>
  <si>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</si>
  <si>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</si>
  <si>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</si>
  <si>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</si>
  <si>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</si>
  <si>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</si>
  <si>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</si>
  <si>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</si>
  <si>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</si>
  <si>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</si>
  <si>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</si>
  <si>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</si>
  <si>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</si>
  <si>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</si>
  <si>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</si>
  <si>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</si>
  <si>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</si>
  <si>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</si>
  <si>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</si>
  <si>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</si>
  <si>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</si>
  <si>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</si>
  <si>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</si>
  <si>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</si>
  <si>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</si>
  <si>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</si>
  <si>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</si>
  <si>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</si>
  <si>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</si>
  <si>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</si>
  <si>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</si>
  <si>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</si>
  <si>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</si>
  <si>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</si>
  <si>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</si>
  <si>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</si>
  <si>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</si>
  <si>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</si>
  <si>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</si>
  <si>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</si>
  <si>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</si>
  <si>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</si>
  <si>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</si>
  <si>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</si>
  <si>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</si>
  <si>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</si>
  <si>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</si>
  <si>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</si>
  <si>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</si>
  <si>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</si>
  <si>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</si>
  <si>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</si>
  <si>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</si>
  <si>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</si>
  <si>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</si>
  <si>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</si>
  <si>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</si>
  <si>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</si>
  <si>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</si>
  <si>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</si>
  <si>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</si>
  <si>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</si>
  <si>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</si>
  <si>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</si>
  <si>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</si>
  <si>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</si>
  <si>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</si>
  <si>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</si>
  <si>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</si>
  <si>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</si>
  <si>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</si>
  <si>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</si>
  <si>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</si>
  <si>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</si>
  <si>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</si>
  <si>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</si>
  <si>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</si>
  <si>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</si>
  <si>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</si>
  <si>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</si>
  <si>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</si>
  <si>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</si>
  <si>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</si>
  <si>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</si>
  <si>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</si>
  <si>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</si>
  <si>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</si>
  <si>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</si>
  <si>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</si>
  <si>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</si>
  <si>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</si>
  <si>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</si>
  <si>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</si>
  <si>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</si>
  <si>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</si>
  <si>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</si>
  <si>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</si>
  <si>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</si>
  <si>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</si>
  <si>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</si>
  <si>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</si>
  <si>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</si>
  <si>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</si>
  <si>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</si>
  <si>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</si>
  <si>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</si>
  <si>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</si>
  <si>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</si>
  <si>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</si>
  <si>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</si>
  <si>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</si>
  <si>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</si>
  <si>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</si>
  <si>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</si>
  <si>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</si>
  <si>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</si>
  <si>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</si>
  <si>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</si>
  <si>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</si>
  <si>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</si>
  <si>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</si>
  <si>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</si>
  <si>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</si>
  <si>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</si>
  <si>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</si>
  <si>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</si>
  <si>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</si>
  <si>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</si>
  <si>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</si>
  <si>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</si>
  <si>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</si>
  <si>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</si>
  <si>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</si>
  <si>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</si>
  <si>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</si>
  <si>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</si>
  <si>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</si>
  <si>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</si>
  <si>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</si>
  <si>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</si>
  <si>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</si>
  <si>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</si>
  <si>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</si>
  <si>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</si>
  <si>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</si>
  <si>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</si>
  <si>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</si>
  <si>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</si>
  <si>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</si>
  <si>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</si>
  <si>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</si>
  <si>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</si>
  <si>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</si>
  <si>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</si>
  <si>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</si>
  <si>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</si>
  <si>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</si>
  <si>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</si>
  <si>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</si>
  <si>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</si>
  <si>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</si>
  <si>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</si>
  <si>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</si>
  <si>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</si>
  <si>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</si>
  <si>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</si>
  <si>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</si>
  <si>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</si>
  <si>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</si>
  <si>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</si>
  <si>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</si>
  <si>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</si>
  <si>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</si>
  <si>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</si>
  <si>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</si>
  <si>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</si>
  <si>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</si>
  <si>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</si>
  <si>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</si>
  <si>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</si>
  <si>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</si>
  <si>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</si>
  <si>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</si>
  <si>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</si>
  <si>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</si>
  <si>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</si>
  <si>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</si>
  <si>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</si>
  <si>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</si>
  <si>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</si>
  <si>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</si>
  <si>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</si>
  <si>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</si>
  <si>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</si>
  <si>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</si>
  <si>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</si>
  <si>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</si>
  <si>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</si>
  <si>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</si>
  <si>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</si>
  <si>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</si>
  <si>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</si>
  <si>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</si>
  <si>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</si>
  <si>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</si>
  <si>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</si>
  <si>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</si>
  <si>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</si>
  <si>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</si>
  <si>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</si>
  <si>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</si>
  <si>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</si>
  <si>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</si>
  <si>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</si>
  <si>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</si>
  <si>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</si>
  <si>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</si>
  <si>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</si>
  <si>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</si>
  <si>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</si>
  <si>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</si>
  <si>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</si>
  <si>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</si>
  <si>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</si>
  <si>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</si>
  <si>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</si>
  <si>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</si>
  <si>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</si>
  <si>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</si>
  <si>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</si>
  <si>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</si>
  <si>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</si>
  <si>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</si>
  <si>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</si>
  <si>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</si>
  <si>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</si>
  <si>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</si>
  <si>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</si>
  <si>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</si>
  <si>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</si>
  <si>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</si>
  <si>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</si>
  <si>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</si>
  <si>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</si>
  <si>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</si>
  <si>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</si>
  <si>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</si>
  <si>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</si>
  <si>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</si>
  <si>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</si>
  <si>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</si>
  <si>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</si>
  <si>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</si>
  <si>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</si>
  <si>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</si>
  <si>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</si>
  <si>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</si>
  <si>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</si>
  <si>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</si>
  <si>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</si>
  <si>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</si>
  <si>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</si>
  <si>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</si>
  <si>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</si>
  <si>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</si>
  <si>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</si>
  <si>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</si>
  <si>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</si>
  <si>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</si>
  <si>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</si>
  <si>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</si>
  <si>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</si>
  <si>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</si>
  <si>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</si>
  <si>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</si>
  <si>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</si>
  <si>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</si>
  <si>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</si>
  <si>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</si>
  <si>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</si>
  <si>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</si>
  <si>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</si>
  <si>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</si>
  <si>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</si>
  <si>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</si>
  <si>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</si>
  <si>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</si>
  <si>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</si>
  <si>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</si>
  <si>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</si>
  <si>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</si>
  <si>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</si>
  <si>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</si>
  <si>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</si>
  <si>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</si>
  <si>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</si>
  <si>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</si>
  <si>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</si>
  <si>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</si>
  <si>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</si>
  <si>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</si>
  <si>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</si>
  <si>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</si>
  <si>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</si>
  <si>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</si>
  <si>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</si>
  <si>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</si>
  <si>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</si>
  <si>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</si>
  <si>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</si>
  <si>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</si>
  <si>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</si>
  <si>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</si>
  <si>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</si>
  <si>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</si>
  <si>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</si>
  <si>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</si>
  <si>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</si>
  <si>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</si>
  <si>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</si>
  <si>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</si>
  <si>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</si>
  <si>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</si>
  <si>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</si>
  <si>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</si>
  <si>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</si>
  <si>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</si>
  <si>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</si>
  <si>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</si>
  <si>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</si>
  <si>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</si>
  <si>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</si>
  <si>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</si>
  <si>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</si>
  <si>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</si>
  <si>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</si>
  <si>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</si>
  <si>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</si>
  <si>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</si>
  <si>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</si>
  <si>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</si>
  <si>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</si>
  <si>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</si>
  <si>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</si>
  <si>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</si>
  <si>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</si>
  <si>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</si>
  <si>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</si>
  <si>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</si>
  <si>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</si>
  <si>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</si>
  <si>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</si>
  <si>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</si>
  <si>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</si>
  <si>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</si>
  <si>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</si>
  <si>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</si>
  <si>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</si>
  <si>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</si>
  <si>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</si>
  <si>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</si>
  <si>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</si>
  <si>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</si>
  <si>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</si>
  <si>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</si>
  <si>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</si>
  <si>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</si>
  <si>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</si>
  <si>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</si>
  <si>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</si>
  <si>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</si>
  <si>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</si>
  <si>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</si>
  <si>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</si>
  <si>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</si>
  <si>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</si>
  <si>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</si>
  <si>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</si>
  <si>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</si>
  <si>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</si>
  <si>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</si>
  <si>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</si>
  <si>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</si>
  <si>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</si>
  <si>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</si>
  <si>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</si>
  <si>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</si>
  <si>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</si>
  <si>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</si>
  <si>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</si>
  <si>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</si>
  <si>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</si>
  <si>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</si>
  <si>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</si>
  <si>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</si>
  <si>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</si>
  <si>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</si>
  <si>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</si>
  <si>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</si>
  <si>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</si>
  <si>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</si>
  <si>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</si>
  <si>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</si>
  <si>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</si>
  <si>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</si>
  <si>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</si>
  <si>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</si>
  <si>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</si>
  <si>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</si>
  <si>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</si>
  <si>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</si>
  <si>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</si>
  <si>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</si>
  <si>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</si>
  <si>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</si>
  <si>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</si>
  <si>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</si>
  <si>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</si>
  <si>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</si>
  <si>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</si>
  <si>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</si>
  <si>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</si>
  <si>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</si>
  <si>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</si>
  <si>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</si>
  <si>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</si>
  <si>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</si>
  <si>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</si>
  <si>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</si>
  <si>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</si>
  <si>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</si>
  <si>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</si>
  <si>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</si>
  <si>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</si>
  <si>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</si>
  <si>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</si>
  <si>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</si>
  <si>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</si>
  <si>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</si>
  <si>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</si>
  <si>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</si>
  <si>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</si>
  <si>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</si>
  <si>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</si>
  <si>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</si>
  <si>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</si>
  <si>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</si>
  <si>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</si>
  <si>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</si>
  <si>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</si>
  <si>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</si>
  <si>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</si>
  <si>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</si>
  <si>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</si>
  <si>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</si>
  <si>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</si>
  <si>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</si>
  <si>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</si>
  <si>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</si>
  <si>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</si>
  <si>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</si>
  <si>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</si>
  <si>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</si>
  <si>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</si>
  <si>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</si>
  <si>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</si>
  <si>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</si>
  <si>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</si>
  <si>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</si>
  <si>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</si>
  <si>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</si>
  <si>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</si>
  <si>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</si>
  <si>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</si>
  <si>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</si>
  <si>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</si>
  <si>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</si>
  <si>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</si>
  <si>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</si>
  <si>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</si>
  <si>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</si>
  <si>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</si>
  <si>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</si>
  <si>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</si>
  <si>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</si>
  <si>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</si>
  <si>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</si>
  <si>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</si>
  <si>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</si>
  <si>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</si>
  <si>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</si>
  <si>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</si>
  <si>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</si>
  <si>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</si>
  <si>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</si>
  <si>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</si>
  <si>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</si>
  <si>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</si>
  <si>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</si>
  <si>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</si>
  <si>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</si>
  <si>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</si>
  <si>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</si>
  <si>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</si>
  <si>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</si>
  <si>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</si>
  <si>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</si>
  <si>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</si>
  <si>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</si>
  <si>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</si>
  <si>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</si>
  <si>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</si>
  <si>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</si>
  <si>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</si>
  <si>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</si>
  <si>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</si>
  <si>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</si>
  <si>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</si>
  <si>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</si>
  <si>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</si>
  <si>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</si>
  <si>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</si>
  <si>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</si>
  <si>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</si>
  <si>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</si>
  <si>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</si>
  <si>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</si>
  <si>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</si>
  <si>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</si>
  <si>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</si>
  <si>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</si>
  <si>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</si>
  <si>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</si>
  <si>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</si>
  <si>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</si>
  <si>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</si>
  <si>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</si>
  <si>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</si>
  <si>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</si>
  <si>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</si>
  <si>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</si>
  <si>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</si>
  <si>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</si>
  <si>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</si>
  <si>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</si>
  <si>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</si>
  <si>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</si>
  <si>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</si>
  <si>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</si>
  <si>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</si>
  <si>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</si>
  <si>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</si>
  <si>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</si>
  <si>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</si>
  <si>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</si>
  <si>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</si>
  <si>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</si>
  <si>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</si>
  <si>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</si>
  <si>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</si>
  <si>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</si>
  <si>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</si>
  <si>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</si>
  <si>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</si>
  <si>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</si>
  <si>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</si>
  <si>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</si>
  <si>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</si>
  <si>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</si>
  <si>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</si>
  <si>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</si>
  <si>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</si>
  <si>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</si>
  <si>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</si>
  <si>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</si>
  <si>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</si>
  <si>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</si>
  <si>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</si>
  <si>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</si>
  <si>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</si>
  <si>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</si>
  <si>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</si>
  <si>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</si>
  <si>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</si>
  <si>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</si>
  <si>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</si>
  <si>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</si>
  <si>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</si>
  <si>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</si>
  <si>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</si>
  <si>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</si>
  <si>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</si>
  <si>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</si>
  <si>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</si>
  <si>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</si>
  <si>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</si>
  <si>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</si>
  <si>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</si>
  <si>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</si>
  <si>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</si>
  <si>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</si>
  <si>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</si>
  <si>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</si>
  <si>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</si>
  <si>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</si>
  <si>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</si>
  <si>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</si>
  <si>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</si>
  <si>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</si>
  <si>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</si>
  <si>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</si>
  <si>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</si>
  <si>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</si>
  <si>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</si>
  <si>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</si>
  <si>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</si>
  <si>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</si>
  <si>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</si>
  <si>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</si>
  <si>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</si>
  <si>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</si>
  <si>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</si>
  <si>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</si>
  <si>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</si>
  <si>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</si>
  <si>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</si>
  <si>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</si>
  <si>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</si>
  <si>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</si>
  <si>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</si>
  <si>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</si>
  <si>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</si>
  <si>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</si>
  <si>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</si>
  <si>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</si>
  <si>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</si>
  <si>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</si>
  <si>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</si>
  <si>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</si>
  <si>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</si>
  <si>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</si>
  <si>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</si>
  <si>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</si>
  <si>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</si>
  <si>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</si>
  <si>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</si>
  <si>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</si>
  <si>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</si>
  <si>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</si>
  <si>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</si>
  <si>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</si>
  <si>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</si>
  <si>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</si>
  <si>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</si>
  <si>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</si>
  <si>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</si>
  <si>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</si>
  <si>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</si>
  <si>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</si>
  <si>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</si>
  <si>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</si>
  <si>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</si>
  <si>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</si>
  <si>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</si>
  <si>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</si>
  <si>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</si>
  <si>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</si>
  <si>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</si>
  <si>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</si>
  <si>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</si>
  <si>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</si>
  <si>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</si>
  <si>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</si>
  <si>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</si>
  <si>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</si>
  <si>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</si>
  <si>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</si>
  <si>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</si>
  <si>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</si>
  <si>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</si>
  <si>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</si>
  <si>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</si>
  <si>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</si>
  <si>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</si>
  <si>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</si>
  <si>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</si>
  <si>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</si>
  <si>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</si>
  <si>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</si>
  <si>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</si>
  <si>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</si>
  <si>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</si>
  <si>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</si>
  <si>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</si>
  <si>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</si>
  <si>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</si>
  <si>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</si>
  <si>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</si>
  <si>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</si>
  <si>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</si>
  <si>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</si>
  <si>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</si>
  <si>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</si>
  <si>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</si>
  <si>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</si>
  <si>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</si>
  <si>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</si>
  <si>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</si>
  <si>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</si>
  <si>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</si>
  <si>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</si>
  <si>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</si>
  <si>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</si>
  <si>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</si>
  <si>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</si>
  <si>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</si>
  <si>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</si>
  <si>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</si>
  <si>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</si>
  <si>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</si>
  <si>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</si>
  <si>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</si>
  <si>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</si>
  <si>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</si>
  <si>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</si>
  <si>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</si>
  <si>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</si>
  <si>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</si>
  <si>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</si>
  <si>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</si>
  <si>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</si>
  <si>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</si>
  <si>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</si>
  <si>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</si>
  <si>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</si>
  <si>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</si>
  <si>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</si>
  <si>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</si>
  <si>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</si>
  <si>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</si>
  <si>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</si>
  <si>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</si>
  <si>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</si>
  <si>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</si>
  <si>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</si>
  <si>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</si>
  <si>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</si>
  <si>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</si>
  <si>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</si>
  <si>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</si>
  <si>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</si>
  <si>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</si>
  <si>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</si>
  <si>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</si>
  <si>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</si>
  <si>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</si>
  <si>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</si>
  <si>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</si>
  <si>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</si>
  <si>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</si>
  <si>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</si>
  <si>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</si>
  <si>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</si>
  <si>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</si>
  <si>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</si>
  <si>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</si>
  <si>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</si>
  <si>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</si>
  <si>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</si>
  <si>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</si>
  <si>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</si>
  <si>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</si>
  <si>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</si>
  <si>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</si>
  <si>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</si>
  <si>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</si>
  <si>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</si>
  <si>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</si>
  <si>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</si>
  <si>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</si>
  <si>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</si>
  <si>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</si>
  <si>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</si>
  <si>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</si>
  <si>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</si>
  <si>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</si>
  <si>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</si>
  <si>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</si>
  <si>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</si>
  <si>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</si>
  <si>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</si>
  <si>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</si>
  <si>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</si>
  <si>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</si>
  <si>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</si>
  <si>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</si>
  <si>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</si>
  <si>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</si>
  <si>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</si>
  <si>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</si>
  <si>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</si>
  <si>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</si>
  <si>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</si>
  <si>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</si>
  <si>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</si>
  <si>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</si>
  <si>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</si>
  <si>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</si>
  <si>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</si>
  <si>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</si>
  <si>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</si>
  <si>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</si>
  <si>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</si>
  <si>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</si>
  <si>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</si>
  <si>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</si>
  <si>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</si>
  <si>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</si>
  <si>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</si>
  <si>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</si>
  <si>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</si>
  <si>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</si>
  <si>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</si>
  <si>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</si>
  <si>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</si>
  <si>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</si>
  <si>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</si>
  <si>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</si>
  <si>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</si>
  <si>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</si>
  <si>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</si>
  <si>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</si>
  <si>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</si>
  <si>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</si>
  <si>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</si>
  <si>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</si>
  <si>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</si>
  <si>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</si>
  <si>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</si>
  <si>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</si>
  <si>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</si>
  <si>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</si>
  <si>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</si>
  <si>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</si>
  <si>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</si>
  <si>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</si>
  <si>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</si>
  <si>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</si>
  <si>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</si>
  <si>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</si>
  <si>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</si>
  <si>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</si>
  <si>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</si>
  <si>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</si>
  <si>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</si>
  <si>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</si>
  <si>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</si>
  <si>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</si>
  <si>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</si>
  <si>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</si>
  <si>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</si>
  <si>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</si>
  <si>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</si>
  <si>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</si>
  <si>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</si>
  <si>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</si>
  <si>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</si>
  <si>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</si>
  <si>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</si>
  <si>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</si>
  <si>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</si>
  <si>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</si>
  <si>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</si>
  <si>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</si>
  <si>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</si>
  <si>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</si>
  <si>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</si>
  <si>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</si>
  <si>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</si>
  <si>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</si>
  <si>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</si>
  <si>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</si>
  <si>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</si>
  <si>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</si>
  <si>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</si>
  <si>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</si>
  <si>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</si>
  <si>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</si>
  <si>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</si>
  <si>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</si>
  <si>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</si>
  <si>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</si>
  <si>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</si>
  <si>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</si>
  <si>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</si>
  <si>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</si>
  <si>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</si>
  <si>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</si>
  <si>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</si>
  <si>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</si>
  <si>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</si>
  <si>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</si>
  <si>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</si>
  <si>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</si>
  <si>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</si>
  <si>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</si>
  <si>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</si>
  <si>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</si>
  <si>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</si>
  <si>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</si>
  <si>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</si>
  <si>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</si>
  <si>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</si>
  <si>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</si>
  <si>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</si>
  <si>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</si>
  <si>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</si>
  <si>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</si>
  <si>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</si>
  <si>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</si>
  <si>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</si>
  <si>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</si>
  <si>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</si>
  <si>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</si>
  <si>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</si>
  <si>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</si>
  <si>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</si>
  <si>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</si>
  <si>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</si>
  <si>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</si>
  <si>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</si>
  <si>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</si>
  <si>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</si>
  <si>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</si>
  <si>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</si>
  <si>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</si>
  <si>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</si>
  <si>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</si>
  <si>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</si>
  <si>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</si>
  <si>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</si>
  <si>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</si>
  <si>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</si>
  <si>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</si>
  <si>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</si>
  <si>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</si>
  <si>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</si>
  <si>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</si>
  <si>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</si>
  <si>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</si>
  <si>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</si>
  <si>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</si>
  <si>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</si>
  <si>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</si>
  <si>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</si>
  <si>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</si>
  <si>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</si>
  <si>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</si>
  <si>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</si>
  <si>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</si>
  <si>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</si>
  <si>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</si>
  <si>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</si>
  <si>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</si>
  <si>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</si>
  <si>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</si>
  <si>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</si>
  <si>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</si>
  <si>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</si>
  <si>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</si>
  <si>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</si>
  <si>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</si>
  <si>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</si>
  <si>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</si>
  <si>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</si>
  <si>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</si>
  <si>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</si>
  <si>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</si>
  <si>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</si>
  <si>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</si>
  <si>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</si>
  <si>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</si>
  <si>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</si>
  <si>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</si>
  <si>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</si>
  <si>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</si>
  <si>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</si>
  <si>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</si>
  <si>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</si>
  <si>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</si>
  <si>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</si>
  <si>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</si>
  <si>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</si>
  <si>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</si>
  <si>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</si>
  <si>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</si>
  <si>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</si>
  <si>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</si>
  <si>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</si>
  <si>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</si>
  <si>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</si>
  <si>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</si>
  <si>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</si>
  <si>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</si>
  <si>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</si>
  <si>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</si>
  <si>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</si>
  <si>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</si>
  <si>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</si>
  <si>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</si>
  <si>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</si>
  <si>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</si>
  <si>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</si>
  <si>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</si>
  <si>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</si>
  <si>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</si>
  <si>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</si>
  <si>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</si>
  <si>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</si>
  <si>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</si>
  <si>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</si>
  <si>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</si>
  <si>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</si>
  <si>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</si>
  <si>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</si>
  <si>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</si>
  <si>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</si>
  <si>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</si>
  <si>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</si>
  <si>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</si>
  <si>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</si>
  <si>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</si>
  <si>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</si>
  <si>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</si>
  <si>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</si>
  <si>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</si>
  <si>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</si>
  <si>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</si>
  <si>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</si>
  <si>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</si>
  <si>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</si>
  <si>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</si>
  <si>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</si>
  <si>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</si>
  <si>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</si>
  <si>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</si>
  <si>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</si>
  <si>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</si>
  <si>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</si>
  <si>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</si>
  <si>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</si>
  <si>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</si>
  <si>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</si>
  <si>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</si>
  <si>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</si>
  <si>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</si>
  <si>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</si>
  <si>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</si>
  <si>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</si>
  <si>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</si>
  <si>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</si>
  <si>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</si>
  <si>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</si>
  <si>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</si>
  <si>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</si>
  <si>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</si>
  <si>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</si>
  <si>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</si>
  <si>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</si>
  <si>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</si>
  <si>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</si>
  <si>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</si>
  <si>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</si>
  <si>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</si>
  <si>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</si>
  <si>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</si>
  <si>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</si>
  <si>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</si>
  <si>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</si>
  <si>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</si>
  <si>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</si>
  <si>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</si>
  <si>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</si>
  <si>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</si>
  <si>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</si>
  <si>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</si>
  <si>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</si>
  <si>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</si>
  <si>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</si>
  <si>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</si>
  <si>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</si>
  <si>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</si>
  <si>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</si>
  <si>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</si>
  <si>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</si>
  <si>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</si>
  <si>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</si>
  <si>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</si>
  <si>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</si>
  <si>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</si>
  <si>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</si>
  <si>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</si>
  <si>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</si>
  <si>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</si>
  <si>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</si>
  <si>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</si>
  <si>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</si>
  <si>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</si>
  <si>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</si>
  <si>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</si>
  <si>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</si>
  <si>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</si>
  <si>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</si>
  <si>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</si>
  <si>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</si>
  <si>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</si>
  <si>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</si>
  <si>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</si>
  <si>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</si>
  <si>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</si>
  <si>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</si>
  <si>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</si>
  <si>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</si>
  <si>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</si>
  <si>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</si>
  <si>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</si>
  <si>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</si>
  <si>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</si>
  <si>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</si>
  <si>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</si>
  <si>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</si>
  <si>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</si>
  <si>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</si>
  <si>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</si>
  <si>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</si>
  <si>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</si>
  <si>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</si>
  <si>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</si>
  <si>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</si>
  <si>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</si>
  <si>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</si>
  <si>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</si>
  <si>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</si>
  <si>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</si>
  <si>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</si>
  <si>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</si>
  <si>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</si>
  <si>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</si>
  <si>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</si>
  <si>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</si>
  <si>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</si>
  <si>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</si>
  <si>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</si>
  <si>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</si>
  <si>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</si>
  <si>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</si>
  <si>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</si>
  <si>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</si>
  <si>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</si>
  <si>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</si>
  <si>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</si>
  <si>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</si>
  <si>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</si>
  <si>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</si>
  <si>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</si>
  <si>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</si>
  <si>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</si>
  <si>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</si>
  <si>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</si>
  <si>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</si>
  <si>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</si>
  <si>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</si>
  <si>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</si>
  <si>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</si>
  <si>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</si>
  <si>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</si>
  <si>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</si>
  <si>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</si>
  <si>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</si>
  <si>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</si>
  <si>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</si>
  <si>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</si>
  <si>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</si>
  <si>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</si>
  <si>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</si>
  <si>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</si>
  <si>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</si>
  <si>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</si>
  <si>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</si>
  <si>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</si>
  <si>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</si>
  <si>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</si>
  <si>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</si>
  <si>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</si>
  <si>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</si>
  <si>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</si>
  <si>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</si>
  <si>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</si>
  <si>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</si>
  <si>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</si>
  <si>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</si>
  <si>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</si>
  <si>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</si>
  <si>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</si>
  <si>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</si>
  <si>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</si>
  <si>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</si>
  <si>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</si>
  <si>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</si>
  <si>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</si>
  <si>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</si>
  <si>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</si>
  <si>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</si>
  <si>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</si>
  <si>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</si>
  <si>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</si>
  <si>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</si>
  <si>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</si>
  <si>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</si>
  <si>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</si>
  <si>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</si>
  <si>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</si>
  <si>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</si>
  <si>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</si>
  <si>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</si>
  <si>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</si>
  <si>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</si>
  <si>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</si>
  <si>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</si>
  <si>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</si>
  <si>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</si>
  <si>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</si>
  <si>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</si>
  <si>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</si>
  <si>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</si>
  <si>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</si>
  <si>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</si>
  <si>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</si>
  <si>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</si>
  <si>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</si>
  <si>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</si>
  <si>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</si>
  <si>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</si>
  <si>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</si>
  <si>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</si>
  <si>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</si>
  <si>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</si>
  <si>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</si>
  <si>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</si>
  <si>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</si>
  <si>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</si>
  <si>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</si>
  <si>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</si>
  <si>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</si>
  <si>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</si>
  <si>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</si>
  <si>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</si>
  <si>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</si>
  <si>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</si>
  <si>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</si>
  <si>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</si>
  <si>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</si>
  <si>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</si>
  <si>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</si>
  <si>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</si>
  <si>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</si>
  <si>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</si>
  <si>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</si>
  <si>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</si>
  <si>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</si>
  <si>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</si>
  <si>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</si>
  <si>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</si>
  <si>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</si>
  <si>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</si>
  <si>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</si>
  <si>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</si>
  <si>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</si>
  <si>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</si>
  <si>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</si>
  <si>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</si>
  <si>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</si>
  <si>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</si>
  <si>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</si>
  <si>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</si>
  <si>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</si>
  <si>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</si>
  <si>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</si>
  <si>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</si>
  <si>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</si>
  <si>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</si>
  <si>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</si>
  <si>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</si>
  <si>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</si>
  <si>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</si>
  <si>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</si>
  <si>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</si>
  <si>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</si>
  <si>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</si>
  <si>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</si>
  <si>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</si>
  <si>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</si>
  <si>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</si>
  <si>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</si>
  <si>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</si>
  <si>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</si>
  <si>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</si>
  <si>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</si>
  <si>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</si>
  <si>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</si>
  <si>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</si>
  <si>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</si>
  <si>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</si>
  <si>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</si>
  <si>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</si>
  <si>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</si>
  <si>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</si>
  <si>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</si>
  <si>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</si>
  <si>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</si>
  <si>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</si>
  <si>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</si>
  <si>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</si>
  <si>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</si>
  <si>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</si>
  <si>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</si>
  <si>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</si>
  <si>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</si>
  <si>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</si>
  <si>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</si>
  <si>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</si>
  <si>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</si>
  <si>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</si>
  <si>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</si>
  <si>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</si>
  <si>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</si>
  <si>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</si>
  <si>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</si>
  <si>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</si>
  <si>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</si>
  <si>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</si>
  <si>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</si>
  <si>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</si>
  <si>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</si>
  <si>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</si>
  <si>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</si>
  <si>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</si>
  <si>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</si>
  <si>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</si>
  <si>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</si>
  <si>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</si>
  <si>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</si>
  <si>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</si>
  <si>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</si>
  <si>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</si>
  <si>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</si>
  <si>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</si>
  <si>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</si>
  <si>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</si>
  <si>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</si>
  <si>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</si>
  <si>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</si>
  <si>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</si>
  <si>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</si>
  <si>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</si>
  <si>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</si>
  <si>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</si>
  <si>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</si>
  <si>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</si>
  <si>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</si>
  <si>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</si>
  <si>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</si>
  <si>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</si>
  <si>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</si>
  <si>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</si>
  <si>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</si>
  <si>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</si>
  <si>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</si>
  <si>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</si>
  <si>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</si>
  <si>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</si>
  <si>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</si>
  <si>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</si>
  <si>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</si>
  <si>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</si>
  <si>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</si>
  <si>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</si>
  <si>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</si>
  <si>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</si>
  <si>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</si>
  <si>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</si>
  <si>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</si>
  <si>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</si>
  <si>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</si>
  <si>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</si>
  <si>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次</t>
    <phoneticPr fontId="26" type="noConversion"/>
  </si>
  <si>
    <t>支</t>
    <phoneticPr fontId="26" type="noConversion"/>
  </si>
  <si>
    <t>快</t>
    <phoneticPr fontId="26" type="noConversion"/>
  </si>
  <si>
    <t>主</t>
    <phoneticPr fontId="26" type="noConversion"/>
  </si>
  <si>
    <t>多面临街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</si>
  <si>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</si>
  <si>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</si>
  <si>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</si>
  <si>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</si>
  <si>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</si>
  <si>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</si>
  <si>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</si>
  <si>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</si>
  <si>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</si>
  <si>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</si>
  <si>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</si>
  <si>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</si>
  <si>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</si>
  <si>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</si>
  <si>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</si>
  <si>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</si>
  <si>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</si>
  <si>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</si>
  <si>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</si>
  <si>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</si>
  <si>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</si>
  <si>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</si>
  <si>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</si>
  <si>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</si>
  <si>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</si>
  <si>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</si>
  <si>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</si>
  <si>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</si>
  <si>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</si>
  <si>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</si>
  <si>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</si>
  <si>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</si>
  <si>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</si>
  <si>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</si>
  <si>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</si>
  <si>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</si>
  <si>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</si>
  <si>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</si>
  <si>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</si>
  <si>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</si>
  <si>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售价</t>
  </si>
  <si>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</si>
  <si>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</si>
  <si>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</si>
  <si>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</si>
  <si>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</si>
  <si>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</si>
  <si>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</si>
  <si>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</si>
  <si>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</si>
  <si>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</si>
  <si>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</si>
  <si>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</si>
  <si>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</si>
  <si>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</si>
  <si>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</si>
  <si>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</si>
  <si>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</si>
  <si>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</si>
  <si>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</si>
  <si>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</si>
  <si>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</si>
  <si>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</si>
  <si>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</si>
  <si>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</si>
  <si>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</si>
  <si>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</si>
  <si>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</si>
  <si>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</si>
  <si>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</si>
  <si>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</si>
  <si>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</si>
  <si>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</si>
  <si>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</si>
  <si>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</si>
  <si>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</si>
  <si>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</si>
  <si>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</si>
  <si>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</si>
  <si>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</si>
  <si>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</si>
  <si>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</si>
  <si>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</si>
  <si>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</si>
  <si>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</si>
  <si>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</si>
  <si>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</si>
  <si>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</si>
  <si>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</si>
  <si>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</si>
  <si>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</si>
  <si>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</si>
  <si>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</si>
  <si>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</si>
  <si>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</si>
  <si>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</si>
  <si>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</si>
  <si>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</si>
  <si>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</si>
  <si>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</si>
  <si>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</si>
  <si>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</si>
  <si>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</si>
  <si>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</si>
  <si>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</si>
  <si>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</si>
  <si>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</si>
  <si>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</si>
  <si>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</si>
  <si>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</si>
  <si>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</si>
  <si>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</si>
  <si>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</si>
  <si>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</si>
  <si>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</si>
  <si>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</si>
  <si>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</si>
  <si>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</si>
  <si>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</si>
  <si>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</si>
  <si>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</si>
  <si>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</si>
  <si>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</si>
  <si>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</si>
  <si>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</si>
  <si>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</si>
  <si>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</si>
  <si>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</si>
  <si>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</si>
  <si>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</si>
  <si>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</si>
  <si>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</si>
  <si>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区域内有中央健身公园，自然环境较好；无大学等人文设施，人文环境较差；综合评价环境状况一般</t>
    <phoneticPr fontId="27" type="noConversion"/>
  </si>
  <si>
    <t>一般</t>
    <phoneticPr fontId="26" type="noConversion"/>
  </si>
  <si>
    <t>较大</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</si>
  <si>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</si>
  <si>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</si>
  <si>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</si>
  <si>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</si>
  <si>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</si>
  <si>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</si>
  <si>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</si>
  <si>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</si>
  <si>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</si>
  <si>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</si>
  <si>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</si>
  <si>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</si>
  <si>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</si>
  <si>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</si>
  <si>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</si>
  <si>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</si>
  <si>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</si>
  <si>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</si>
  <si>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</si>
  <si>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</si>
  <si>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</si>
  <si>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</si>
  <si>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</si>
  <si>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</si>
  <si>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</si>
  <si>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</si>
  <si>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</si>
  <si>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</si>
  <si>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</si>
  <si>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</si>
  <si>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</si>
  <si>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</si>
  <si>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</si>
  <si>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</si>
  <si>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</si>
  <si>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</si>
  <si>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</si>
  <si>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</si>
  <si>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</si>
  <si>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</si>
  <si>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</si>
  <si>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</si>
  <si>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</si>
  <si>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</si>
  <si>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</si>
  <si>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</si>
  <si>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</si>
  <si>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</si>
  <si>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</si>
  <si>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</si>
  <si>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</si>
  <si>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</si>
  <si>
    <t>宜兴市太华镇石门村凤石线北侧地块</t>
  </si>
  <si>
    <t>小于或等于0...</t>
  </si>
  <si>
    <t>江苏实盟建设投资...</t>
  </si>
  <si>
    <t>滨湖区胡埭工业园洋溪河西侧</t>
  </si>
  <si>
    <t>≤0.9-1...</t>
  </si>
  <si>
    <t>无锡和旗汽车销售...</t>
  </si>
  <si>
    <t>滨湖区胡埭工业园洋溪河与钱胡路交叉口西北侧</t>
  </si>
  <si>
    <t>宝爱捷(中国)汽...</t>
  </si>
  <si>
    <t>惠山区洛社镇中惠路北侧、石洲路西侧</t>
  </si>
  <si>
    <t>≤0.3</t>
  </si>
  <si>
    <t>中国石化销售股份...</t>
  </si>
  <si>
    <t>经开区贡湖大道与梁东璐交叉口东南侧</t>
  </si>
  <si>
    <t>≤0.55</t>
  </si>
  <si>
    <t>无锡通达实业有限...</t>
  </si>
  <si>
    <t>惠山区惠山新城堰裕路北侧</t>
  </si>
  <si>
    <t>无锡华润车用气有...</t>
  </si>
  <si>
    <t>江阴市澄江街道青山路北、通渡路西</t>
  </si>
  <si>
    <t>≥1.40且...</t>
  </si>
  <si>
    <t>江苏长博集团有限...</t>
  </si>
  <si>
    <t>新吴区华谊路以东、科研北路以南、净慧西道以西、和风路以北</t>
  </si>
  <si>
    <t>≤2.5</t>
  </si>
  <si>
    <t>SK海力士(无锡...</t>
  </si>
  <si>
    <t>梁溪区广益路与北新河交叉口西北侧</t>
  </si>
  <si>
    <t>≤1.3-1...</t>
  </si>
  <si>
    <t>无锡市广益建设发...</t>
  </si>
  <si>
    <t>江阴市祝塘镇东至纵二路、西至香草花苑、南至镇北路</t>
  </si>
  <si>
    <t>≤2</t>
  </si>
  <si>
    <t>徐军</t>
  </si>
  <si>
    <t>锡东新城商务区盛源路西、鹏程路南</t>
  </si>
  <si>
    <t>≤1.2-1...</t>
  </si>
  <si>
    <t>无锡市江铃汽车销...</t>
  </si>
  <si>
    <t>新吴区兴昌路东侧、金城路南侧</t>
  </si>
  <si>
    <t>无锡市美新汽车销...</t>
  </si>
  <si>
    <t>滨湖区科教产业园中邦蠡湖商务园东侧</t>
  </si>
  <si>
    <t>≤3.7</t>
  </si>
  <si>
    <t>无锡元秦文化科技...</t>
  </si>
  <si>
    <t>新吴区兴昌路东侧、前卫路北侧</t>
  </si>
  <si>
    <t>无锡市新吴区江溪...</t>
  </si>
  <si>
    <t>≤3.5</t>
  </si>
  <si>
    <t>无锡山水励合影视...</t>
  </si>
  <si>
    <t>宜兴市丁蜀镇通蜀西路南侧</t>
  </si>
  <si>
    <t>宜兴市兴陶资产管...</t>
  </si>
  <si>
    <t>宜兴市丁蜀镇蜀山社区(原丁山监狱青龙山F地块)</t>
  </si>
  <si>
    <t>洛阳宝龙置业发展...</t>
  </si>
  <si>
    <t>宜兴市丁蜀镇蜀山社区(原丁山监狱青龙山G地块)</t>
  </si>
  <si>
    <t>宜兴市丁蜀镇范蠡大道西侧</t>
  </si>
  <si>
    <t>宜兴市青龙加油站</t>
  </si>
  <si>
    <t>滨湖区具区路和塘绛路交叉口东南侧</t>
  </si>
  <si>
    <t>≤2.79</t>
  </si>
  <si>
    <t>无锡融创城投资有...</t>
  </si>
  <si>
    <t>梁溪区锡沪路与江海东路交叉口东北侧</t>
  </si>
  <si>
    <t>无锡居然之家置业...</t>
  </si>
  <si>
    <t>梁溪区塘南路与清名路交叉口西南侧</t>
  </si>
  <si>
    <t>≤1.2</t>
  </si>
  <si>
    <t>无锡市清名桥古运...</t>
  </si>
  <si>
    <t>江阴市城东街道石山路西、龙泉路北</t>
  </si>
  <si>
    <t>张新炯</t>
  </si>
  <si>
    <t>锡东新城商务区弘业东路北、中心河西地块</t>
  </si>
  <si>
    <t>莱茵达体育小镇建...</t>
  </si>
  <si>
    <t>宜兴市张渚镇茗岭村、龙池村</t>
  </si>
  <si>
    <t>≤1</t>
  </si>
  <si>
    <t>江苏茗岭窑湖小镇...</t>
  </si>
  <si>
    <t>梁溪区北中路与桐桥港路交叉口东北侧(锡虞西路与广桐路交叉口东北侧)</t>
  </si>
  <si>
    <t>≤0.7</t>
  </si>
  <si>
    <t>中国石化销售有限...</t>
  </si>
  <si>
    <t>宜兴市丁蜀镇华骐污水处理公司东侧</t>
  </si>
  <si>
    <t>宜兴市宏德食品有...</t>
  </si>
  <si>
    <t>宜兴市新庄街道湖滨公路西侧</t>
  </si>
  <si>
    <t>≤0.25</t>
  </si>
  <si>
    <t>宜兴市振球加油站...</t>
  </si>
  <si>
    <t>宜兴市官林镇紫京路北侧官丰路西侧</t>
  </si>
  <si>
    <t>≤1.6</t>
  </si>
  <si>
    <t>宜兴通六置业发展...</t>
  </si>
  <si>
    <t>宜兴市丁蜀镇洛涧村</t>
  </si>
  <si>
    <t>≤0.6</t>
  </si>
  <si>
    <t>宜兴井邑田酒店管...</t>
  </si>
  <si>
    <t>宜兴市湖父镇竹海村</t>
  </si>
  <si>
    <t>≤1.5</t>
  </si>
  <si>
    <t>宜兴竹海磬山滑雪...</t>
  </si>
  <si>
    <t>新吴区震泽路与净慧西道交叉口东南侧</t>
  </si>
  <si>
    <t>≤2.3</t>
  </si>
  <si>
    <t>大连万达商业管理...</t>
  </si>
  <si>
    <t>锡山区东北塘街道芙蓉三路北、裕隆大厦东</t>
  </si>
  <si>
    <t>≤4.5</t>
  </si>
  <si>
    <t>无锡市华方置业有...</t>
  </si>
  <si>
    <t>锡东新城商务区吉利4S东、鹏程路南</t>
  </si>
  <si>
    <t>无锡汇鑫汽车销售...</t>
  </si>
  <si>
    <t>锡东新城商务区盛源路西、东安路辅道北</t>
  </si>
  <si>
    <t>无锡尚瑞汽车销售...</t>
  </si>
  <si>
    <t>宜兴市和桥镇和桥庭院南侧</t>
  </si>
  <si>
    <t>≤0.8</t>
  </si>
  <si>
    <t>宜兴市建安房地产...</t>
  </si>
  <si>
    <t>江阴市顾山镇行政区域范围内东至香山北路、南至人民西路</t>
  </si>
  <si>
    <t>鸿杉置业(江阴)...</t>
  </si>
  <si>
    <t>宜兴市高塍镇赛特大道东侧</t>
  </si>
  <si>
    <t>≤3</t>
  </si>
  <si>
    <t>鹏鹞(宜兴)环保...</t>
  </si>
  <si>
    <t>江阴市城东街道创富路东、滨江东路南、秦望山路西、规划道路北</t>
  </si>
  <si>
    <t>≥2.4并且...</t>
  </si>
  <si>
    <t>深圳市星河房地产...</t>
  </si>
  <si>
    <t>江阴市城东街道秦望山路东、滨江东路南、定山路西、规划道路北</t>
  </si>
  <si>
    <t>≥1.6并且...</t>
  </si>
  <si>
    <t>江阴市澄江街道虹桥路东、青果路西、塘前路北侧</t>
  </si>
  <si>
    <t>≥1并且≤1...</t>
  </si>
  <si>
    <t>江阴城建产业发展...</t>
  </si>
  <si>
    <t>宜兴市西渚镇筱里村</t>
  </si>
  <si>
    <t>宜兴市水墨田园温...</t>
  </si>
  <si>
    <t>江阴市周庄镇龙云路东侧、老澄杨路北侧</t>
  </si>
  <si>
    <t>≤0.5</t>
  </si>
  <si>
    <t>中国石油天然气股...</t>
  </si>
  <si>
    <t>宜兴市周铁镇解放路西侧、华仁大道南侧</t>
  </si>
  <si>
    <t>宜兴南六置业发展...</t>
  </si>
  <si>
    <t>滨湖区清源路与万顺道交叉口西北侧</t>
  </si>
  <si>
    <t>江苏华莱坞投资发...</t>
  </si>
  <si>
    <t>宜兴市和桥镇大生村</t>
  </si>
  <si>
    <t>≤0.45</t>
  </si>
  <si>
    <t>宜兴市湖父镇银湖村</t>
  </si>
  <si>
    <t>江苏揽云度假酒店...</t>
  </si>
  <si>
    <t>宜兴市湖父镇大东村</t>
  </si>
  <si>
    <t>8号楼</t>
    <phoneticPr fontId="233" type="noConversion"/>
  </si>
  <si>
    <t>办公</t>
    <phoneticPr fontId="233" type="noConversion"/>
  </si>
  <si>
    <t>商业</t>
    <phoneticPr fontId="233" type="noConversion"/>
  </si>
  <si>
    <t>设备</t>
    <phoneticPr fontId="233" type="noConversion"/>
  </si>
  <si>
    <t>9号楼</t>
    <phoneticPr fontId="233" type="noConversion"/>
  </si>
  <si>
    <t>公共配套设施</t>
    <phoneticPr fontId="233" type="noConversion"/>
  </si>
  <si>
    <r>
      <t>1</t>
    </r>
    <r>
      <rPr>
        <sz val="11"/>
        <color theme="1"/>
        <rFont val="宋体"/>
        <family val="3"/>
        <charset val="134"/>
        <scheme val="minor"/>
      </rPr>
      <t>2号楼</t>
    </r>
    <phoneticPr fontId="233" type="noConversion"/>
  </si>
  <si>
    <t>13号楼</t>
    <phoneticPr fontId="233" type="noConversion"/>
  </si>
  <si>
    <t>10号楼</t>
    <phoneticPr fontId="233" type="noConversion"/>
  </si>
  <si>
    <t>11号楼</t>
    <phoneticPr fontId="233" type="noConversion"/>
  </si>
  <si>
    <t>地下</t>
    <phoneticPr fontId="233" type="noConversion"/>
  </si>
  <si>
    <t>古运传奇</t>
    <phoneticPr fontId="3" type="noConversion"/>
  </si>
  <si>
    <t>华宸汇普金融大厦</t>
    <phoneticPr fontId="3" type="noConversion"/>
  </si>
  <si>
    <t>中海新天地</t>
    <phoneticPr fontId="3" type="noConversion"/>
  </si>
  <si>
    <t>金轮星光</t>
    <phoneticPr fontId="3" type="noConversion"/>
  </si>
  <si>
    <t>经开区吴都路与清舒道交叉口西南侧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</si>
</sst>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
      <b/>
      <sz val="9"/>
      <color rgb="FF444444"/>
      <name val="Verdana"/>
      <family val="2"/>
    </font>
    <font>
      <b/>
      <sz val="9"/>
      <color rgb="FFEB3D3E"/>
      <name val="Verdana"/>
      <family val="2"/>
    </font>
    <font>
      <sz val="9"/>
      <color rgb="FF333333"/>
      <name val="Verdana"/>
      <family val="2"/>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
      <left/>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291" fillId="0" borderId="0" applyNumberFormat="0" applyFill="0" applyBorder="0" applyAlignment="0" applyProtection="0">
      <alignment vertical="center"/>
    </xf>
  </cellStyleXfs>
  <cellXfs count="38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88" fillId="13" borderId="160" xfId="0" applyFont="1" applyFill="1" applyBorder="1" applyAlignment="1">
      <alignment horizontal="center" vertical="center"/>
    </xf>
    <xf numFmtId="0" fontId="289" fillId="13" borderId="160" xfId="0" applyFont="1" applyFill="1" applyBorder="1" applyAlignment="1">
      <alignment horizontal="center" vertical="center"/>
    </xf>
    <xf numFmtId="0" fontId="291" fillId="13" borderId="160" xfId="16" applyFill="1" applyBorder="1" applyAlignment="1">
      <alignment horizontal="left" vertical="center"/>
    </xf>
    <xf numFmtId="0" fontId="290" fillId="13" borderId="160" xfId="0" applyFont="1" applyFill="1" applyBorder="1" applyAlignment="1">
      <alignment horizontal="left" vertical="center"/>
    </xf>
    <xf numFmtId="0" fontId="290" fillId="13" borderId="160" xfId="0" applyFont="1" applyFill="1" applyBorder="1" applyAlignment="1">
      <alignment horizontal="right" vertical="center"/>
    </xf>
    <xf numFmtId="14" fontId="290" fillId="13" borderId="160" xfId="0" applyNumberFormat="1" applyFont="1" applyFill="1" applyBorder="1" applyAlignment="1">
      <alignment horizontal="left" vertical="center"/>
    </xf>
    <xf numFmtId="0" fontId="291" fillId="6" borderId="160" xfId="16" applyFill="1" applyBorder="1" applyAlignment="1">
      <alignment horizontal="left" vertical="center"/>
    </xf>
    <xf numFmtId="0" fontId="290" fillId="6" borderId="160" xfId="0" applyFont="1" applyFill="1" applyBorder="1" applyAlignment="1">
      <alignment horizontal="left" vertical="center"/>
    </xf>
    <xf numFmtId="0" fontId="290" fillId="6" borderId="160" xfId="0" applyFont="1" applyFill="1" applyBorder="1" applyAlignment="1">
      <alignment horizontal="right" vertical="center"/>
    </xf>
    <xf numFmtId="14" fontId="290" fillId="6" borderId="160" xfId="0" applyNumberFormat="1" applyFont="1" applyFill="1" applyBorder="1" applyAlignment="1">
      <alignment horizontal="lef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4" fontId="78" fillId="18" borderId="10" xfId="0" applyNumberFormat="1" applyFont="1" applyFill="1" applyBorder="1" applyAlignment="1" applyProtection="1">
      <alignment horizontal="left" vertical="center"/>
      <protection locked="0"/>
    </xf>
    <xf numFmtId="10" fontId="71" fillId="18" borderId="2" xfId="0" applyNumberFormat="1" applyFont="1" applyFill="1" applyBorder="1" applyAlignment="1" applyProtection="1">
      <alignment horizontal="center" vertical="center"/>
      <protection locked="0"/>
    </xf>
    <xf numFmtId="182" fontId="71" fillId="18" borderId="2" xfId="0" applyNumberFormat="1" applyFont="1" applyFill="1" applyBorder="1" applyAlignment="1" applyProtection="1">
      <alignment vertical="center"/>
      <protection locked="0"/>
    </xf>
    <xf numFmtId="178" fontId="71" fillId="18" borderId="2" xfId="2" applyNumberFormat="1"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twoCellAnchor editAs="oneCell">
    <xdr:from>
      <xdr:col>0</xdr:col>
      <xdr:colOff>238125</xdr:colOff>
      <xdr:row>98</xdr:row>
      <xdr:rowOff>57150</xdr:rowOff>
    </xdr:from>
    <xdr:to>
      <xdr:col>12</xdr:col>
      <xdr:colOff>294240</xdr:colOff>
      <xdr:row>127</xdr:row>
      <xdr:rowOff>18434</xdr:rowOff>
    </xdr:to>
    <xdr:pic>
      <xdr:nvPicPr>
        <xdr:cNvPr id="2" name="图片 1"/>
        <xdr:cNvPicPr>
          <a:picLocks noChangeAspect="1"/>
        </xdr:cNvPicPr>
      </xdr:nvPicPr>
      <xdr:blipFill>
        <a:blip xmlns:r="http://schemas.openxmlformats.org/officeDocument/2006/relationships" r:embed="rId9"/>
        <a:stretch>
          <a:fillRect/>
        </a:stretch>
      </xdr:blipFill>
      <xdr:spPr>
        <a:xfrm>
          <a:off x="238125" y="16859250"/>
          <a:ext cx="8285715" cy="4933334"/>
        </a:xfrm>
        <a:prstGeom prst="rect">
          <a:avLst/>
        </a:prstGeom>
      </xdr:spPr>
    </xdr:pic>
    <xdr:clientData/>
  </xdr:twoCellAnchor>
  <xdr:twoCellAnchor editAs="oneCell">
    <xdr:from>
      <xdr:col>0</xdr:col>
      <xdr:colOff>428625</xdr:colOff>
      <xdr:row>124</xdr:row>
      <xdr:rowOff>95250</xdr:rowOff>
    </xdr:from>
    <xdr:to>
      <xdr:col>12</xdr:col>
      <xdr:colOff>103787</xdr:colOff>
      <xdr:row>131</xdr:row>
      <xdr:rowOff>57005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28625" y="21355050"/>
          <a:ext cx="7904762" cy="1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17791</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0"/>
          <a:ext cx="10076191" cy="6180953"/>
        </a:xfrm>
        <a:prstGeom prst="rect">
          <a:avLst/>
        </a:prstGeom>
      </xdr:spPr>
    </xdr:pic>
    <xdr:clientData/>
  </xdr:twoCellAnchor>
  <xdr:twoCellAnchor editAs="oneCell">
    <xdr:from>
      <xdr:col>0</xdr:col>
      <xdr:colOff>0</xdr:colOff>
      <xdr:row>91</xdr:row>
      <xdr:rowOff>0</xdr:rowOff>
    </xdr:from>
    <xdr:to>
      <xdr:col>10</xdr:col>
      <xdr:colOff>674933</xdr:colOff>
      <xdr:row>136</xdr:row>
      <xdr:rowOff>94274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87725"/>
          <a:ext cx="10742858" cy="7809524"/>
        </a:xfrm>
        <a:prstGeom prst="rect">
          <a:avLst/>
        </a:prstGeom>
      </xdr:spPr>
    </xdr:pic>
    <xdr:clientData/>
  </xdr:twoCellAnchor>
  <xdr:twoCellAnchor editAs="oneCell">
    <xdr:from>
      <xdr:col>0</xdr:col>
      <xdr:colOff>0</xdr:colOff>
      <xdr:row>137</xdr:row>
      <xdr:rowOff>0</xdr:rowOff>
    </xdr:from>
    <xdr:to>
      <xdr:col>10</xdr:col>
      <xdr:colOff>1046361</xdr:colOff>
      <xdr:row>179</xdr:row>
      <xdr:rowOff>151481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974425"/>
          <a:ext cx="11114286" cy="7352381"/>
        </a:xfrm>
        <a:prstGeom prst="rect">
          <a:avLst/>
        </a:prstGeom>
      </xdr:spPr>
    </xdr:pic>
    <xdr:clientData/>
  </xdr:twoCellAnchor>
  <xdr:twoCellAnchor editAs="oneCell">
    <xdr:from>
      <xdr:col>0</xdr:col>
      <xdr:colOff>0</xdr:colOff>
      <xdr:row>180</xdr:row>
      <xdr:rowOff>0</xdr:rowOff>
    </xdr:from>
    <xdr:to>
      <xdr:col>12</xdr:col>
      <xdr:colOff>446102</xdr:colOff>
      <xdr:row>224</xdr:row>
      <xdr:rowOff>37153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346775"/>
          <a:ext cx="12590477" cy="7580953"/>
        </a:xfrm>
        <a:prstGeom prst="rect">
          <a:avLst/>
        </a:prstGeom>
      </xdr:spPr>
    </xdr:pic>
    <xdr:clientData/>
  </xdr:twoCellAnchor>
  <xdr:twoCellAnchor editAs="oneCell">
    <xdr:from>
      <xdr:col>0</xdr:col>
      <xdr:colOff>0</xdr:colOff>
      <xdr:row>225</xdr:row>
      <xdr:rowOff>0</xdr:rowOff>
    </xdr:from>
    <xdr:to>
      <xdr:col>6</xdr:col>
      <xdr:colOff>627671</xdr:colOff>
      <xdr:row>270</xdr:row>
      <xdr:rowOff>132370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062025"/>
          <a:ext cx="7838096" cy="7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Detail?sParceliD=912d23d1-07e8-48b0-b1c6-48a4ab9fa8b4" TargetMode="External"/><Relationship Id="rId21" Type="http://schemas.openxmlformats.org/officeDocument/2006/relationships/hyperlink" Target="https://creis.fang.com/land/Detail?sParceliD=1bd1bcfe-b3e8-4df8-a9b9-c2f623e3808b" TargetMode="External"/><Relationship Id="rId34" Type="http://schemas.openxmlformats.org/officeDocument/2006/relationships/hyperlink" Target="https://creis.fang.com/land/Detail?sParceliD=28422137-e934-49bf-b4e6-528a92aad2b9" TargetMode="External"/><Relationship Id="rId42" Type="http://schemas.openxmlformats.org/officeDocument/2006/relationships/hyperlink" Target="https://creis.fang.com/land/Detail?sParceliD=802e12b6-d585-4ff6-83e8-427e856f4838" TargetMode="External"/><Relationship Id="rId47" Type="http://schemas.openxmlformats.org/officeDocument/2006/relationships/hyperlink" Target="https://creis.fang.com/land/Detail?sParceliD=16b24f37-5a19-493c-8c12-bdaee92b7ba1" TargetMode="External"/><Relationship Id="rId50" Type="http://schemas.openxmlformats.org/officeDocument/2006/relationships/hyperlink" Target="https://creis.fang.com/land/Tyc/Index/?sParcelID=583f4db3-7120-4539-a7a9-72b1e98f43d9" TargetMode="External"/><Relationship Id="rId55" Type="http://schemas.openxmlformats.org/officeDocument/2006/relationships/hyperlink" Target="https://creis.fang.com/land/Detail?sParceliD=f81ff7fc-efbc-451d-ac44-b9a41fa63cb8" TargetMode="External"/><Relationship Id="rId63" Type="http://schemas.openxmlformats.org/officeDocument/2006/relationships/hyperlink" Target="https://creis.fang.com/land/Detail?sParceliD=0f381026-a006-49af-8cab-c74135d5c5dd" TargetMode="External"/><Relationship Id="rId68" Type="http://schemas.openxmlformats.org/officeDocument/2006/relationships/hyperlink" Target="https://creis.fang.com/land/Tyc/Index/?sParcelID=7be52908-b0bd-4a26-b233-69f7f02fe6a7" TargetMode="External"/><Relationship Id="rId76" Type="http://schemas.openxmlformats.org/officeDocument/2006/relationships/hyperlink" Target="https://creis.fang.com/land/Tyc/Index/?sParcelID=1e99119e-532b-49f8-9850-6c38f166108f" TargetMode="External"/><Relationship Id="rId84" Type="http://schemas.openxmlformats.org/officeDocument/2006/relationships/hyperlink" Target="https://creis.fang.com/land/Tyc/Index/?sParcelID=dd981c84-235a-4417-bb9e-fb358c751def" TargetMode="External"/><Relationship Id="rId89" Type="http://schemas.openxmlformats.org/officeDocument/2006/relationships/hyperlink" Target="https://creis.fang.com/land/Detail?sParceliD=a23412a7-57b5-464d-84b4-a6af8cae72ae" TargetMode="External"/><Relationship Id="rId97" Type="http://schemas.openxmlformats.org/officeDocument/2006/relationships/hyperlink" Target="https://creis.fang.com/land/Detail?sParceliD=49ac57c5-0c6b-4bbf-bd93-4ac8c7e1a5a3" TargetMode="External"/><Relationship Id="rId7" Type="http://schemas.openxmlformats.org/officeDocument/2006/relationships/hyperlink" Target="https://creis.fang.com/land/Detail?sParceliD=aa44ce2c-8f17-411f-b5e8-0e2a26be6085" TargetMode="External"/><Relationship Id="rId71" Type="http://schemas.openxmlformats.org/officeDocument/2006/relationships/hyperlink" Target="https://creis.fang.com/land/Detail?sParceliD=15dff3c3-8b6d-46a6-a2d6-8f3758ca311e" TargetMode="External"/><Relationship Id="rId92" Type="http://schemas.openxmlformats.org/officeDocument/2006/relationships/hyperlink" Target="https://creis.fang.com/land/Tyc/Index/?sParcelID=f5c2480f-2968-4f50-9724-1af906771ae6" TargetMode="External"/><Relationship Id="rId2" Type="http://schemas.openxmlformats.org/officeDocument/2006/relationships/hyperlink" Target="https://creis.fang.com/land/Tyc/Index/?sParcelID=d4cdc633-e7c3-442a-8707-8242c33e7f7d" TargetMode="External"/><Relationship Id="rId16" Type="http://schemas.openxmlformats.org/officeDocument/2006/relationships/hyperlink" Target="https://creis.fang.com/land/Tyc/Index/?sParcelID=6b45d9bf-38d0-4200-81d4-f2da3be8e579" TargetMode="External"/><Relationship Id="rId29" Type="http://schemas.openxmlformats.org/officeDocument/2006/relationships/hyperlink" Target="https://creis.fang.com/land/Tyc/Index/?sParcelID=93e8cd06-1929-49d5-9e6b-c6fb65f88a87" TargetMode="External"/><Relationship Id="rId11" Type="http://schemas.openxmlformats.org/officeDocument/2006/relationships/hyperlink" Target="https://creis.fang.com/land/Detail?sParceliD=fd453957-6d19-4faf-a22b-08b3d8b3af66" TargetMode="External"/><Relationship Id="rId24" Type="http://schemas.openxmlformats.org/officeDocument/2006/relationships/hyperlink" Target="https://creis.fang.com/land/Detail?sParceliD=6aa34804-df7c-4f0d-a374-42689fdb8e2b" TargetMode="External"/><Relationship Id="rId32" Type="http://schemas.openxmlformats.org/officeDocument/2006/relationships/hyperlink" Target="https://creis.fang.com/land/Detail?sParceliD=031096d2-55a1-483c-b831-89b7a55cd1b9" TargetMode="External"/><Relationship Id="rId37" Type="http://schemas.openxmlformats.org/officeDocument/2006/relationships/hyperlink" Target="https://creis.fang.com/land/Tyc/Index/?sParcelID=98acfb6f-cd98-4823-ba00-1f7242f4bbc9" TargetMode="External"/><Relationship Id="rId40" Type="http://schemas.openxmlformats.org/officeDocument/2006/relationships/hyperlink" Target="https://creis.fang.com/land/Detail?sParceliD=4668c4d0-44da-400a-8fc2-94ad65c6f19f" TargetMode="External"/><Relationship Id="rId45" Type="http://schemas.openxmlformats.org/officeDocument/2006/relationships/hyperlink" Target="https://creis.fang.com/land/Tyc/Index/?sParcelID=fcdea27c-19d7-4bd6-8767-186c4b8c301f" TargetMode="External"/><Relationship Id="rId53" Type="http://schemas.openxmlformats.org/officeDocument/2006/relationships/hyperlink" Target="https://creis.fang.com/land/Detail?sParceliD=924de161-5936-4110-9a82-08a34fe1d0b6" TargetMode="External"/><Relationship Id="rId58" Type="http://schemas.openxmlformats.org/officeDocument/2006/relationships/hyperlink" Target="https://creis.fang.com/land/Tyc/Index/?sParcelID=bc34da70-1398-4461-a7a3-7bb7a52d218d" TargetMode="External"/><Relationship Id="rId66" Type="http://schemas.openxmlformats.org/officeDocument/2006/relationships/hyperlink" Target="https://creis.fang.com/land/Tyc/Index/?sParcelID=47dd5202-050b-4c78-a27f-7bb396568e12" TargetMode="External"/><Relationship Id="rId74" Type="http://schemas.openxmlformats.org/officeDocument/2006/relationships/hyperlink" Target="https://creis.fang.com/land/Tyc/Index/?sParcelID=c9ec083a-6173-4da6-bad2-3475a3d20ff5" TargetMode="External"/><Relationship Id="rId79" Type="http://schemas.openxmlformats.org/officeDocument/2006/relationships/hyperlink" Target="https://creis.fang.com/land/Detail?sParceliD=49c93dd5-6f2f-47be-9c0d-aaed8cf34086" TargetMode="External"/><Relationship Id="rId87" Type="http://schemas.openxmlformats.org/officeDocument/2006/relationships/hyperlink" Target="https://creis.fang.com/land/Detail?sParceliD=4f385d04-6518-4db1-a54a-f32380718267" TargetMode="External"/><Relationship Id="rId5" Type="http://schemas.openxmlformats.org/officeDocument/2006/relationships/hyperlink" Target="https://creis.fang.com/land/Detail?sParceliD=5776fdd7-92bf-4f9b-86b4-e7613b42ba79" TargetMode="External"/><Relationship Id="rId61" Type="http://schemas.openxmlformats.org/officeDocument/2006/relationships/hyperlink" Target="https://creis.fang.com/land/Detail?sParceliD=35cceb6d-0a72-463b-a077-69d192898df0" TargetMode="External"/><Relationship Id="rId82" Type="http://schemas.openxmlformats.org/officeDocument/2006/relationships/hyperlink" Target="https://creis.fang.com/land/Tyc/Index/?sParcelID=525d9770-993d-4fd5-acc0-db00f96ae78e" TargetMode="External"/><Relationship Id="rId90" Type="http://schemas.openxmlformats.org/officeDocument/2006/relationships/hyperlink" Target="https://creis.fang.com/land/Tyc/Index/?sParcelID=a23412a7-57b5-464d-84b4-a6af8cae72ae" TargetMode="External"/><Relationship Id="rId95" Type="http://schemas.openxmlformats.org/officeDocument/2006/relationships/hyperlink" Target="https://creis.fang.com/land/Detail?sParceliD=1c6da8d0-5347-4206-91b7-211ac19987fd" TargetMode="External"/><Relationship Id="rId19" Type="http://schemas.openxmlformats.org/officeDocument/2006/relationships/hyperlink" Target="https://creis.fang.com/land/Detail?sParceliD=c972c955-239a-41e2-be29-f538511b37e9" TargetMode="External"/><Relationship Id="rId14" Type="http://schemas.openxmlformats.org/officeDocument/2006/relationships/hyperlink" Target="https://creis.fang.com/land/Tyc/Index/?sParcelID=08425961-6f03-4589-bf3d-27df02fbf4a9" TargetMode="External"/><Relationship Id="rId22" Type="http://schemas.openxmlformats.org/officeDocument/2006/relationships/hyperlink" Target="https://creis.fang.com/land/Detail?sParceliD=391b4f60-9217-477e-8d8c-82b8346d2c64" TargetMode="External"/><Relationship Id="rId27" Type="http://schemas.openxmlformats.org/officeDocument/2006/relationships/hyperlink" Target="https://creis.fang.com/land/Tyc/Index/?sParcelID=912d23d1-07e8-48b0-b1c6-48a4ab9fa8b4" TargetMode="External"/><Relationship Id="rId30" Type="http://schemas.openxmlformats.org/officeDocument/2006/relationships/hyperlink" Target="https://creis.fang.com/land/Detail?sParceliD=b99bb968-7cd1-4834-a896-bdcd7e0b8ed4" TargetMode="External"/><Relationship Id="rId35" Type="http://schemas.openxmlformats.org/officeDocument/2006/relationships/hyperlink" Target="https://creis.fang.com/land/Tyc/Index/?sParcelID=28422137-e934-49bf-b4e6-528a92aad2b9" TargetMode="External"/><Relationship Id="rId43" Type="http://schemas.openxmlformats.org/officeDocument/2006/relationships/hyperlink" Target="https://creis.fang.com/land/Tyc/Index/?sParcelID=802e12b6-d585-4ff6-83e8-427e856f4838" TargetMode="External"/><Relationship Id="rId48" Type="http://schemas.openxmlformats.org/officeDocument/2006/relationships/hyperlink" Target="https://creis.fang.com/land/Tyc/Index/?sParcelID=16b24f37-5a19-493c-8c12-bdaee92b7ba1" TargetMode="External"/><Relationship Id="rId56" Type="http://schemas.openxmlformats.org/officeDocument/2006/relationships/hyperlink" Target="https://creis.fang.com/land/Tyc/Index/?sParcelID=f81ff7fc-efbc-451d-ac44-b9a41fa63cb8" TargetMode="External"/><Relationship Id="rId64" Type="http://schemas.openxmlformats.org/officeDocument/2006/relationships/hyperlink" Target="https://creis.fang.com/land/Tyc/Index/?sParcelID=0f381026-a006-49af-8cab-c74135d5c5dd" TargetMode="External"/><Relationship Id="rId69" Type="http://schemas.openxmlformats.org/officeDocument/2006/relationships/hyperlink" Target="https://creis.fang.com/land/Detail?sParceliD=9af068d3-c384-4ad3-bec3-61d909806766" TargetMode="External"/><Relationship Id="rId77" Type="http://schemas.openxmlformats.org/officeDocument/2006/relationships/hyperlink" Target="https://creis.fang.com/land/Detail?sParceliD=18ed2e5e-2980-499c-bec4-bbec4470fa6f" TargetMode="External"/><Relationship Id="rId100" Type="http://schemas.openxmlformats.org/officeDocument/2006/relationships/drawing" Target="../drawings/drawing2.xml"/><Relationship Id="rId8" Type="http://schemas.openxmlformats.org/officeDocument/2006/relationships/hyperlink" Target="https://creis.fang.com/land/Tyc/Index/?sParcelID=aa44ce2c-8f17-411f-b5e8-0e2a26be6085" TargetMode="External"/><Relationship Id="rId51" Type="http://schemas.openxmlformats.org/officeDocument/2006/relationships/hyperlink" Target="https://creis.fang.com/land/Detail?sParceliD=e125bc4b-edb9-4b1c-9cdf-ce8595d421e0" TargetMode="External"/><Relationship Id="rId72" Type="http://schemas.openxmlformats.org/officeDocument/2006/relationships/hyperlink" Target="https://creis.fang.com/land/Tyc/Index/?sParcelID=15dff3c3-8b6d-46a6-a2d6-8f3758ca311e" TargetMode="External"/><Relationship Id="rId80" Type="http://schemas.openxmlformats.org/officeDocument/2006/relationships/hyperlink" Target="https://creis.fang.com/land/Tyc/Index/?sParcelID=49c93dd5-6f2f-47be-9c0d-aaed8cf34086" TargetMode="External"/><Relationship Id="rId85" Type="http://schemas.openxmlformats.org/officeDocument/2006/relationships/hyperlink" Target="https://creis.fang.com/land/Detail?sParceliD=69795874-8f73-46b9-af4b-7569c35e9ef4" TargetMode="External"/><Relationship Id="rId93" Type="http://schemas.openxmlformats.org/officeDocument/2006/relationships/hyperlink" Target="https://creis.fang.com/land/Detail?sParceliD=03a51a05-3e15-47ea-a040-7d2b7be5ce95" TargetMode="External"/><Relationship Id="rId98" Type="http://schemas.openxmlformats.org/officeDocument/2006/relationships/hyperlink" Target="https://creis.fang.com/land/Tyc/Index/?sParcelID=49ac57c5-0c6b-4bbf-bd93-4ac8c7e1a5a3" TargetMode="External"/><Relationship Id="rId3" Type="http://schemas.openxmlformats.org/officeDocument/2006/relationships/hyperlink" Target="https://creis.fang.com/land/Detail?sParceliD=3eb39dab-0d23-4e66-a1ae-ee51e98f324e" TargetMode="External"/><Relationship Id="rId12" Type="http://schemas.openxmlformats.org/officeDocument/2006/relationships/hyperlink" Target="https://creis.fang.com/land/Tyc/Index/?sParcelID=fd453957-6d19-4faf-a22b-08b3d8b3af66" TargetMode="External"/><Relationship Id="rId17" Type="http://schemas.openxmlformats.org/officeDocument/2006/relationships/hyperlink" Target="https://creis.fang.com/land/Detail?sParceliD=c6ae4626-ddd4-4b6f-9540-32fa3fb23d09" TargetMode="External"/><Relationship Id="rId25" Type="http://schemas.openxmlformats.org/officeDocument/2006/relationships/hyperlink" Target="https://creis.fang.com/land/Tyc/Index/?sParcelID=6aa34804-df7c-4f0d-a374-42689fdb8e2b" TargetMode="External"/><Relationship Id="rId33" Type="http://schemas.openxmlformats.org/officeDocument/2006/relationships/hyperlink" Target="https://creis.fang.com/land/Tyc/Index/?sParcelID=031096d2-55a1-483c-b831-89b7a55cd1b9" TargetMode="External"/><Relationship Id="rId38" Type="http://schemas.openxmlformats.org/officeDocument/2006/relationships/hyperlink" Target="https://creis.fang.com/land/Detail?sParceliD=ef42d8f0-b0cb-4446-ae3e-d9ff8e6d2f78" TargetMode="External"/><Relationship Id="rId46" Type="http://schemas.openxmlformats.org/officeDocument/2006/relationships/hyperlink" Target="https://creis.fang.com/land/Detail?sParceliD=abe2a275-6811-4a99-8aa7-af73dc459e59" TargetMode="External"/><Relationship Id="rId59" Type="http://schemas.openxmlformats.org/officeDocument/2006/relationships/hyperlink" Target="https://creis.fang.com/land/Detail?sParceliD=7fe710bf-477e-4436-ae58-c8f8f784be2c" TargetMode="External"/><Relationship Id="rId67" Type="http://schemas.openxmlformats.org/officeDocument/2006/relationships/hyperlink" Target="https://creis.fang.com/land/Detail?sParceliD=7be52908-b0bd-4a26-b233-69f7f02fe6a7" TargetMode="External"/><Relationship Id="rId20" Type="http://schemas.openxmlformats.org/officeDocument/2006/relationships/hyperlink" Target="https://creis.fang.com/land/Tyc/Index/?sParcelID=c972c955-239a-41e2-be29-f538511b37e9" TargetMode="External"/><Relationship Id="rId41" Type="http://schemas.openxmlformats.org/officeDocument/2006/relationships/hyperlink" Target="https://creis.fang.com/land/Tyc/Index/?sParcelID=4668c4d0-44da-400a-8fc2-94ad65c6f19f" TargetMode="External"/><Relationship Id="rId54" Type="http://schemas.openxmlformats.org/officeDocument/2006/relationships/hyperlink" Target="https://creis.fang.com/land/Tyc/Index/?sParcelID=924de161-5936-4110-9a82-08a34fe1d0b6" TargetMode="External"/><Relationship Id="rId62" Type="http://schemas.openxmlformats.org/officeDocument/2006/relationships/hyperlink" Target="https://creis.fang.com/land/Tyc/Index/?sParcelID=35cceb6d-0a72-463b-a077-69d192898df0" TargetMode="External"/><Relationship Id="rId70" Type="http://schemas.openxmlformats.org/officeDocument/2006/relationships/hyperlink" Target="https://creis.fang.com/land/Tyc/Index/?sParcelID=9af068d3-c384-4ad3-bec3-61d909806766" TargetMode="External"/><Relationship Id="rId75" Type="http://schemas.openxmlformats.org/officeDocument/2006/relationships/hyperlink" Target="https://creis.fang.com/land/Detail?sParceliD=1e99119e-532b-49f8-9850-6c38f166108f" TargetMode="External"/><Relationship Id="rId83" Type="http://schemas.openxmlformats.org/officeDocument/2006/relationships/hyperlink" Target="https://creis.fang.com/land/Detail?sParceliD=dd981c84-235a-4417-bb9e-fb358c751def" TargetMode="External"/><Relationship Id="rId88" Type="http://schemas.openxmlformats.org/officeDocument/2006/relationships/hyperlink" Target="https://creis.fang.com/land/Tyc/Index/?sParcelID=4f385d04-6518-4db1-a54a-f32380718267" TargetMode="External"/><Relationship Id="rId91" Type="http://schemas.openxmlformats.org/officeDocument/2006/relationships/hyperlink" Target="https://creis.fang.com/land/Detail?sParceliD=f5c2480f-2968-4f50-9724-1af906771ae6" TargetMode="External"/><Relationship Id="rId96" Type="http://schemas.openxmlformats.org/officeDocument/2006/relationships/hyperlink" Target="https://creis.fang.com/land/Tyc/Index/?sParcelID=1c6da8d0-5347-4206-91b7-211ac19987fd" TargetMode="External"/><Relationship Id="rId1" Type="http://schemas.openxmlformats.org/officeDocument/2006/relationships/hyperlink" Target="https://creis.fang.com/land/Detail?sParceliD=d4cdc633-e7c3-442a-8707-8242c33e7f7d" TargetMode="External"/><Relationship Id="rId6" Type="http://schemas.openxmlformats.org/officeDocument/2006/relationships/hyperlink" Target="https://creis.fang.com/land/Tyc/Index/?sParcelID=5776fdd7-92bf-4f9b-86b4-e7613b42ba79" TargetMode="External"/><Relationship Id="rId15" Type="http://schemas.openxmlformats.org/officeDocument/2006/relationships/hyperlink" Target="https://creis.fang.com/land/Detail?sParceliD=6b45d9bf-38d0-4200-81d4-f2da3be8e579" TargetMode="External"/><Relationship Id="rId23" Type="http://schemas.openxmlformats.org/officeDocument/2006/relationships/hyperlink" Target="https://creis.fang.com/land/Tyc/Index/?sParcelID=391b4f60-9217-477e-8d8c-82b8346d2c64" TargetMode="External"/><Relationship Id="rId28" Type="http://schemas.openxmlformats.org/officeDocument/2006/relationships/hyperlink" Target="https://creis.fang.com/land/Detail?sParceliD=93e8cd06-1929-49d5-9e6b-c6fb65f88a87" TargetMode="External"/><Relationship Id="rId36" Type="http://schemas.openxmlformats.org/officeDocument/2006/relationships/hyperlink" Target="https://creis.fang.com/land/Detail?sParceliD=98acfb6f-cd98-4823-ba00-1f7242f4bbc9" TargetMode="External"/><Relationship Id="rId49" Type="http://schemas.openxmlformats.org/officeDocument/2006/relationships/hyperlink" Target="https://creis.fang.com/land/Detail?sParceliD=583f4db3-7120-4539-a7a9-72b1e98f43d9" TargetMode="External"/><Relationship Id="rId57" Type="http://schemas.openxmlformats.org/officeDocument/2006/relationships/hyperlink" Target="https://creis.fang.com/land/Detail?sParceliD=bc34da70-1398-4461-a7a3-7bb7a52d218d" TargetMode="External"/><Relationship Id="rId10" Type="http://schemas.openxmlformats.org/officeDocument/2006/relationships/hyperlink" Target="https://creis.fang.com/land/Tyc/Index/?sParcelID=bbfff951-cc6a-41e1-80a2-b7475476f75d" TargetMode="External"/><Relationship Id="rId31" Type="http://schemas.openxmlformats.org/officeDocument/2006/relationships/hyperlink" Target="https://creis.fang.com/land/Tyc/Index/?sParcelID=b99bb968-7cd1-4834-a896-bdcd7e0b8ed4" TargetMode="External"/><Relationship Id="rId44" Type="http://schemas.openxmlformats.org/officeDocument/2006/relationships/hyperlink" Target="https://creis.fang.com/land/Detail?sParceliD=fcdea27c-19d7-4bd6-8767-186c4b8c301f" TargetMode="External"/><Relationship Id="rId52" Type="http://schemas.openxmlformats.org/officeDocument/2006/relationships/hyperlink" Target="https://creis.fang.com/land/Tyc/Index/?sParcelID=e125bc4b-edb9-4b1c-9cdf-ce8595d421e0" TargetMode="External"/><Relationship Id="rId60" Type="http://schemas.openxmlformats.org/officeDocument/2006/relationships/hyperlink" Target="https://creis.fang.com/land/Tyc/Index/?sParcelID=7fe710bf-477e-4436-ae58-c8f8f784be2c" TargetMode="External"/><Relationship Id="rId65" Type="http://schemas.openxmlformats.org/officeDocument/2006/relationships/hyperlink" Target="https://creis.fang.com/land/Detail?sParceliD=47dd5202-050b-4c78-a27f-7bb396568e12" TargetMode="External"/><Relationship Id="rId73" Type="http://schemas.openxmlformats.org/officeDocument/2006/relationships/hyperlink" Target="https://creis.fang.com/land/Detail?sParceliD=c9ec083a-6173-4da6-bad2-3475a3d20ff5" TargetMode="External"/><Relationship Id="rId78" Type="http://schemas.openxmlformats.org/officeDocument/2006/relationships/hyperlink" Target="https://creis.fang.com/land/Tyc/Index/?sParcelID=18ed2e5e-2980-499c-bec4-bbec4470fa6f" TargetMode="External"/><Relationship Id="rId81" Type="http://schemas.openxmlformats.org/officeDocument/2006/relationships/hyperlink" Target="https://creis.fang.com/land/Detail?sParceliD=525d9770-993d-4fd5-acc0-db00f96ae78e" TargetMode="External"/><Relationship Id="rId86" Type="http://schemas.openxmlformats.org/officeDocument/2006/relationships/hyperlink" Target="https://creis.fang.com/land/Tyc/Index/?sParcelID=69795874-8f73-46b9-af4b-7569c35e9ef4" TargetMode="External"/><Relationship Id="rId94" Type="http://schemas.openxmlformats.org/officeDocument/2006/relationships/hyperlink" Target="https://creis.fang.com/land/Tyc/Index/?sParcelID=03a51a05-3e15-47ea-a040-7d2b7be5ce95" TargetMode="External"/><Relationship Id="rId99" Type="http://schemas.openxmlformats.org/officeDocument/2006/relationships/printerSettings" Target="../printerSettings/printerSettings39.bin"/><Relationship Id="rId4" Type="http://schemas.openxmlformats.org/officeDocument/2006/relationships/hyperlink" Target="https://creis.fang.com/land/Tyc/Index/?sParcelID=3eb39dab-0d23-4e66-a1ae-ee51e98f324e" TargetMode="External"/><Relationship Id="rId9" Type="http://schemas.openxmlformats.org/officeDocument/2006/relationships/hyperlink" Target="https://creis.fang.com/land/Detail?sParceliD=bbfff951-cc6a-41e1-80a2-b7475476f75d" TargetMode="External"/><Relationship Id="rId13" Type="http://schemas.openxmlformats.org/officeDocument/2006/relationships/hyperlink" Target="https://creis.fang.com/land/Detail?sParceliD=08425961-6f03-4589-bf3d-27df02fbf4a9" TargetMode="External"/><Relationship Id="rId18" Type="http://schemas.openxmlformats.org/officeDocument/2006/relationships/hyperlink" Target="https://creis.fang.com/land/Tyc/Index/?sParcelID=c6ae4626-ddd4-4b6f-9540-32fa3fb23d09" TargetMode="External"/><Relationship Id="rId39" Type="http://schemas.openxmlformats.org/officeDocument/2006/relationships/hyperlink" Target="https://creis.fang.com/land/Tyc/Index/?sParcelID=ef42d8f0-b0cb-4446-ae3e-d9ff8e6d2f7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3.2"/>
  <cols>
    <col min="1" max="1" width="9" style="3188" customWidth="1"/>
    <col min="2" max="2" width="20.6640625" style="3463" customWidth="1"/>
    <col min="3" max="3" width="11.88671875" style="3463" customWidth="1"/>
    <col min="4" max="4" width="40.44140625" style="3188" customWidth="1"/>
    <col min="5" max="5" width="15.77734375" style="3188" customWidth="1"/>
    <col min="6" max="6" width="10.6640625" style="3188" customWidth="1"/>
    <col min="7" max="7" width="4.88671875" style="3188" customWidth="1"/>
    <col min="8" max="8" width="8.44140625" style="3188" customWidth="1"/>
    <col min="9" max="9" width="21.21875" style="3188" customWidth="1"/>
    <col min="10" max="10" width="12.21875" style="3188" customWidth="1"/>
    <col min="11" max="11" width="40.109375" style="3450" customWidth="1"/>
    <col min="12" max="12" width="16.33203125" style="3188" customWidth="1"/>
    <col min="13" max="13" width="13" style="3188" customWidth="1"/>
    <col min="14" max="14" width="13.77734375" style="3187" customWidth="1"/>
    <col min="15" max="15" width="5.109375" style="3187" customWidth="1"/>
    <col min="16" max="16" width="25.77734375" style="3187" customWidth="1"/>
    <col min="17" max="17" width="13.77734375" style="3187" customWidth="1"/>
    <col min="18" max="18" width="20.44140625" style="3187" customWidth="1"/>
    <col min="19" max="19" width="13.21875" style="3187" customWidth="1"/>
    <col min="20" max="37" width="9" style="3187"/>
    <col min="38" max="16384" width="9" style="3188"/>
  </cols>
  <sheetData>
    <row r="1" spans="1:37" s="3177" customFormat="1" ht="21.6">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84" t="s">
        <v>2996</v>
      </c>
      <c r="C6" s="3204">
        <f ca="1">ROUND(F6*F8*F7*(1-F9),0)</f>
        <v>0</v>
      </c>
      <c r="D6" s="3205" t="s">
        <v>2997</v>
      </c>
      <c r="E6" s="3206" t="s">
        <v>2998</v>
      </c>
      <c r="F6" s="3207">
        <f ca="1">INDIRECT("'数据-取费表'!u"&amp;$G$1)</f>
        <v>0</v>
      </c>
      <c r="G6" s="3196"/>
      <c r="H6" s="3203" t="s">
        <v>2995</v>
      </c>
      <c r="I6" s="3584" t="s">
        <v>2996</v>
      </c>
      <c r="J6" s="3208">
        <f ca="1">ROUND(M6*M8*M7*(1-M9),0)</f>
        <v>0</v>
      </c>
      <c r="K6" s="3209" t="s">
        <v>2999</v>
      </c>
      <c r="L6" s="3206" t="s">
        <v>2998</v>
      </c>
      <c r="M6" s="3207">
        <f ca="1">INDIRECT("'数据-取费表'!z"&amp;$G$1)</f>
        <v>0</v>
      </c>
    </row>
    <row r="7" spans="1:37" ht="18" customHeight="1">
      <c r="A7" s="3210"/>
      <c r="B7" s="3585"/>
      <c r="C7" s="3211"/>
      <c r="D7" s="3212"/>
      <c r="E7" s="3213" t="s">
        <v>3000</v>
      </c>
      <c r="F7" s="3207">
        <f ca="1">IF(INDIRECT("'数据-取费表'!ah"&amp;$G$1)="",INDIRECT("'数据-取费表'!k"&amp;$G$1),INDIRECT("'数据-取费表'!ah"&amp;$G$1))</f>
        <v>807</v>
      </c>
      <c r="G7" s="3196"/>
      <c r="H7" s="3214"/>
      <c r="I7" s="3585"/>
      <c r="J7" s="3215"/>
      <c r="K7" s="3212"/>
      <c r="L7" s="3206" t="s">
        <v>3000</v>
      </c>
      <c r="M7" s="3207">
        <f ca="1">F7</f>
        <v>807</v>
      </c>
    </row>
    <row r="8" spans="1:37" ht="18" customHeight="1">
      <c r="A8" s="3214"/>
      <c r="B8" s="3585"/>
      <c r="C8" s="3215"/>
      <c r="D8" s="3212"/>
      <c r="E8" s="3206" t="s">
        <v>3001</v>
      </c>
      <c r="F8" s="3207">
        <f ca="1">INDIRECT("'数据-取费表'!ai"&amp;$G$1)</f>
        <v>365</v>
      </c>
      <c r="G8" s="3196"/>
      <c r="H8" s="3214"/>
      <c r="I8" s="3585"/>
      <c r="J8" s="3215"/>
      <c r="K8" s="3212"/>
      <c r="L8" s="3206" t="s">
        <v>3001</v>
      </c>
      <c r="M8" s="3207">
        <f ca="1">INDIRECT("'数据-取费表'!ai"&amp;$G$1)</f>
        <v>365</v>
      </c>
    </row>
    <row r="9" spans="1:37" ht="18" customHeight="1">
      <c r="A9" s="3214"/>
      <c r="B9" s="3586"/>
      <c r="C9" s="3215"/>
      <c r="D9" s="3212"/>
      <c r="E9" s="3206" t="s">
        <v>3002</v>
      </c>
      <c r="F9" s="3216">
        <f ca="1">INDIRECT("'数据-取费表'!w"&amp;$G$1)</f>
        <v>0</v>
      </c>
      <c r="G9" s="3196"/>
      <c r="H9" s="3214"/>
      <c r="I9" s="3586"/>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8"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8"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40.200000000000003" thickBot="1">
      <c r="A48" s="3349" t="s">
        <v>3115</v>
      </c>
      <c r="B48" s="3198" t="s">
        <v>2993</v>
      </c>
      <c r="C48" s="3350">
        <f ca="1">C49+C53+C55</f>
        <v>0</v>
      </c>
      <c r="D48" s="3351"/>
      <c r="E48" s="3352"/>
      <c r="F48" s="3353"/>
      <c r="G48" s="3340"/>
      <c r="H48" s="3354"/>
      <c r="I48" s="3355" t="s">
        <v>3116</v>
      </c>
      <c r="J48" s="3356"/>
      <c r="K48" s="3357" t="s">
        <v>3117</v>
      </c>
      <c r="L48" s="3358">
        <f ca="1">INDIRECT("'数据-取费表'!f"&amp;$G$1)</f>
        <v>33.979999999999997</v>
      </c>
      <c r="O48" s="3346" t="s">
        <v>2383</v>
      </c>
      <c r="P48" s="3347" t="s">
        <v>3118</v>
      </c>
      <c r="Q48" s="3348" t="str">
        <f ca="1">J60</f>
        <v>0</v>
      </c>
      <c r="R48" s="3348" t="s">
        <v>3119</v>
      </c>
    </row>
    <row r="49" spans="1:18" s="3187" customFormat="1" ht="13.8"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8"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8"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-5384285</v>
      </c>
      <c r="M51" s="3384"/>
      <c r="O51" s="3368" t="s">
        <v>2388</v>
      </c>
      <c r="P51" s="3347" t="s">
        <v>3132</v>
      </c>
      <c r="Q51" s="3377">
        <f>J52</f>
        <v>0</v>
      </c>
      <c r="R51" s="3348"/>
    </row>
    <row r="52" spans="1:18" s="3187" customFormat="1" ht="13.8"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87" t="s">
        <v>3140</v>
      </c>
      <c r="L53" s="3588"/>
      <c r="O53" s="3346" t="s">
        <v>2393</v>
      </c>
      <c r="P53" s="3347" t="s">
        <v>3141</v>
      </c>
      <c r="Q53" s="3348" t="e">
        <f ca="1">Q47+Q48</f>
        <v>#N/A</v>
      </c>
      <c r="R53" s="3348" t="s">
        <v>2394</v>
      </c>
    </row>
    <row r="54" spans="1:18" s="3187" customFormat="1" ht="13.8"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8"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33.979999999999997</v>
      </c>
      <c r="O56" s="3346" t="s">
        <v>2381</v>
      </c>
      <c r="P56" s="3347" t="s">
        <v>3113</v>
      </c>
      <c r="Q56" s="3348" t="e">
        <f ca="1">C40+J29</f>
        <v>#N/A</v>
      </c>
      <c r="R56" s="3348" t="s">
        <v>3114</v>
      </c>
    </row>
    <row r="57" spans="1:18" s="3187" customFormat="1" ht="24.6"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-5384285</v>
      </c>
      <c r="O57" s="3346" t="s">
        <v>2383</v>
      </c>
      <c r="P57" s="3347" t="s">
        <v>3149</v>
      </c>
      <c r="Q57" s="3348" t="e">
        <f ca="1">L60</f>
        <v>#DIV/0!</v>
      </c>
      <c r="R57" s="3348" t="s">
        <v>3150</v>
      </c>
    </row>
    <row r="58" spans="1:18" s="3187" customFormat="1" ht="24.6"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6"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2"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8"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8"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8"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8"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8"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2"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24.6" thickBot="1">
      <c r="A67" s="3400" t="s">
        <v>3072</v>
      </c>
      <c r="B67" s="3433" t="s">
        <v>3073</v>
      </c>
      <c r="C67" s="3220">
        <f ca="1">C48-C58</f>
        <v>-75354</v>
      </c>
      <c r="D67" s="3419" t="s">
        <v>3074</v>
      </c>
      <c r="E67" s="3434"/>
      <c r="F67" s="3435"/>
      <c r="O67" s="3368" t="s">
        <v>2385</v>
      </c>
      <c r="P67" s="3347" t="s">
        <v>3153</v>
      </c>
      <c r="Q67" s="3436">
        <f ca="1">L51</f>
        <v>-5384285</v>
      </c>
      <c r="R67" s="3348" t="s">
        <v>3175</v>
      </c>
    </row>
    <row r="68" spans="1:18" s="3187" customFormat="1" ht="16.2"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8"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8" thickBot="1">
      <c r="A70" s="3443"/>
      <c r="B70" s="3444"/>
      <c r="C70" s="3240"/>
      <c r="D70" s="3431"/>
      <c r="E70" s="3408" t="s">
        <v>3089</v>
      </c>
      <c r="F70" s="3385">
        <f ca="1">F42</f>
        <v>0</v>
      </c>
      <c r="O70" s="3368" t="s">
        <v>2403</v>
      </c>
      <c r="P70" s="3439" t="s">
        <v>3179</v>
      </c>
      <c r="Q70" s="3348">
        <f ca="1">C13</f>
        <v>3026250</v>
      </c>
      <c r="R70" s="3348" t="s">
        <v>3114</v>
      </c>
    </row>
    <row r="71" spans="1:18" s="3187" customFormat="1" ht="13.8"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8" thickBot="1">
      <c r="B72" s="3449"/>
      <c r="C72" s="3449"/>
      <c r="O72" s="3368" t="s">
        <v>2388</v>
      </c>
      <c r="P72" s="3347" t="s">
        <v>3155</v>
      </c>
      <c r="Q72" s="3377">
        <f>L52</f>
        <v>0</v>
      </c>
      <c r="R72" s="3348"/>
    </row>
    <row r="73" spans="1:18" ht="16.2" thickBot="1">
      <c r="A73" s="3187"/>
      <c r="B73" s="3449"/>
      <c r="C73" s="3449"/>
      <c r="D73" s="3187"/>
      <c r="E73" s="3187"/>
      <c r="F73" s="3187"/>
      <c r="O73" s="3368" t="s">
        <v>2390</v>
      </c>
      <c r="P73" s="3347" t="s">
        <v>3158</v>
      </c>
      <c r="Q73" s="3348" t="e">
        <f ca="1">L58</f>
        <v>#DIV/0!</v>
      </c>
      <c r="R73" s="3348" t="s">
        <v>3159</v>
      </c>
    </row>
    <row r="74" spans="1:18" ht="13.8"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8"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ht="14.4">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ht="14.4">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ht="14.4">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ht="14.4">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ht="14.4">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ht="14.4">
      <c r="A7" s="8" t="s">
        <v>102</v>
      </c>
      <c r="B7" s="8" t="s">
        <v>103</v>
      </c>
      <c r="C7" s="1543" t="s">
        <v>1713</v>
      </c>
      <c r="F7" s="9" t="s">
        <v>154</v>
      </c>
      <c r="H7" s="9" t="s">
        <v>104</v>
      </c>
      <c r="I7" s="9" t="s">
        <v>105</v>
      </c>
    </row>
    <row r="8" spans="1:23" ht="14.4">
      <c r="A8" s="8" t="s">
        <v>106</v>
      </c>
      <c r="B8" s="8" t="s">
        <v>107</v>
      </c>
      <c r="C8" s="1543" t="s">
        <v>1714</v>
      </c>
      <c r="F8" s="9" t="s">
        <v>155</v>
      </c>
      <c r="H8" s="9"/>
      <c r="I8" s="9" t="s">
        <v>108</v>
      </c>
    </row>
    <row r="9" spans="1:23" ht="14.4">
      <c r="A9" s="8" t="s">
        <v>109</v>
      </c>
      <c r="B9" s="8" t="s">
        <v>156</v>
      </c>
      <c r="C9" s="1543" t="s">
        <v>1715</v>
      </c>
      <c r="F9" s="9" t="s">
        <v>110</v>
      </c>
      <c r="H9" s="9"/>
    </row>
    <row r="10" spans="1:23" ht="14.4">
      <c r="A10" s="8" t="s">
        <v>111</v>
      </c>
      <c r="B10" s="8" t="s">
        <v>157</v>
      </c>
      <c r="C10" s="1543" t="s">
        <v>1716</v>
      </c>
      <c r="F10" s="9" t="s">
        <v>6</v>
      </c>
    </row>
    <row r="11" spans="1:23" ht="14.4">
      <c r="A11" s="8" t="s">
        <v>112</v>
      </c>
      <c r="B11" s="8" t="s">
        <v>158</v>
      </c>
      <c r="C11" s="1543" t="s">
        <v>1717</v>
      </c>
    </row>
    <row r="12" spans="1:23" ht="14.4">
      <c r="A12" s="8" t="s">
        <v>113</v>
      </c>
      <c r="B12" s="8" t="s">
        <v>159</v>
      </c>
      <c r="C12" s="1543" t="s">
        <v>1718</v>
      </c>
    </row>
    <row r="13" spans="1:23" ht="14.4">
      <c r="A13" s="8" t="s">
        <v>114</v>
      </c>
      <c r="B13" s="8" t="s">
        <v>160</v>
      </c>
      <c r="C13" s="1543" t="s">
        <v>1719</v>
      </c>
    </row>
    <row r="14" spans="1:23" ht="14.4">
      <c r="A14" s="8" t="s">
        <v>115</v>
      </c>
      <c r="B14" s="8" t="s">
        <v>161</v>
      </c>
      <c r="C14" s="1546" t="s">
        <v>1895</v>
      </c>
    </row>
    <row r="15" spans="1:23" ht="14.4">
      <c r="A15" s="8" t="s">
        <v>116</v>
      </c>
      <c r="B15" s="3487" t="s">
        <v>3307</v>
      </c>
      <c r="C15" s="1546"/>
    </row>
    <row r="16" spans="1:23" ht="14.4">
      <c r="A16" s="8" t="s">
        <v>117</v>
      </c>
      <c r="B16" s="3487" t="s">
        <v>3308</v>
      </c>
      <c r="C16" s="1546"/>
    </row>
    <row r="17" spans="1:3" ht="14.4">
      <c r="A17" s="8" t="s">
        <v>118</v>
      </c>
      <c r="B17" s="8" t="s">
        <v>1682</v>
      </c>
      <c r="C17" s="1546"/>
    </row>
    <row r="18" spans="1:3" ht="14.4">
      <c r="A18" s="8" t="s">
        <v>119</v>
      </c>
      <c r="B18" s="3129" t="s">
        <v>2958</v>
      </c>
      <c r="C18" s="1546"/>
    </row>
    <row r="19" spans="1:3" ht="14.4">
      <c r="A19" s="8" t="s">
        <v>120</v>
      </c>
      <c r="B19" s="3129" t="s">
        <v>2966</v>
      </c>
      <c r="C19" s="1546"/>
    </row>
    <row r="20" spans="1:3" ht="14.4">
      <c r="A20" s="8" t="s">
        <v>121</v>
      </c>
      <c r="B20" s="8" t="s">
        <v>1642</v>
      </c>
      <c r="C20" s="1546"/>
    </row>
    <row r="21" spans="1:3" ht="14.4">
      <c r="A21" s="8" t="s">
        <v>122</v>
      </c>
      <c r="B21" s="8" t="s">
        <v>1642</v>
      </c>
      <c r="C21" s="1546"/>
    </row>
    <row r="22" spans="1:3" ht="14.4">
      <c r="A22" s="8" t="s">
        <v>123</v>
      </c>
      <c r="B22" s="8" t="s">
        <v>1642</v>
      </c>
      <c r="C22" s="1546"/>
    </row>
    <row r="23" spans="1:3" ht="14.4">
      <c r="A23" s="8" t="s">
        <v>124</v>
      </c>
      <c r="B23" s="8" t="s">
        <v>1642</v>
      </c>
      <c r="C23" s="1546"/>
    </row>
    <row r="24" spans="1:3">
      <c r="A24" s="8" t="s">
        <v>12</v>
      </c>
      <c r="B24" s="8" t="s">
        <v>1642</v>
      </c>
      <c r="C24" s="1546"/>
    </row>
    <row r="25" spans="1:3" ht="14.4">
      <c r="A25" s="8" t="s">
        <v>125</v>
      </c>
      <c r="B25" s="8" t="s">
        <v>1642</v>
      </c>
      <c r="C25" s="1546"/>
    </row>
    <row r="26" spans="1:3" ht="14.4">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16"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c r="D53" s="1760"/>
      <c r="E53" s="1760"/>
    </row>
    <row r="54" spans="1:5">
      <c r="A54" s="3616"/>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16"/>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16"/>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16"/>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ht="14.4">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SheetLayoutView="90" workbookViewId="0">
      <selection activeCell="G6" sqref="G6"/>
    </sheetView>
  </sheetViews>
  <sheetFormatPr defaultColWidth="10" defaultRowHeight="15.6"/>
  <cols>
    <col min="1" max="1" width="15.33203125" style="1682" customWidth="1"/>
    <col min="2" max="2" width="11.33203125" style="1682" customWidth="1"/>
    <col min="3" max="3" width="12.6640625" style="1682" customWidth="1"/>
    <col min="4" max="4" width="10" style="1682" customWidth="1"/>
    <col min="5" max="5" width="12.44140625" style="1682" customWidth="1"/>
    <col min="6" max="6" width="11.33203125" style="1682" customWidth="1"/>
    <col min="7" max="7" width="12.33203125" style="1682" customWidth="1"/>
    <col min="8" max="8" width="10" style="1682" customWidth="1"/>
    <col min="9" max="9" width="12.441406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6.2" thickBot="1">
      <c r="A1" s="1650" t="s">
        <v>1938</v>
      </c>
      <c r="B1" s="3619" t="str">
        <f>IF(B10="北京市","北京市",C10)&amp;F10&amp;B16&amp;"国有建设用地使用权"&amp;B9&amp;"预评估"</f>
        <v>出让国有建设用地使用权抵押价格预评估</v>
      </c>
      <c r="C1" s="3620"/>
      <c r="D1" s="3620"/>
      <c r="E1" s="3620"/>
      <c r="F1" s="3620"/>
      <c r="G1" s="3620"/>
      <c r="H1" s="3620"/>
      <c r="I1" s="3621"/>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c r="C3" s="1654" t="s">
        <v>1996</v>
      </c>
      <c r="D3" s="3892">
        <v>43924</v>
      </c>
      <c r="E3" s="1685"/>
      <c r="F3" s="1685"/>
      <c r="G3" s="1685"/>
      <c r="H3" s="1651"/>
      <c r="I3" s="1686"/>
      <c r="J3" s="1685"/>
      <c r="K3" s="1765"/>
      <c r="L3" s="1714"/>
      <c r="M3" s="1714"/>
      <c r="N3" s="1685"/>
      <c r="O3" s="1686"/>
      <c r="P3" s="1685"/>
      <c r="Q3" s="1685"/>
      <c r="R3" s="1685"/>
      <c r="S3" s="1685"/>
      <c r="T3" s="1685"/>
      <c r="U3" s="1685"/>
    </row>
    <row r="4" spans="1:21" ht="16.2" thickBot="1">
      <c r="A4" s="1655" t="s">
        <v>1941</v>
      </c>
      <c r="B4" s="1834" t="s">
        <v>3398</v>
      </c>
      <c r="C4" s="1837">
        <f ca="1">SUMIF(土地估价师,B4,估价师及机构信息!E3:E24)</f>
        <v>2002110125</v>
      </c>
      <c r="D4" s="1834" t="s">
        <v>3476</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6.2"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7.6">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25" t="s">
        <v>1945</v>
      </c>
      <c r="E8" s="1835" t="s">
        <v>3193</v>
      </c>
      <c r="F8" s="1663"/>
      <c r="G8" s="1651"/>
      <c r="H8" s="1651"/>
      <c r="I8" s="1698"/>
      <c r="J8" s="1685"/>
      <c r="K8" s="1765"/>
      <c r="L8" s="1714"/>
      <c r="M8" s="1714"/>
      <c r="N8" s="1685"/>
      <c r="O8" s="1686"/>
      <c r="P8" s="1685"/>
      <c r="Q8" s="1685"/>
      <c r="R8" s="1685"/>
      <c r="S8" s="1685"/>
      <c r="T8" s="1685"/>
      <c r="U8" s="1685"/>
    </row>
    <row r="9" spans="1:21" ht="16.2" thickBot="1">
      <c r="A9" s="1664" t="s">
        <v>1944</v>
      </c>
      <c r="B9" s="1665" t="s">
        <v>3193</v>
      </c>
      <c r="C9" s="1666"/>
      <c r="D9" s="3626"/>
      <c r="E9" s="1665" t="s">
        <v>952</v>
      </c>
      <c r="F9" s="1738"/>
      <c r="G9" s="1733"/>
      <c r="H9" s="1733"/>
      <c r="I9" s="1734"/>
      <c r="J9" s="1685"/>
      <c r="K9" s="1765"/>
      <c r="L9" s="1714"/>
      <c r="M9" s="1714"/>
      <c r="N9" s="1685"/>
      <c r="O9" s="1686"/>
      <c r="P9" s="1685"/>
      <c r="Q9" s="1685"/>
      <c r="R9" s="1685"/>
      <c r="S9" s="1685"/>
      <c r="T9" s="1685"/>
      <c r="U9" s="1685"/>
    </row>
    <row r="10" spans="1:21" ht="16.2"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3446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22"/>
      <c r="C12" s="3623"/>
      <c r="D12" s="3624"/>
      <c r="E12" s="1690" t="s">
        <v>2062</v>
      </c>
      <c r="F12" s="3640" t="s">
        <v>2893</v>
      </c>
      <c r="G12" s="3641"/>
      <c r="H12" s="3641"/>
      <c r="I12" s="3642"/>
      <c r="J12" s="1685"/>
      <c r="K12" s="1765"/>
      <c r="L12" s="1714"/>
      <c r="M12" s="1714"/>
      <c r="N12" s="1685"/>
      <c r="O12" s="1686"/>
      <c r="P12" s="1685"/>
      <c r="Q12" s="1685"/>
      <c r="R12" s="1685"/>
      <c r="S12" s="1685"/>
      <c r="T12" s="1685"/>
      <c r="U12" s="1685"/>
    </row>
    <row r="13" spans="1:21">
      <c r="A13" s="1678" t="s">
        <v>2060</v>
      </c>
      <c r="B13" s="3622"/>
      <c r="C13" s="3623"/>
      <c r="D13" s="3624"/>
      <c r="E13" s="1690" t="s">
        <v>2062</v>
      </c>
      <c r="F13" s="3640" t="s">
        <v>2894</v>
      </c>
      <c r="G13" s="3641"/>
      <c r="H13" s="3641"/>
      <c r="I13" s="3642"/>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6.8">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40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64</v>
      </c>
      <c r="E19" s="1676">
        <f>IF(B16="出让",IF(E17="","",ROUNDDOWN(MIN((E17-$D$3)/365,E18),2)),E18)</f>
        <v>33.979999999999997</v>
      </c>
      <c r="F19" s="1676">
        <f>IF(B16="出让",IF(F17="","",ROUNDDOWN(MIN((F17-$D$3)/365,F18),2)),F18)</f>
        <v>33.979999999999997</v>
      </c>
      <c r="G19" s="1676">
        <f>IF(B16="出让",IF(G17="","",ROUNDDOWN(MIN((G17-$D$3)/365,G18),2)),G18)</f>
        <v>40</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37"/>
      <c r="E20" s="3638"/>
      <c r="F20" s="3638"/>
      <c r="G20" s="3638"/>
      <c r="H20" s="3638"/>
      <c r="I20" s="3639"/>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27" t="s">
        <v>1999</v>
      </c>
      <c r="F21" s="3628"/>
      <c r="G21" s="3628"/>
      <c r="H21" s="3628"/>
      <c r="I21" s="3629"/>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27" t="s">
        <v>2895</v>
      </c>
      <c r="F22" s="3628"/>
      <c r="G22" s="3628"/>
      <c r="H22" s="3628"/>
      <c r="I22" s="3629"/>
      <c r="J22" s="1685"/>
      <c r="K22" s="1765"/>
      <c r="L22" s="1714"/>
      <c r="M22" s="1714"/>
      <c r="N22" s="1685"/>
      <c r="O22" s="1686"/>
      <c r="P22" s="1685"/>
      <c r="Q22" s="1685"/>
      <c r="R22" s="1685"/>
      <c r="S22" s="1685"/>
      <c r="T22" s="1685"/>
      <c r="U22" s="1685"/>
    </row>
    <row r="23" spans="1:21" ht="47.4"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30" t="s">
        <v>1967</v>
      </c>
      <c r="C24" s="3631"/>
      <c r="D24" s="3632" t="s">
        <v>1968</v>
      </c>
      <c r="E24" s="3633"/>
      <c r="F24" s="1699" t="s">
        <v>1969</v>
      </c>
      <c r="G24" s="1685"/>
      <c r="H24" s="1685"/>
      <c r="I24" s="1698"/>
      <c r="J24" s="1685"/>
      <c r="K24" s="3618"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31.2">
      <c r="A25" s="1742"/>
      <c r="B25" s="1739" t="s">
        <v>2326</v>
      </c>
      <c r="C25" s="1700" t="s">
        <v>1971</v>
      </c>
      <c r="D25" s="1701"/>
      <c r="E25" s="1702" t="s">
        <v>952</v>
      </c>
      <c r="F25" s="1703"/>
      <c r="G25" s="1685"/>
      <c r="H25" s="1685"/>
      <c r="I25" s="1698"/>
      <c r="J25" s="1685"/>
      <c r="K25" s="3618"/>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47.4" thickBot="1">
      <c r="A26" s="1743"/>
      <c r="B26" s="1740" t="s">
        <v>1972</v>
      </c>
      <c r="C26" s="1700" t="s">
        <v>2327</v>
      </c>
      <c r="D26" s="1651"/>
      <c r="E26" s="1651"/>
      <c r="F26" s="1679"/>
      <c r="G26" s="1685"/>
      <c r="H26" s="1685"/>
      <c r="I26" s="1698"/>
      <c r="J26" s="1685"/>
      <c r="K26" s="3618"/>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6.2"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6.2" thickTop="1">
      <c r="A31" s="3645" t="s">
        <v>2002</v>
      </c>
      <c r="B31" s="1755" t="s">
        <v>2003</v>
      </c>
      <c r="C31" s="3643"/>
      <c r="D31" s="3644"/>
      <c r="E31" s="1685"/>
      <c r="F31" s="1685"/>
      <c r="G31" s="1685"/>
      <c r="H31" s="1685"/>
      <c r="I31" s="1698"/>
      <c r="J31" s="1685"/>
      <c r="K31" s="2473"/>
      <c r="L31" s="1685"/>
      <c r="M31" s="1685"/>
      <c r="N31" s="1685"/>
      <c r="O31" s="1685"/>
      <c r="P31" s="1685"/>
      <c r="Q31" s="1685"/>
      <c r="R31" s="1685"/>
      <c r="S31" s="1685"/>
      <c r="T31" s="1685"/>
      <c r="U31" s="1685"/>
    </row>
    <row r="32" spans="1:21">
      <c r="A32" s="3645"/>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45"/>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46"/>
      <c r="B34" s="1652" t="s">
        <v>2006</v>
      </c>
      <c r="C34" s="3647"/>
      <c r="D34" s="3648"/>
      <c r="E34" s="1685"/>
      <c r="F34" s="1685"/>
      <c r="G34" s="1685"/>
      <c r="H34" s="1685"/>
      <c r="I34" s="1698"/>
      <c r="J34" s="1685"/>
      <c r="K34" s="2473"/>
      <c r="L34" s="1685"/>
      <c r="M34" s="1685"/>
      <c r="N34" s="1685"/>
      <c r="O34" s="1685"/>
      <c r="P34" s="1685"/>
      <c r="Q34" s="1685"/>
      <c r="R34" s="1685"/>
      <c r="S34" s="1685"/>
      <c r="T34" s="1685"/>
      <c r="U34" s="1685"/>
    </row>
    <row r="35" spans="1:21">
      <c r="A35" s="3649" t="s">
        <v>847</v>
      </c>
      <c r="B35" s="1713"/>
      <c r="C35" s="1767" t="str">
        <f>IF(B35="场地平整","——","具体情况：")</f>
        <v>具体情况：</v>
      </c>
      <c r="D35" s="3651"/>
      <c r="E35" s="3652"/>
      <c r="F35" s="3652"/>
      <c r="G35" s="3652"/>
      <c r="H35" s="3652"/>
      <c r="I35" s="3653"/>
      <c r="J35" s="1685"/>
      <c r="K35" s="1766"/>
      <c r="L35" s="1714"/>
      <c r="M35" s="1714"/>
      <c r="N35" s="1685"/>
      <c r="O35" s="1686"/>
      <c r="P35" s="1685"/>
      <c r="Q35" s="1685"/>
      <c r="R35" s="1685"/>
      <c r="S35" s="1685"/>
      <c r="T35" s="1685"/>
      <c r="U35" s="1685"/>
    </row>
    <row r="36" spans="1:21">
      <c r="A36" s="3645"/>
      <c r="B36" s="3654" t="s">
        <v>2055</v>
      </c>
      <c r="C36" s="3655"/>
      <c r="D36" s="1783"/>
      <c r="E36" s="3656"/>
      <c r="F36" s="3656"/>
      <c r="G36" s="1678" t="str">
        <f>IF(B35="场地未平整","估价结果处理","")</f>
        <v/>
      </c>
      <c r="H36" s="3657"/>
      <c r="I36" s="3657"/>
      <c r="J36" s="1685"/>
      <c r="K36" s="1766"/>
      <c r="L36" s="1714"/>
      <c r="M36" s="1714"/>
      <c r="N36" s="1685"/>
      <c r="O36" s="1686"/>
      <c r="P36" s="1685"/>
      <c r="Q36" s="1685"/>
      <c r="R36" s="1685"/>
      <c r="S36" s="1685"/>
      <c r="T36" s="1685"/>
      <c r="U36" s="1685"/>
    </row>
    <row r="37" spans="1:21" ht="31.2">
      <c r="A37" s="3645"/>
      <c r="B37" s="3634"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45"/>
      <c r="B38" s="3635"/>
      <c r="C38" s="1660" t="s">
        <v>850</v>
      </c>
      <c r="D38" s="1782">
        <f>ROUNDDOWN(MIN(('数据-取费表'!$B$2-D37)/365,D34),1)</f>
        <v>120.3</v>
      </c>
      <c r="E38" s="1718" t="s">
        <v>851</v>
      </c>
      <c r="F38" s="1685"/>
      <c r="G38" s="1685"/>
      <c r="H38" s="1685"/>
      <c r="I38" s="1698"/>
      <c r="J38" s="1685"/>
      <c r="K38" s="1766"/>
      <c r="L38" s="1685"/>
      <c r="M38" s="1685"/>
      <c r="N38" s="1685"/>
      <c r="O38" s="1685"/>
      <c r="P38" s="1685"/>
      <c r="Q38" s="1685"/>
      <c r="R38" s="1685"/>
      <c r="S38" s="1685"/>
      <c r="T38" s="1685"/>
      <c r="U38" s="1685"/>
    </row>
    <row r="39" spans="1:21">
      <c r="A39" s="3646"/>
      <c r="B39" s="3636"/>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17" t="s">
        <v>1986</v>
      </c>
      <c r="T40" s="1722" t="str">
        <f>NUMBERSTRING(7-K40,1)&amp;"通"</f>
        <v>七通</v>
      </c>
      <c r="U40" s="1685"/>
    </row>
    <row r="41" spans="1:21">
      <c r="A41" s="1654"/>
      <c r="B41" s="3650" t="s">
        <v>1720</v>
      </c>
      <c r="C41" s="3650"/>
      <c r="D41" s="3650"/>
      <c r="E41" s="3650"/>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17"/>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46.8">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6" sqref="E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3.2">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3.2">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3.2">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3.2">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3.2">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3.2">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6.4">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3.2">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0"/>
      <c r="C20" s="1386" t="s">
        <v>3337</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658" t="s">
        <v>0</v>
      </c>
      <c r="B1" s="3658" t="s">
        <v>4</v>
      </c>
      <c r="C1" s="3658" t="s">
        <v>5</v>
      </c>
      <c r="D1" s="3659" t="s">
        <v>40</v>
      </c>
      <c r="E1" s="3659" t="s">
        <v>41</v>
      </c>
      <c r="F1" s="3659"/>
      <c r="G1" s="3659"/>
      <c r="H1" s="3659"/>
      <c r="I1" s="3659"/>
      <c r="J1" s="3659"/>
      <c r="K1" s="3659"/>
      <c r="L1" s="3659"/>
      <c r="M1" s="3659"/>
    </row>
    <row r="2" spans="1:13" ht="27" customHeight="1">
      <c r="A2" s="3658"/>
      <c r="B2" s="3658"/>
      <c r="C2" s="3658"/>
      <c r="D2" s="3659"/>
      <c r="E2" s="3659" t="s">
        <v>24</v>
      </c>
      <c r="F2" s="3659" t="s">
        <v>25</v>
      </c>
      <c r="G2" s="3659"/>
      <c r="H2" s="3659"/>
      <c r="I2" s="3659"/>
      <c r="J2" s="3659" t="s">
        <v>26</v>
      </c>
      <c r="K2" s="3659"/>
      <c r="L2" s="3659"/>
      <c r="M2" s="3659"/>
    </row>
    <row r="3" spans="1:13" ht="46.8">
      <c r="A3" s="3658"/>
      <c r="B3" s="3658"/>
      <c r="C3" s="3658"/>
      <c r="D3" s="3659"/>
      <c r="E3" s="365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9" t="s">
        <v>42</v>
      </c>
      <c r="B9" s="3659"/>
      <c r="C9" s="36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G18" sqref="G18"/>
    </sheetView>
  </sheetViews>
  <sheetFormatPr defaultRowHeight="14.4"/>
  <cols>
    <col min="2" max="2" width="10.77734375" customWidth="1"/>
    <col min="3" max="3" width="0" hidden="1" customWidth="1"/>
    <col min="9" max="9" width="10.109375" customWidth="1"/>
    <col min="10" max="10" width="0" hidden="1" customWidth="1"/>
  </cols>
  <sheetData>
    <row r="1" spans="1:13" ht="15" thickBot="1">
      <c r="A1" s="3662" t="s">
        <v>3468</v>
      </c>
      <c r="B1" s="3663"/>
      <c r="C1" s="3663"/>
      <c r="D1" s="3663"/>
      <c r="E1" s="3663"/>
      <c r="F1" s="3663"/>
      <c r="H1" s="3662" t="s">
        <v>3469</v>
      </c>
      <c r="I1" s="3663"/>
      <c r="J1" s="3663"/>
      <c r="K1" s="3663"/>
      <c r="L1" s="3663"/>
      <c r="M1" s="3663"/>
    </row>
    <row r="2" spans="1:13" ht="15" thickBot="1">
      <c r="A2" s="3664" t="s">
        <v>3461</v>
      </c>
      <c r="B2" s="3664" t="s">
        <v>3462</v>
      </c>
      <c r="C2" s="3664" t="s">
        <v>3463</v>
      </c>
      <c r="D2" s="3660" t="s">
        <v>3464</v>
      </c>
      <c r="E2" s="3666"/>
      <c r="F2" s="3661"/>
      <c r="H2" s="3664" t="s">
        <v>3461</v>
      </c>
      <c r="I2" s="3664" t="s">
        <v>3462</v>
      </c>
      <c r="J2" s="3664" t="s">
        <v>3463</v>
      </c>
      <c r="K2" s="3660" t="s">
        <v>3464</v>
      </c>
      <c r="L2" s="3666"/>
      <c r="M2" s="3661"/>
    </row>
    <row r="3" spans="1:13" ht="15" thickBot="1">
      <c r="A3" s="3665"/>
      <c r="B3" s="3665"/>
      <c r="C3" s="3665"/>
      <c r="D3" s="3556" t="s">
        <v>24</v>
      </c>
      <c r="E3" s="3556" t="s">
        <v>3199</v>
      </c>
      <c r="F3" s="3556" t="s">
        <v>3204</v>
      </c>
      <c r="H3" s="3665"/>
      <c r="I3" s="3665"/>
      <c r="J3" s="3665"/>
      <c r="K3" s="3556" t="s">
        <v>24</v>
      </c>
      <c r="L3" s="3556" t="s">
        <v>3199</v>
      </c>
      <c r="M3" s="3556" t="s">
        <v>3204</v>
      </c>
    </row>
    <row r="4" spans="1:13" ht="15" thickBot="1">
      <c r="A4" s="3557" t="s">
        <v>3465</v>
      </c>
      <c r="B4" s="3556" t="s">
        <v>3218</v>
      </c>
      <c r="C4" s="3558">
        <v>13524.11</v>
      </c>
      <c r="D4" s="3558">
        <v>99340</v>
      </c>
      <c r="E4" s="3558">
        <v>9934</v>
      </c>
      <c r="F4" s="3558" t="s">
        <v>952</v>
      </c>
      <c r="H4" s="3557" t="s">
        <v>3465</v>
      </c>
      <c r="I4" s="3556" t="s">
        <v>3218</v>
      </c>
      <c r="J4" s="3558"/>
      <c r="K4" s="3558">
        <f>L4</f>
        <v>73359</v>
      </c>
      <c r="L4" s="3558">
        <f>807+'数据-基础表'!M13</f>
        <v>73359</v>
      </c>
      <c r="M4" s="3558" t="s">
        <v>952</v>
      </c>
    </row>
    <row r="5" spans="1:13" ht="15" thickBot="1">
      <c r="A5" s="3557" t="s">
        <v>3465</v>
      </c>
      <c r="B5" s="3556" t="s">
        <v>1678</v>
      </c>
      <c r="C5" s="3558">
        <v>24562.18</v>
      </c>
      <c r="D5" s="3558">
        <v>180419</v>
      </c>
      <c r="E5" s="3558">
        <v>180419</v>
      </c>
      <c r="F5" s="3558" t="s">
        <v>952</v>
      </c>
      <c r="H5" s="3557" t="s">
        <v>3465</v>
      </c>
      <c r="I5" s="3556" t="s">
        <v>1678</v>
      </c>
      <c r="J5" s="3558"/>
      <c r="K5" s="3558">
        <f>L5</f>
        <v>273359</v>
      </c>
      <c r="L5" s="3558">
        <f>'数据-基础表'!K14</f>
        <v>273359</v>
      </c>
      <c r="M5" s="3558" t="s">
        <v>952</v>
      </c>
    </row>
    <row r="6" spans="1:13" ht="15" thickBot="1">
      <c r="A6" s="3557" t="s">
        <v>3465</v>
      </c>
      <c r="B6" s="3556" t="s">
        <v>3466</v>
      </c>
      <c r="C6" s="3558">
        <v>548.51</v>
      </c>
      <c r="D6" s="3558">
        <v>4029</v>
      </c>
      <c r="E6" s="3558">
        <v>4029</v>
      </c>
      <c r="F6" s="3558" t="s">
        <v>952</v>
      </c>
      <c r="H6" s="3557" t="s">
        <v>3465</v>
      </c>
      <c r="I6" s="3556" t="s">
        <v>3467</v>
      </c>
      <c r="J6" s="3558"/>
      <c r="K6" s="3558">
        <f>M6</f>
        <v>15779</v>
      </c>
      <c r="L6" s="3558" t="s">
        <v>952</v>
      </c>
      <c r="M6" s="3558">
        <f>'数据-基础表'!Q17</f>
        <v>15779</v>
      </c>
    </row>
    <row r="7" spans="1:13" ht="15" thickBot="1">
      <c r="A7" s="3557" t="s">
        <v>3465</v>
      </c>
      <c r="B7" s="3556" t="s">
        <v>3467</v>
      </c>
      <c r="C7" s="3558">
        <v>1980.02</v>
      </c>
      <c r="D7" s="3558">
        <v>14544</v>
      </c>
      <c r="E7" s="3558" t="s">
        <v>952</v>
      </c>
      <c r="F7" s="3558">
        <v>14544</v>
      </c>
      <c r="H7" s="3557" t="s">
        <v>3465</v>
      </c>
      <c r="I7" s="3556" t="s">
        <v>35</v>
      </c>
      <c r="J7" s="3558"/>
      <c r="K7" s="3558">
        <f>M7</f>
        <v>97995</v>
      </c>
      <c r="L7" s="3558" t="s">
        <v>952</v>
      </c>
      <c r="M7" s="3558">
        <f>'数据-基础表'!O18</f>
        <v>97995</v>
      </c>
    </row>
    <row r="8" spans="1:13" ht="15" thickBot="1">
      <c r="A8" s="3557" t="s">
        <v>3465</v>
      </c>
      <c r="B8" s="3556" t="s">
        <v>35</v>
      </c>
      <c r="C8" s="3558">
        <v>10718.3</v>
      </c>
      <c r="D8" s="3558">
        <v>78730.2</v>
      </c>
      <c r="E8" s="3558" t="s">
        <v>952</v>
      </c>
      <c r="F8" s="3558">
        <v>78730.2</v>
      </c>
      <c r="H8" s="3660" t="s">
        <v>27</v>
      </c>
      <c r="I8" s="3661"/>
      <c r="J8" s="3558"/>
      <c r="K8" s="3558">
        <f>L8+M8</f>
        <v>460492</v>
      </c>
      <c r="L8" s="3558">
        <f>L4+L5</f>
        <v>346718</v>
      </c>
      <c r="M8" s="3558">
        <f>M6+M7</f>
        <v>113774</v>
      </c>
    </row>
    <row r="9" spans="1:13" ht="16.5" customHeight="1" thickBot="1">
      <c r="A9" s="3557" t="s">
        <v>3465</v>
      </c>
      <c r="B9" s="3556" t="s">
        <v>3314</v>
      </c>
      <c r="C9" s="3558">
        <v>13530.78</v>
      </c>
      <c r="D9" s="3558">
        <v>99389</v>
      </c>
      <c r="E9" s="3558">
        <v>99389</v>
      </c>
      <c r="F9" s="3558" t="s">
        <v>952</v>
      </c>
      <c r="H9" s="3557" t="s">
        <v>1680</v>
      </c>
      <c r="I9" s="3556" t="s">
        <v>2315</v>
      </c>
      <c r="J9" s="3558"/>
      <c r="K9" s="3558">
        <f>'数据-基础表'!AL15</f>
        <v>7667</v>
      </c>
      <c r="L9" s="3558">
        <f>K9</f>
        <v>7667</v>
      </c>
      <c r="M9" s="3558"/>
    </row>
    <row r="10" spans="1:13" ht="15" thickBot="1">
      <c r="A10" s="3660" t="s">
        <v>27</v>
      </c>
      <c r="B10" s="3661"/>
      <c r="C10" s="3558">
        <v>64863.9</v>
      </c>
      <c r="D10" s="3558">
        <v>476451.2</v>
      </c>
      <c r="E10" s="3558">
        <v>383177</v>
      </c>
      <c r="F10" s="3558">
        <v>93274.2</v>
      </c>
      <c r="H10" s="3660" t="s">
        <v>27</v>
      </c>
      <c r="I10" s="3661"/>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60" t="s">
        <v>24</v>
      </c>
      <c r="I11" s="3661"/>
      <c r="J11" s="3558"/>
      <c r="K11" s="3558">
        <f>K10+K8</f>
        <v>468159</v>
      </c>
      <c r="L11" s="3558">
        <f>L8+L10</f>
        <v>354385</v>
      </c>
      <c r="M11" s="3558">
        <f>M8</f>
        <v>113774</v>
      </c>
    </row>
    <row r="12" spans="1:13" ht="15" thickBot="1">
      <c r="A12" s="3660" t="s">
        <v>27</v>
      </c>
      <c r="B12" s="3661"/>
      <c r="C12" s="3558">
        <v>4483.6000000000004</v>
      </c>
      <c r="D12" s="3558">
        <v>32933.800000000003</v>
      </c>
      <c r="E12" s="3558">
        <v>10911</v>
      </c>
      <c r="F12" s="3558">
        <v>22022.799999999999</v>
      </c>
    </row>
    <row r="13" spans="1:13" ht="15" thickBot="1">
      <c r="A13" s="3660" t="s">
        <v>24</v>
      </c>
      <c r="B13" s="3661"/>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3470</v>
      </c>
      <c r="N24" s="3501" t="s">
        <v>3471</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3477</v>
      </c>
    </row>
    <row r="41" spans="12:18">
      <c r="M41">
        <v>80</v>
      </c>
    </row>
    <row r="42" spans="12:18">
      <c r="M42">
        <v>213</v>
      </c>
    </row>
    <row r="43" spans="12:18">
      <c r="M43">
        <v>694</v>
      </c>
    </row>
    <row r="44" spans="12:18">
      <c r="M44">
        <v>59</v>
      </c>
    </row>
    <row r="45" spans="12:18">
      <c r="M45">
        <v>87</v>
      </c>
    </row>
    <row r="46" spans="12:18">
      <c r="M46">
        <v>57</v>
      </c>
    </row>
    <row r="47" spans="12:18">
      <c r="M47">
        <v>131</v>
      </c>
      <c r="Q47" s="3501" t="s">
        <v>3479</v>
      </c>
      <c r="R47" s="3501" t="s">
        <v>3480</v>
      </c>
    </row>
    <row r="48" spans="12:18">
      <c r="L48" s="3501" t="s">
        <v>3478</v>
      </c>
      <c r="M48">
        <f>SUM(M41:M47)</f>
        <v>1321</v>
      </c>
      <c r="N48">
        <f>'数据-汇总表'!F19</f>
        <v>807</v>
      </c>
      <c r="O48">
        <f>'数据-汇总表'!F20</f>
        <v>72552</v>
      </c>
      <c r="P48">
        <f>'数据-汇总表'!F21</f>
        <v>273359</v>
      </c>
      <c r="Q48">
        <f>SUM(M48:P48)</f>
        <v>348039</v>
      </c>
      <c r="R48">
        <f>ROUND(Q48/'数据-汇总表'!D3,2)</f>
        <v>4.66</v>
      </c>
    </row>
    <row r="50" spans="7:13">
      <c r="H50" s="3501" t="s">
        <v>3601</v>
      </c>
      <c r="I50" s="3501" t="s">
        <v>3602</v>
      </c>
      <c r="K50" s="3501" t="s">
        <v>3603</v>
      </c>
      <c r="L50" s="3501" t="s">
        <v>3605</v>
      </c>
    </row>
    <row r="51" spans="7:13">
      <c r="G51" s="3501" t="s">
        <v>3600</v>
      </c>
      <c r="H51">
        <v>84509</v>
      </c>
      <c r="K51">
        <v>2065</v>
      </c>
    </row>
    <row r="52" spans="7:13">
      <c r="G52" s="3501" t="s">
        <v>3604</v>
      </c>
      <c r="I52">
        <v>72552</v>
      </c>
      <c r="K52">
        <f>551+73</f>
        <v>624</v>
      </c>
      <c r="L52">
        <f>80+213+694</f>
        <v>987</v>
      </c>
    </row>
    <row r="53" spans="7:13">
      <c r="G53" s="3501" t="s">
        <v>3606</v>
      </c>
      <c r="H53">
        <v>18762</v>
      </c>
      <c r="L53">
        <f>59+87+13+23</f>
        <v>182</v>
      </c>
    </row>
    <row r="54" spans="7:13">
      <c r="G54" s="3501" t="s">
        <v>3607</v>
      </c>
      <c r="H54">
        <v>18838</v>
      </c>
      <c r="L54">
        <f>57+13+28</f>
        <v>98</v>
      </c>
    </row>
    <row r="55" spans="7:13">
      <c r="G55" s="3501" t="s">
        <v>3608</v>
      </c>
      <c r="H55">
        <v>86243</v>
      </c>
      <c r="K55">
        <v>2089</v>
      </c>
    </row>
    <row r="56" spans="7:13">
      <c r="G56" s="3501" t="s">
        <v>3609</v>
      </c>
      <c r="H56">
        <v>65007</v>
      </c>
      <c r="I56">
        <v>807</v>
      </c>
      <c r="L56">
        <f>131+1463+28</f>
        <v>1622</v>
      </c>
    </row>
    <row r="57" spans="7:13">
      <c r="G57" s="3501" t="s">
        <v>3610</v>
      </c>
      <c r="I57">
        <v>15779</v>
      </c>
      <c r="M57">
        <f>125121-I57</f>
        <v>109342</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G20" sqref="G20"/>
    </sheetView>
  </sheetViews>
  <sheetFormatPr defaultColWidth="9.21875" defaultRowHeight="13.8"/>
  <cols>
    <col min="1" max="1" width="8.21875" style="1976" customWidth="1"/>
    <col min="2" max="2" width="10.21875" style="1976" customWidth="1"/>
    <col min="3" max="3" width="18.44140625" style="1976" customWidth="1"/>
    <col min="4" max="4" width="11.109375" style="1976" customWidth="1"/>
    <col min="5" max="5" width="13.33203125" style="1976" customWidth="1"/>
    <col min="6" max="8" width="11.44140625" style="1976" customWidth="1"/>
    <col min="9" max="9" width="10.33203125" style="1976" customWidth="1"/>
    <col min="10" max="10" width="3.109375" style="1976" customWidth="1"/>
    <col min="11" max="16" width="11.6640625" style="1976" customWidth="1"/>
    <col min="17" max="17" width="3.33203125" style="1976" customWidth="1"/>
    <col min="18" max="16384" width="9.21875" style="1976"/>
  </cols>
  <sheetData>
    <row r="1" spans="1:16" ht="17.399999999999999">
      <c r="A1" s="104" t="s">
        <v>202</v>
      </c>
      <c r="B1" s="1975"/>
      <c r="C1" s="1975"/>
      <c r="D1" s="1975"/>
      <c r="E1" s="1975"/>
      <c r="F1" s="1975"/>
      <c r="G1" s="1975"/>
      <c r="H1" s="1975"/>
      <c r="I1" s="1975"/>
      <c r="J1" s="1975"/>
      <c r="K1" s="1975"/>
      <c r="L1" s="1975"/>
    </row>
    <row r="2" spans="1:16" ht="14.4">
      <c r="A2" s="3676" t="s">
        <v>203</v>
      </c>
      <c r="B2" s="3676"/>
      <c r="C2" s="3676"/>
      <c r="D2" s="1966" t="s">
        <v>204</v>
      </c>
      <c r="E2" s="106" t="s">
        <v>205</v>
      </c>
      <c r="F2" s="1975"/>
      <c r="G2" s="1191"/>
      <c r="H2" s="1192"/>
      <c r="I2" s="1193" t="s">
        <v>857</v>
      </c>
      <c r="J2" s="1975"/>
      <c r="K2" s="1975"/>
      <c r="L2" s="1975"/>
    </row>
    <row r="3" spans="1:16" ht="15" thickBot="1">
      <c r="A3" s="3677" t="s">
        <v>206</v>
      </c>
      <c r="B3" s="3677"/>
      <c r="C3" s="3677"/>
      <c r="D3" s="107">
        <f>'数据-基础表'!AY6</f>
        <v>74665.899999999994</v>
      </c>
      <c r="E3" s="107">
        <f>'数据-基础表'!AZ5</f>
        <v>479506</v>
      </c>
      <c r="F3" s="1975"/>
      <c r="G3" s="278" t="s">
        <v>858</v>
      </c>
      <c r="H3" s="273" t="s">
        <v>859</v>
      </c>
      <c r="I3" s="1967">
        <f>ROUND('数据-基础表'!B3/'数据-基础表'!A3,2)</f>
        <v>6.42</v>
      </c>
      <c r="J3" s="1975"/>
      <c r="K3" s="1975"/>
      <c r="L3" s="1975"/>
    </row>
    <row r="4" spans="1:16" ht="14.4">
      <c r="A4" s="3678"/>
      <c r="B4" s="3679"/>
      <c r="C4" s="3680"/>
      <c r="D4" s="108" t="s">
        <v>204</v>
      </c>
      <c r="E4" s="109" t="s">
        <v>205</v>
      </c>
      <c r="F4" s="1975"/>
      <c r="G4" s="1194"/>
      <c r="H4" s="273" t="s">
        <v>860</v>
      </c>
      <c r="I4" s="1967">
        <f>ROUND(SUMIF('数据-基础表'!I9:AS9,"地上",'数据-基础表'!I5:AS5)/'数据-基础表'!A3,2)</f>
        <v>4.75</v>
      </c>
      <c r="J4" s="1975"/>
      <c r="K4" s="1975"/>
      <c r="L4" s="1975"/>
    </row>
    <row r="5" spans="1:16" ht="14.4">
      <c r="A5" s="110" t="s">
        <v>207</v>
      </c>
      <c r="B5" s="3681" t="s">
        <v>230</v>
      </c>
      <c r="C5" s="3681"/>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81" t="s">
        <v>208</v>
      </c>
      <c r="C6" s="3681"/>
      <c r="D6" s="111">
        <f>ROUND($D$3*E6/$E$3,2)</f>
        <v>74665.899999999994</v>
      </c>
      <c r="E6" s="112">
        <f>E3-E5</f>
        <v>479506</v>
      </c>
      <c r="F6" s="1975"/>
      <c r="G6" s="1194"/>
      <c r="H6" s="273" t="s">
        <v>860</v>
      </c>
      <c r="I6" s="1967">
        <f>ROUND(F31/D31,2)</f>
        <v>4.75</v>
      </c>
      <c r="J6" s="1975"/>
      <c r="K6" s="1975"/>
      <c r="L6" s="1975"/>
    </row>
    <row r="7" spans="1:16" ht="14.4">
      <c r="A7" s="3673"/>
      <c r="B7" s="3674"/>
      <c r="C7" s="3675"/>
      <c r="D7" s="108" t="s">
        <v>204</v>
      </c>
      <c r="E7" s="114" t="s">
        <v>231</v>
      </c>
      <c r="F7" s="1975"/>
      <c r="G7" s="1149" t="s">
        <v>1646</v>
      </c>
      <c r="H7" s="1150"/>
      <c r="I7" s="3563">
        <f>Sheet2!R48</f>
        <v>4.66</v>
      </c>
      <c r="J7" s="1975"/>
      <c r="K7" s="1975"/>
      <c r="L7" s="1975"/>
    </row>
    <row r="8" spans="1:16" ht="14.4">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ht="14.4">
      <c r="A9" s="117"/>
      <c r="B9" s="118"/>
      <c r="C9" s="111" t="s">
        <v>212</v>
      </c>
      <c r="D9" s="111">
        <f t="shared" si="0"/>
        <v>0</v>
      </c>
      <c r="E9" s="119">
        <v>0</v>
      </c>
      <c r="F9" s="1975"/>
      <c r="G9" s="1977"/>
      <c r="H9" s="1977"/>
      <c r="I9" s="1975"/>
      <c r="J9" s="1975"/>
      <c r="K9" s="1975"/>
      <c r="L9" s="1975"/>
    </row>
    <row r="10" spans="1:16" ht="14.4">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ht="14.4">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ht="14.4">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ht="14.4">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ht="14.4">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 thickBot="1">
      <c r="A16" s="113"/>
      <c r="B16" s="118"/>
      <c r="C16" s="115" t="s">
        <v>215</v>
      </c>
      <c r="D16" s="115">
        <f>SUM(D8:D15)</f>
        <v>71705.14</v>
      </c>
      <c r="E16" s="120">
        <f>SUM(E8:E15)</f>
        <v>460492</v>
      </c>
      <c r="F16" s="1975"/>
      <c r="G16" s="1977"/>
      <c r="H16" s="961" t="s">
        <v>219</v>
      </c>
      <c r="I16" s="962"/>
      <c r="J16" s="1975"/>
      <c r="K16" s="3667" t="s">
        <v>2570</v>
      </c>
      <c r="L16" s="3668"/>
      <c r="M16" s="3668"/>
      <c r="N16" s="3668"/>
      <c r="O16" s="3668"/>
      <c r="P16" s="3669"/>
    </row>
    <row r="17" spans="1:19" ht="14.4">
      <c r="A17" s="121" t="s">
        <v>216</v>
      </c>
      <c r="B17" s="122" t="s">
        <v>217</v>
      </c>
      <c r="C17" s="2289" t="s">
        <v>2314</v>
      </c>
      <c r="D17" s="108" t="s">
        <v>204</v>
      </c>
      <c r="E17" s="124" t="s">
        <v>205</v>
      </c>
      <c r="F17" s="125"/>
      <c r="G17" s="1358"/>
      <c r="H17" s="963" t="s">
        <v>218</v>
      </c>
      <c r="I17" s="964" t="s">
        <v>2313</v>
      </c>
      <c r="J17" s="1975"/>
      <c r="K17" s="3670" t="s">
        <v>2571</v>
      </c>
      <c r="L17" s="3671"/>
      <c r="M17" s="3672"/>
      <c r="N17" s="3670" t="s">
        <v>2572</v>
      </c>
      <c r="O17" s="3671"/>
      <c r="P17" s="3672"/>
      <c r="R17" s="2290" t="s">
        <v>2312</v>
      </c>
      <c r="S17" s="144"/>
    </row>
    <row r="18" spans="1:19" ht="14.4">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ht="14.4">
      <c r="A19" s="133"/>
      <c r="B19" s="115" t="s">
        <v>225</v>
      </c>
      <c r="C19" s="3040" t="s">
        <v>3453</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ht="14.4">
      <c r="A20" s="138"/>
      <c r="B20" s="115" t="s">
        <v>226</v>
      </c>
      <c r="C20" s="3040" t="s">
        <v>3455</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ht="14.4">
      <c r="A21" s="138"/>
      <c r="B21" s="115" t="s">
        <v>226</v>
      </c>
      <c r="C21" s="3040" t="s">
        <v>3456</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ht="14.4">
      <c r="A22" s="138"/>
      <c r="B22" s="115" t="s">
        <v>226</v>
      </c>
      <c r="C22" s="3466" t="s">
        <v>3458</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ht="14.4">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ht="14.4">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ht="14.4">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ht="14.4">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42"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ht="14.4">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ht="14.4">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ht="14.4">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ht="14.4">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4.4"/>
  <cols>
    <col min="2" max="2" width="12.77734375" customWidth="1"/>
    <col min="3" max="3" width="11.21875" customWidth="1"/>
  </cols>
  <sheetData>
    <row r="1" spans="1:15">
      <c r="A1" s="3501" t="s">
        <v>3311</v>
      </c>
      <c r="I1" s="3501">
        <f>38973+76324</f>
        <v>115297</v>
      </c>
      <c r="O1" s="3501" t="s">
        <v>3436</v>
      </c>
    </row>
    <row r="2" spans="1:15">
      <c r="A2" s="3501" t="s">
        <v>3312</v>
      </c>
      <c r="B2" s="3501" t="s">
        <v>3313</v>
      </c>
      <c r="C2" s="3501" t="s">
        <v>3316</v>
      </c>
      <c r="D2" s="3501"/>
      <c r="O2" s="3501" t="s">
        <v>3437</v>
      </c>
    </row>
    <row r="3" spans="1:15">
      <c r="A3" s="3501"/>
      <c r="B3" s="3501"/>
      <c r="C3" s="3501" t="s">
        <v>3315</v>
      </c>
      <c r="D3" s="3501" t="s">
        <v>3317</v>
      </c>
      <c r="E3" s="3501" t="s">
        <v>3318</v>
      </c>
      <c r="F3" s="3501" t="s">
        <v>3319</v>
      </c>
      <c r="G3" s="3501" t="s">
        <v>3320</v>
      </c>
      <c r="H3" s="3501" t="s">
        <v>3339</v>
      </c>
      <c r="I3" s="3501" t="s">
        <v>3435</v>
      </c>
      <c r="J3" s="3501" t="s">
        <v>3438</v>
      </c>
      <c r="K3" s="3501" t="s">
        <v>3439</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3338</v>
      </c>
      <c r="C11">
        <f>SUM(C4:C10)</f>
        <v>99389</v>
      </c>
      <c r="D11">
        <f t="shared" ref="D11:H11" si="0">SUM(D4:D10)</f>
        <v>180419</v>
      </c>
      <c r="E11">
        <f t="shared" si="0"/>
        <v>103369</v>
      </c>
      <c r="F11">
        <f t="shared" si="0"/>
        <v>0</v>
      </c>
      <c r="G11">
        <f t="shared" si="0"/>
        <v>2771</v>
      </c>
      <c r="H11">
        <f t="shared" si="0"/>
        <v>8140</v>
      </c>
    </row>
    <row r="12" spans="1:15">
      <c r="B12" s="3501" t="s">
        <v>3440</v>
      </c>
      <c r="C12">
        <f>C11+D11+E11+G11</f>
        <v>385948</v>
      </c>
    </row>
    <row r="14" spans="1:15">
      <c r="A14" s="3501" t="s">
        <v>3375</v>
      </c>
    </row>
    <row r="15" spans="1:15">
      <c r="A15" s="3531" t="s">
        <v>3313</v>
      </c>
      <c r="B15" s="3501" t="s">
        <v>3380</v>
      </c>
      <c r="C15" s="3501" t="s">
        <v>3381</v>
      </c>
      <c r="D15" s="3501" t="s">
        <v>3382</v>
      </c>
      <c r="E15" s="3501" t="s">
        <v>3383</v>
      </c>
      <c r="F15" s="3532" t="s">
        <v>3384</v>
      </c>
    </row>
    <row r="16" spans="1:15">
      <c r="A16" s="3501" t="s">
        <v>3376</v>
      </c>
      <c r="B16">
        <v>312</v>
      </c>
    </row>
    <row r="17" spans="1:6">
      <c r="A17" s="3501" t="s">
        <v>3377</v>
      </c>
      <c r="B17">
        <f>E5/4</f>
        <v>4193.75</v>
      </c>
      <c r="C17">
        <f>B17</f>
        <v>4193.75</v>
      </c>
      <c r="D17">
        <f>B17</f>
        <v>4193.75</v>
      </c>
      <c r="E17">
        <f>B17</f>
        <v>4193.75</v>
      </c>
    </row>
    <row r="18" spans="1:6">
      <c r="A18" s="3501" t="s">
        <v>3378</v>
      </c>
      <c r="B18">
        <f>E8/4</f>
        <v>14900.5</v>
      </c>
      <c r="C18">
        <f>B18</f>
        <v>14900.5</v>
      </c>
      <c r="D18">
        <f>B18</f>
        <v>14900.5</v>
      </c>
      <c r="E18">
        <f>B18</f>
        <v>14900.5</v>
      </c>
    </row>
    <row r="19" spans="1:6">
      <c r="A19" s="3501" t="s">
        <v>3379</v>
      </c>
      <c r="B19">
        <f>22651/2</f>
        <v>11325.5</v>
      </c>
      <c r="C19">
        <f>B19</f>
        <v>11325.5</v>
      </c>
    </row>
    <row r="20" spans="1:6">
      <c r="A20" s="3501" t="s">
        <v>3338</v>
      </c>
      <c r="B20">
        <f>SUM(B16:B19)</f>
        <v>30731.75</v>
      </c>
      <c r="C20">
        <f>SUM(C17:C19)</f>
        <v>30419.75</v>
      </c>
      <c r="D20">
        <f>SUM(D17:D18)</f>
        <v>19094.25</v>
      </c>
      <c r="E20">
        <f>SUM(E16:E19)</f>
        <v>19094.25</v>
      </c>
    </row>
    <row r="21" spans="1:6">
      <c r="A21" s="3501" t="s">
        <v>3385</v>
      </c>
      <c r="B21">
        <v>4029</v>
      </c>
    </row>
    <row r="22" spans="1:6">
      <c r="A22" s="3501" t="s">
        <v>3386</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33" activePane="bottomRight" state="frozen"/>
      <selection pane="topRight" activeCell="D1" sqref="D1"/>
      <selection pane="bottomLeft" activeCell="A4" sqref="A4"/>
      <selection pane="bottomRight" activeCell="K21" sqref="K21"/>
    </sheetView>
  </sheetViews>
  <sheetFormatPr defaultColWidth="13.77734375"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6.44140625" style="1196" customWidth="1"/>
    <col min="32" max="34" width="7.21875" style="1196" customWidth="1"/>
    <col min="35" max="39" width="8" style="1196" customWidth="1"/>
    <col min="40" max="41" width="13.77734375" style="1989"/>
    <col min="42" max="42" width="0" style="1989" hidden="1" customWidth="1"/>
    <col min="43" max="83" width="13.77734375" style="1989"/>
    <col min="84" max="16384" width="13.77734375" style="1196"/>
  </cols>
  <sheetData>
    <row r="1" spans="1:83" ht="18"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 thickBot="1">
      <c r="A2" s="149" t="s">
        <v>235</v>
      </c>
      <c r="B2" s="2329">
        <f>项目基本情况!D3</f>
        <v>43924</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4.4"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57.6">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4">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33.979999999999997</v>
      </c>
      <c r="G6" s="175">
        <f>IF(ISERROR(ROUND(POWER(1+H6,D6-F6)*(POWER(1+H6,F6)-1)/(POWER(1+H6,D6)-1),3)),0,ROUND(POWER(1+H6,D6-F6)*(POWER(1+H6,F6)-1)/(POWER(1+H6,D6)-1),3))</f>
        <v>0.94299999999999995</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8</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3309</v>
      </c>
      <c r="AO6" s="1991"/>
      <c r="AP6" s="1197">
        <f>ROUND(1-1/(1+H6)^F6,3)</f>
        <v>0.80900000000000005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4">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33.979999999999997</v>
      </c>
      <c r="G7" s="175">
        <f t="shared" ref="G7:G11" si="2">IF(ISERROR(ROUND(POWER(1+H7,D7-F7)*(POWER(1+H7,F7)-1)/(POWER(1+H7,D7)-1),3)),0,ROUND(POWER(1+H7,D7-F7)*(POWER(1+H7,F7)-1)/(POWER(1+H7,D7)-1),3))</f>
        <v>0.94299999999999995</v>
      </c>
      <c r="H7" s="3041">
        <v>0.05</v>
      </c>
      <c r="I7" s="3041">
        <v>5.5E-2</v>
      </c>
      <c r="J7" s="176">
        <v>8.5000000000000006E-2</v>
      </c>
      <c r="K7" s="179">
        <f>SUMIF('数据-汇总表'!C$19:C$33,'数据-取费表'!A7,'数据-汇总表'!E$19:E$33)</f>
        <v>88331</v>
      </c>
      <c r="L7" s="3042">
        <v>3000</v>
      </c>
      <c r="M7" s="177">
        <f t="shared" si="0"/>
        <v>26499</v>
      </c>
      <c r="N7" s="3043">
        <v>0</v>
      </c>
      <c r="O7" s="177">
        <f t="shared" ref="O7:O14" si="3">IF($N$5="成新度","——",ROUND(M7*N7,0))</f>
        <v>0</v>
      </c>
      <c r="P7" s="178">
        <f t="shared" ref="P7:P14" si="4">IF($N$5="成新度","——",M7-O7)</f>
        <v>26499</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912</v>
      </c>
      <c r="U7" s="180"/>
      <c r="V7" s="181"/>
      <c r="W7" s="181"/>
      <c r="X7" s="2312"/>
      <c r="Y7" s="182">
        <v>1</v>
      </c>
      <c r="Z7" s="183"/>
      <c r="AA7" s="176"/>
      <c r="AB7" s="176"/>
      <c r="AC7" s="2315"/>
      <c r="AD7" s="184"/>
      <c r="AE7" s="965">
        <f t="shared" ref="AE7:AE13" ca="1" si="6">IF(AN7="",0,SUMIF(INDIRECT("'"&amp;AN7&amp;"'"&amp;"!E:E"),$AE$5,INDIRECT("'"&amp;AN7&amp;"'"&amp;"!F:F")))</f>
        <v>30.979999999999997</v>
      </c>
      <c r="AF7" s="141"/>
      <c r="AG7" s="1206">
        <f t="shared" ref="AG7:AG13" si="7">IF(AF7="",0,AE7-AF7)</f>
        <v>0</v>
      </c>
      <c r="AH7" s="141"/>
      <c r="AI7" s="187">
        <v>365</v>
      </c>
      <c r="AJ7" s="188"/>
      <c r="AK7" s="189">
        <v>1.4999999999999999E-2</v>
      </c>
      <c r="AL7" s="190">
        <v>1.5E-3</v>
      </c>
      <c r="AM7" s="2405">
        <v>0.02</v>
      </c>
      <c r="AN7" s="2407" t="s">
        <v>3310</v>
      </c>
      <c r="AO7" s="1991"/>
      <c r="AP7" s="1197">
        <f t="shared" ref="AP7:AP13" si="8">ROUND(1-1/(1+H7)^F7,3)</f>
        <v>0.80900000000000005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4">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33.979999999999997</v>
      </c>
      <c r="G8" s="175">
        <f t="shared" si="2"/>
        <v>0.94299999999999995</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2822</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0.80900000000000005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4">
      <c r="A9" s="2293" t="str">
        <f>'数据-汇总表'!C22</f>
        <v>地库</v>
      </c>
      <c r="B9" s="2328" t="str">
        <f t="shared" si="1"/>
        <v>经营性</v>
      </c>
      <c r="C9" s="173" t="s">
        <v>3211</v>
      </c>
      <c r="D9" s="2299">
        <f>SUMIF(项目基本情况!D$15:I$15,C9,项目基本情况!D$18:I$18)</f>
        <v>40</v>
      </c>
      <c r="E9" s="2300">
        <f>IF(B9="","",SUMIF(项目基本情况!D$15:I$15,C9,项目基本情况!D$17:I$17))</f>
        <v>59980</v>
      </c>
      <c r="F9" s="174">
        <f>SUMIF(项目基本情况!D$15:I$15,C9,项目基本情况!D$19:I$19)</f>
        <v>40</v>
      </c>
      <c r="G9" s="175">
        <f t="shared" si="2"/>
        <v>1</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0.05</v>
      </c>
      <c r="R9" s="179">
        <f>SUMIF('数据-汇总表'!C$19:C$33,A9,'数据-汇总表'!R$19:R$33)</f>
        <v>15889.269999999999</v>
      </c>
      <c r="S9" s="132">
        <f>IF('数据-汇总表'!$I$17="按面积比例",SUMIF('数据-汇总表'!C$19:C$33,A9,'数据-汇总表'!K$19:K$33),SUMIF('数据-汇总表'!C$19:C$33,A9,'数据-汇总表'!N$19:N$33))</f>
        <v>4046.27</v>
      </c>
      <c r="T9" s="2225">
        <f t="shared" si="5"/>
        <v>1012</v>
      </c>
      <c r="U9" s="180">
        <v>0.6</v>
      </c>
      <c r="V9" s="181">
        <v>0.02</v>
      </c>
      <c r="W9" s="3894">
        <v>0.15</v>
      </c>
      <c r="X9" s="2312"/>
      <c r="Y9" s="3568">
        <v>1</v>
      </c>
      <c r="Z9" s="183"/>
      <c r="AA9" s="176"/>
      <c r="AB9" s="176"/>
      <c r="AC9" s="2315"/>
      <c r="AD9" s="184"/>
      <c r="AE9" s="965">
        <f t="shared" ca="1" si="6"/>
        <v>37</v>
      </c>
      <c r="AF9" s="141"/>
      <c r="AG9" s="1206">
        <f t="shared" si="7"/>
        <v>0</v>
      </c>
      <c r="AH9" s="141"/>
      <c r="AI9" s="187">
        <v>365</v>
      </c>
      <c r="AJ9" s="188"/>
      <c r="AK9" s="3893">
        <v>0.01</v>
      </c>
      <c r="AL9" s="190">
        <v>1.5E-3</v>
      </c>
      <c r="AM9" s="2405">
        <v>0.02</v>
      </c>
      <c r="AN9" s="2407" t="s">
        <v>3296</v>
      </c>
      <c r="AO9" s="1991"/>
      <c r="AP9" s="1197">
        <f t="shared" si="8"/>
        <v>0.82799999999999996</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4">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c r="AJ10" s="188"/>
      <c r="AK10" s="189"/>
      <c r="AL10" s="190"/>
      <c r="AM10" s="2405"/>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4">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4">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4">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3.8">
      <c r="A14" s="2294" t="s">
        <v>2315</v>
      </c>
      <c r="B14" s="2297" t="s">
        <v>1680</v>
      </c>
      <c r="C14" s="2298" t="s">
        <v>2315</v>
      </c>
      <c r="D14" s="2299"/>
      <c r="E14" s="2300"/>
      <c r="F14" s="174"/>
      <c r="G14" s="175"/>
      <c r="H14" s="2301"/>
      <c r="I14" s="2301"/>
      <c r="J14" s="2301"/>
      <c r="K14" s="179">
        <f>SUMIF('数据-汇总表'!C$19:C$33,'数据-取费表'!A14,'数据-汇总表'!E$19:E$33)</f>
        <v>19014</v>
      </c>
      <c r="L14" s="3895">
        <v>2500</v>
      </c>
      <c r="M14" s="177">
        <f t="shared" si="0"/>
        <v>4754</v>
      </c>
      <c r="N14" s="194">
        <v>0</v>
      </c>
      <c r="O14" s="177">
        <f t="shared" si="3"/>
        <v>0</v>
      </c>
      <c r="P14" s="178">
        <f t="shared" si="4"/>
        <v>4754</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8.8">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 thickBot="1">
      <c r="A16" s="198" t="s">
        <v>262</v>
      </c>
      <c r="B16" s="199"/>
      <c r="C16" s="200"/>
      <c r="D16" s="201"/>
      <c r="E16" s="199"/>
      <c r="F16" s="199"/>
      <c r="G16" s="202">
        <f>ROUND(SUMPRODUCT(G6:G13,K6:K13)/SUMPRODUCT((G6:G13&gt;0)*(K6:K13)),3)</f>
        <v>0.95499999999999996</v>
      </c>
      <c r="H16" s="203">
        <f>ROUND(SUMPRODUCT(H6:H13,K6:K13)/SUMPRODUCT((H6:H13&gt;0)*(K6:K13)),3)</f>
        <v>4.9000000000000002E-2</v>
      </c>
      <c r="I16" s="204"/>
      <c r="J16" s="204"/>
      <c r="K16" s="205">
        <f>SUM(K6:K15)</f>
        <v>479506</v>
      </c>
      <c r="L16" s="206">
        <f>ROUND(M16*10000/SUM(K6:K14),0)</f>
        <v>2878</v>
      </c>
      <c r="M16" s="206">
        <f>SUM(M6:M14)</f>
        <v>138002</v>
      </c>
      <c r="N16" s="207">
        <f>ROUND(SUMPRODUCT(M6:M14,N6:N14)/M16,3)</f>
        <v>0</v>
      </c>
      <c r="O16" s="206">
        <f>SUM(O6:O14)</f>
        <v>0</v>
      </c>
      <c r="P16" s="206">
        <f>SUM(P6:P14)</f>
        <v>138002</v>
      </c>
      <c r="Q16" s="208">
        <f>ROUND(SUMPRODUCT(Q6:Q13,K6:K13)/SUMPRODUCT((Q6:Q13&gt;0)*(K6:K13)),2)</f>
        <v>0.18</v>
      </c>
      <c r="R16" s="2302">
        <f>SUM(R6:R13)</f>
        <v>74665.89</v>
      </c>
      <c r="S16" s="209">
        <f>SUM(S6:S13)</f>
        <v>19013.989999999998</v>
      </c>
      <c r="T16" s="210">
        <f>IF(SUMIF(T6:T13,"&lt;9E307")=M14,SUMIF(T6:T13,"&lt;9E307"),"有误，请检查")</f>
        <v>4754</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0.81299999999999994</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8"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4">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4">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4">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4">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4">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4.4"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8.8">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8.8">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9.4"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8.8">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8.8">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9.4"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4">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4">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4">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4">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4">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4">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4">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4">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4">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4">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4">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4">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4">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4">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4">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8.8">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4">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4">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4">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4">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4">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4">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4">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4">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4">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4.4"/>
  <cols>
    <col min="1" max="1" width="9.44140625" style="1999" customWidth="1"/>
    <col min="2" max="2" width="24.44140625" style="2014" customWidth="1"/>
    <col min="3" max="3" width="24.44140625" style="2016" customWidth="1"/>
    <col min="4" max="4" width="2.6640625" style="2016" customWidth="1"/>
    <col min="5" max="5" width="5.88671875" style="2016" customWidth="1"/>
    <col min="6" max="6" width="27" style="2014" customWidth="1"/>
    <col min="7" max="7" width="27" style="2015" customWidth="1"/>
    <col min="8" max="8" width="11.88671875" style="2014" customWidth="1"/>
    <col min="9" max="9" width="16.77734375" style="2015" customWidth="1"/>
    <col min="10" max="10" width="2.6640625" style="2016" customWidth="1"/>
    <col min="11" max="11" width="11.88671875" style="2014" customWidth="1"/>
    <col min="12" max="12" width="16.77734375" style="2015" customWidth="1"/>
    <col min="13" max="13" width="2.6640625" style="2016" customWidth="1"/>
    <col min="14" max="14" width="11.88671875" style="2014" customWidth="1"/>
    <col min="15" max="15" width="16.77734375" style="2015" customWidth="1"/>
    <col min="16" max="16" width="2.6640625" style="2016" customWidth="1"/>
    <col min="17" max="17" width="11.88671875" style="2014" customWidth="1"/>
    <col min="18" max="18" width="16.77734375" style="2017" customWidth="1"/>
    <col min="19" max="16384" width="9" style="1999"/>
  </cols>
  <sheetData>
    <row r="1" spans="1:18" s="1998" customFormat="1" ht="18" thickBot="1">
      <c r="A1" s="3682" t="s">
        <v>1664</v>
      </c>
      <c r="B1" s="3683"/>
      <c r="C1" s="3683"/>
      <c r="D1" s="3683"/>
      <c r="E1" s="3683"/>
      <c r="F1" s="3683"/>
      <c r="G1" s="3683"/>
      <c r="H1" s="1993"/>
      <c r="I1" s="1994"/>
      <c r="J1" s="1995"/>
      <c r="K1" s="1993"/>
      <c r="L1" s="1994"/>
      <c r="M1" s="1995"/>
      <c r="N1" s="1993"/>
      <c r="O1" s="1994"/>
      <c r="P1" s="1995"/>
      <c r="Q1" s="1996"/>
      <c r="R1" s="1997"/>
    </row>
    <row r="2" spans="1:18" ht="15" thickBot="1">
      <c r="A2" s="1214"/>
      <c r="B2" s="1215"/>
      <c r="C2" s="1216" t="s">
        <v>1665</v>
      </c>
      <c r="D2" s="1217"/>
      <c r="E2" s="1218"/>
      <c r="F2" s="1219"/>
      <c r="G2" s="1216" t="s">
        <v>1666</v>
      </c>
      <c r="H2" s="1999"/>
      <c r="I2" s="1999"/>
      <c r="J2" s="1999"/>
      <c r="K2" s="1999"/>
      <c r="L2" s="1999"/>
      <c r="M2" s="1999"/>
      <c r="N2" s="1999"/>
      <c r="O2" s="1999"/>
      <c r="P2" s="1999"/>
      <c r="Q2" s="1999"/>
      <c r="R2" s="1999"/>
    </row>
    <row r="3" spans="1:18" ht="57.6">
      <c r="A3" s="1220" t="s">
        <v>1667</v>
      </c>
      <c r="B3" s="1221" t="s">
        <v>1654</v>
      </c>
      <c r="C3" s="3514" t="s">
        <v>3434</v>
      </c>
      <c r="D3" s="2000"/>
      <c r="E3" s="1222" t="s">
        <v>1667</v>
      </c>
      <c r="F3" s="1223" t="s">
        <v>1655</v>
      </c>
      <c r="G3" s="3097" t="s">
        <v>2924</v>
      </c>
      <c r="H3" s="1999"/>
      <c r="I3" s="1999"/>
      <c r="J3" s="1999"/>
      <c r="K3" s="1999"/>
      <c r="L3" s="1999"/>
      <c r="M3" s="1999"/>
      <c r="N3" s="1999"/>
      <c r="O3" s="1999"/>
      <c r="P3" s="1999"/>
      <c r="Q3" s="1999"/>
      <c r="R3" s="1999"/>
    </row>
    <row r="4" spans="1:18" ht="57.6">
      <c r="A4" s="1222"/>
      <c r="B4" s="1224" t="s">
        <v>1668</v>
      </c>
      <c r="C4" s="3515" t="s">
        <v>3433</v>
      </c>
      <c r="D4" s="2000"/>
      <c r="E4" s="1225"/>
      <c r="F4" s="1226" t="s">
        <v>1669</v>
      </c>
      <c r="G4" s="3096" t="s">
        <v>2921</v>
      </c>
      <c r="H4" s="1999"/>
      <c r="I4" s="1999"/>
      <c r="J4" s="1999"/>
      <c r="K4" s="1999"/>
      <c r="L4" s="1999"/>
      <c r="M4" s="1999"/>
      <c r="N4" s="1999"/>
      <c r="O4" s="1999"/>
      <c r="P4" s="1999"/>
      <c r="Q4" s="1999"/>
      <c r="R4" s="1999"/>
    </row>
    <row r="5" spans="1:18" ht="57.6">
      <c r="A5" s="1222"/>
      <c r="B5" s="1224" t="s">
        <v>1670</v>
      </c>
      <c r="C5" s="3515" t="s">
        <v>3448</v>
      </c>
      <c r="D5" s="2000"/>
      <c r="E5" s="1225"/>
      <c r="F5" s="1224" t="s">
        <v>2550</v>
      </c>
      <c r="G5" s="3096" t="s">
        <v>2922</v>
      </c>
      <c r="H5" s="1999"/>
      <c r="I5" s="1999"/>
      <c r="J5" s="1999"/>
      <c r="K5" s="1999"/>
      <c r="L5" s="1999"/>
      <c r="M5" s="1999"/>
      <c r="N5" s="1999"/>
      <c r="O5" s="1999"/>
      <c r="P5" s="1999"/>
      <c r="Q5" s="1999"/>
      <c r="R5" s="1999"/>
    </row>
    <row r="6" spans="1:18" ht="72">
      <c r="A6" s="1222"/>
      <c r="B6" s="1224" t="s">
        <v>1656</v>
      </c>
      <c r="C6" s="3516" t="s">
        <v>3340</v>
      </c>
      <c r="D6" s="2000"/>
      <c r="E6" s="1225"/>
      <c r="F6" s="1224" t="s">
        <v>2551</v>
      </c>
      <c r="G6" s="3096" t="s">
        <v>2920</v>
      </c>
      <c r="H6" s="1999"/>
      <c r="I6" s="1999"/>
      <c r="J6" s="1999"/>
      <c r="K6" s="1999"/>
      <c r="L6" s="1999"/>
      <c r="M6" s="1999"/>
      <c r="N6" s="1999"/>
      <c r="O6" s="1999"/>
      <c r="P6" s="1999"/>
      <c r="Q6" s="1999"/>
      <c r="R6" s="1999"/>
    </row>
    <row r="7" spans="1:18" ht="72.599999999999994" thickBot="1">
      <c r="A7" s="1222"/>
      <c r="B7" s="1224" t="s">
        <v>2550</v>
      </c>
      <c r="C7" s="3516" t="s">
        <v>3347</v>
      </c>
      <c r="D7" s="2001"/>
      <c r="E7" s="1227"/>
      <c r="F7" s="1228" t="s">
        <v>1671</v>
      </c>
      <c r="G7" s="3098" t="s">
        <v>2923</v>
      </c>
      <c r="H7" s="1999"/>
      <c r="I7" s="1999"/>
      <c r="J7" s="1999"/>
      <c r="K7" s="1999"/>
      <c r="L7" s="1999"/>
      <c r="M7" s="1999"/>
      <c r="N7" s="1999"/>
      <c r="O7" s="1999"/>
      <c r="P7" s="1999"/>
      <c r="Q7" s="1999"/>
      <c r="R7" s="1999"/>
    </row>
    <row r="8" spans="1:18" ht="28.8">
      <c r="A8" s="1222"/>
      <c r="B8" s="1224" t="s">
        <v>2551</v>
      </c>
      <c r="C8" s="3516" t="s">
        <v>3341</v>
      </c>
      <c r="D8" s="2001"/>
      <c r="E8" s="2001"/>
      <c r="F8" s="1545"/>
      <c r="G8" s="1545"/>
      <c r="H8" s="1999"/>
      <c r="I8" s="1999"/>
      <c r="J8" s="1999"/>
      <c r="K8" s="1999"/>
      <c r="L8" s="1999"/>
      <c r="M8" s="1999"/>
      <c r="N8" s="1999"/>
      <c r="O8" s="1999"/>
      <c r="P8" s="1999"/>
      <c r="Q8" s="1999"/>
      <c r="R8" s="1999"/>
    </row>
    <row r="9" spans="1:18" ht="72">
      <c r="A9" s="1222"/>
      <c r="B9" s="1224" t="s">
        <v>1657</v>
      </c>
      <c r="C9" s="3515" t="s">
        <v>3411</v>
      </c>
      <c r="D9" s="2000"/>
      <c r="E9" s="2001"/>
      <c r="F9" s="1545"/>
      <c r="G9" s="1545"/>
      <c r="H9" s="1999"/>
      <c r="I9" s="1999"/>
      <c r="J9" s="1999"/>
      <c r="K9" s="1999"/>
      <c r="L9" s="1999"/>
      <c r="M9" s="1999"/>
      <c r="N9" s="1999"/>
      <c r="O9" s="1999"/>
      <c r="P9" s="1999"/>
      <c r="Q9" s="1999"/>
      <c r="R9" s="1999"/>
    </row>
    <row r="10" spans="1:18" s="2007" customFormat="1" ht="15" thickBot="1">
      <c r="A10" s="1229"/>
      <c r="B10" s="1230" t="s">
        <v>1672</v>
      </c>
      <c r="C10" s="3517" t="s">
        <v>3412</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7.399999999999999">
      <c r="A12" s="2002"/>
      <c r="B12" s="2001"/>
      <c r="C12" s="2000"/>
      <c r="D12" s="2593"/>
      <c r="E12" s="2000"/>
      <c r="F12" s="2001"/>
      <c r="G12" s="2003"/>
      <c r="H12" s="2008"/>
      <c r="I12" s="2009"/>
      <c r="J12" s="2008"/>
      <c r="K12" s="2008"/>
      <c r="L12" s="2010"/>
      <c r="M12" s="2008"/>
      <c r="N12" s="2011"/>
      <c r="O12" s="2012"/>
      <c r="P12" s="2013"/>
      <c r="Q12" s="2011"/>
      <c r="R12" s="1997"/>
    </row>
    <row r="13" spans="1:18" ht="18" thickBot="1">
      <c r="A13" s="2592" t="s">
        <v>1673</v>
      </c>
      <c r="B13" s="2593"/>
      <c r="C13" s="2593"/>
      <c r="D13" s="1217"/>
      <c r="E13" s="2593"/>
      <c r="F13" s="2593"/>
      <c r="G13" s="2593"/>
    </row>
    <row r="14" spans="1:18" ht="15" thickBot="1">
      <c r="A14" s="1231"/>
      <c r="B14" s="1232"/>
      <c r="C14" s="1233" t="s">
        <v>1665</v>
      </c>
      <c r="D14" s="2000"/>
      <c r="E14" s="1234"/>
      <c r="F14" s="1234"/>
      <c r="G14" s="1216" t="s">
        <v>1666</v>
      </c>
    </row>
    <row r="15" spans="1:18" ht="57.6">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7.6">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7.6">
      <c r="A17" s="2604"/>
      <c r="B17" s="1238" t="s">
        <v>1670</v>
      </c>
      <c r="C17" s="1239" t="str">
        <f>C5</f>
        <v>估价对象位于太湖商圈，周边办公楼项目较多（无锡金融中心等），入驻率较高，办公集聚程度较好</v>
      </c>
      <c r="D17" s="2001"/>
      <c r="E17" s="2601"/>
      <c r="F17" s="1240" t="s">
        <v>1675</v>
      </c>
      <c r="G17" s="2810"/>
    </row>
    <row r="18" spans="1:7" ht="72">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8.8">
      <c r="A19" s="2604"/>
      <c r="B19" s="1240" t="s">
        <v>1660</v>
      </c>
      <c r="C19" s="2810"/>
      <c r="D19" s="2000"/>
      <c r="E19" s="2601"/>
      <c r="F19" s="1224" t="s">
        <v>2550</v>
      </c>
      <c r="G19" s="998" t="str">
        <f>G5</f>
        <v>估价对象所在区域公共配套设施齐备情况</v>
      </c>
    </row>
    <row r="20" spans="1:7" ht="72">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72">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8.8">
      <c r="A22" s="2604"/>
      <c r="B22" s="1224" t="s">
        <v>2551</v>
      </c>
      <c r="C22" s="998" t="str">
        <f>C8</f>
        <v>估价对象所在区域基础设施水平“六通”</v>
      </c>
      <c r="D22" s="2000"/>
      <c r="E22" s="2601"/>
      <c r="F22" s="1240" t="s">
        <v>1672</v>
      </c>
      <c r="G22" s="2810"/>
    </row>
    <row r="23" spans="1:7" ht="15" thickBot="1">
      <c r="A23" s="2604"/>
      <c r="B23" s="1240" t="s">
        <v>1662</v>
      </c>
      <c r="C23" s="3099" t="s">
        <v>3293</v>
      </c>
      <c r="E23" s="2602"/>
      <c r="F23" s="1241" t="s">
        <v>1676</v>
      </c>
      <c r="G23" s="3100"/>
    </row>
    <row r="24" spans="1:7" ht="1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1" sqref="D21"/>
    </sheetView>
  </sheetViews>
  <sheetFormatPr defaultColWidth="14.6640625" defaultRowHeight="14.4"/>
  <cols>
    <col min="1" max="1" width="24.33203125" customWidth="1"/>
  </cols>
  <sheetData>
    <row r="1" spans="1:9" ht="15.6">
      <c r="A1" s="3060" t="s">
        <v>2848</v>
      </c>
      <c r="B1" s="3060">
        <f>SUM(B14:B23)</f>
        <v>479506</v>
      </c>
      <c r="C1" s="3061"/>
      <c r="D1" s="3061"/>
      <c r="E1" s="3061"/>
      <c r="F1" s="3061"/>
    </row>
    <row r="2" spans="1:9" ht="15.6">
      <c r="A2" s="3060" t="s">
        <v>2849</v>
      </c>
      <c r="B2" s="3060">
        <f>SUM(C14:C23)</f>
        <v>74665.899999999994</v>
      </c>
      <c r="C2" s="3061"/>
      <c r="D2" s="3061"/>
      <c r="E2" s="3061"/>
      <c r="F2" s="3061"/>
    </row>
    <row r="3" spans="1:9" ht="15.6">
      <c r="A3" s="3060" t="s">
        <v>2850</v>
      </c>
      <c r="B3" s="3062">
        <f>项目基本情况!D3</f>
        <v>43924</v>
      </c>
      <c r="C3" s="3061"/>
      <c r="D3" s="3061"/>
      <c r="E3" s="3061"/>
      <c r="F3" s="3061"/>
    </row>
    <row r="4" spans="1:9" ht="31.2">
      <c r="A4" s="3060" t="s">
        <v>2851</v>
      </c>
      <c r="B4" s="3060" t="s">
        <v>2852</v>
      </c>
      <c r="C4" s="3060" t="s">
        <v>2853</v>
      </c>
      <c r="D4" s="3060" t="s">
        <v>2854</v>
      </c>
      <c r="E4" s="3061"/>
      <c r="F4" s="3061"/>
    </row>
    <row r="5" spans="1:9" ht="15.6">
      <c r="A5" s="3060" t="s">
        <v>2855</v>
      </c>
      <c r="B5" s="3060">
        <f ca="1">SUM(D14:D23)</f>
        <v>160287</v>
      </c>
      <c r="C5" s="3060">
        <f ca="1">ROUND(B5*10000/$B$1,0)</f>
        <v>3343</v>
      </c>
      <c r="D5" s="3060">
        <f ca="1">ROUND(B5*10000/$B$2,0)</f>
        <v>21467</v>
      </c>
      <c r="E5" s="3061"/>
      <c r="F5" s="3061"/>
    </row>
    <row r="6" spans="1:9" ht="15.6">
      <c r="A6" s="3060" t="s">
        <v>2856</v>
      </c>
      <c r="B6" s="3060">
        <f ca="1">SUM(G14:G23)</f>
        <v>159289</v>
      </c>
      <c r="C6" s="3060">
        <f t="shared" ref="C6:C8" ca="1" si="0">ROUND(B6*10000/$B$1,0)</f>
        <v>3322</v>
      </c>
      <c r="D6" s="3060">
        <f t="shared" ref="D6:D8" ca="1" si="1">ROUND(B6*10000/$B$2,0)</f>
        <v>21334</v>
      </c>
      <c r="E6" s="3061"/>
      <c r="F6" s="3061"/>
    </row>
    <row r="7" spans="1:9" ht="15.6">
      <c r="A7" s="3060" t="s">
        <v>2857</v>
      </c>
      <c r="B7" s="3060">
        <f>SUM(H14:H23)</f>
        <v>0</v>
      </c>
      <c r="C7" s="3060">
        <f t="shared" si="0"/>
        <v>0</v>
      </c>
      <c r="D7" s="3060">
        <f t="shared" si="1"/>
        <v>0</v>
      </c>
      <c r="E7" s="3061"/>
      <c r="F7" s="3061"/>
    </row>
    <row r="8" spans="1:9" ht="15.6">
      <c r="A8" s="3060" t="s">
        <v>2858</v>
      </c>
      <c r="B8" s="3060">
        <f>SUM(I14:I23)</f>
        <v>0</v>
      </c>
      <c r="C8" s="3060">
        <f t="shared" si="0"/>
        <v>0</v>
      </c>
      <c r="D8" s="3060">
        <f t="shared" si="1"/>
        <v>0</v>
      </c>
      <c r="E8" s="3061"/>
      <c r="F8" s="3061"/>
    </row>
    <row r="9" spans="1:9" ht="15.6">
      <c r="A9" s="3060" t="s">
        <v>2859</v>
      </c>
      <c r="B9" s="3063"/>
      <c r="C9" s="3061"/>
      <c r="D9" s="3061"/>
      <c r="E9" s="3061"/>
      <c r="F9" s="3061"/>
    </row>
    <row r="10" spans="1:9" ht="15.6">
      <c r="A10" s="3060" t="s">
        <v>2860</v>
      </c>
      <c r="B10" s="3063"/>
      <c r="C10" s="3061"/>
      <c r="D10" s="3061"/>
      <c r="E10" s="3061"/>
      <c r="F10" s="3061"/>
    </row>
    <row r="11" spans="1:9" ht="15.6">
      <c r="A11" s="3060" t="s">
        <v>2877</v>
      </c>
      <c r="B11" s="3063"/>
      <c r="C11" s="3061"/>
      <c r="D11" s="3061"/>
      <c r="E11" s="3061"/>
      <c r="F11" s="3061"/>
    </row>
    <row r="12" spans="1:9" ht="15.6">
      <c r="A12" s="3061"/>
      <c r="B12" s="3061"/>
      <c r="C12" s="3061"/>
      <c r="D12" s="3061"/>
      <c r="E12" s="3061"/>
      <c r="F12" s="3061"/>
    </row>
    <row r="13" spans="1:9" ht="31.2">
      <c r="A13" s="3066" t="s">
        <v>2876</v>
      </c>
      <c r="B13" s="3064" t="s">
        <v>2848</v>
      </c>
      <c r="C13" s="3064" t="s">
        <v>2849</v>
      </c>
      <c r="D13" s="3064" t="s">
        <v>2861</v>
      </c>
      <c r="E13" s="3060" t="s">
        <v>2875</v>
      </c>
      <c r="F13" s="3060" t="s">
        <v>2854</v>
      </c>
      <c r="G13" s="3064" t="s">
        <v>2862</v>
      </c>
      <c r="H13" s="3064" t="s">
        <v>2863</v>
      </c>
      <c r="I13" s="3064" t="s">
        <v>2864</v>
      </c>
    </row>
    <row r="14" spans="1:9" ht="15.6">
      <c r="A14" s="3067" t="s">
        <v>2874</v>
      </c>
      <c r="B14" s="3064">
        <f>结果表!L38</f>
        <v>479506</v>
      </c>
      <c r="C14" s="3064">
        <f>结果表!K38</f>
        <v>74665.899999999994</v>
      </c>
      <c r="D14" s="3064">
        <f ca="1">结果表!C42</f>
        <v>160287</v>
      </c>
      <c r="E14" s="3064">
        <f ca="1">ROUND(D14*10000/B14,0)</f>
        <v>3343</v>
      </c>
      <c r="F14" s="3064">
        <f ca="1">ROUND(D14*10000/C14,0)</f>
        <v>21467</v>
      </c>
      <c r="G14" s="3064">
        <f ca="1">结果表!C44</f>
        <v>159289</v>
      </c>
      <c r="H14" s="3064" t="str">
        <f>结果表!C45</f>
        <v>——</v>
      </c>
      <c r="I14" s="3064" t="str">
        <f>结果表!C46</f>
        <v>——</v>
      </c>
    </row>
    <row r="15" spans="1:9" ht="15.6">
      <c r="A15" s="3067" t="s">
        <v>2865</v>
      </c>
      <c r="B15" s="3068"/>
      <c r="C15" s="3068"/>
      <c r="D15" s="3068"/>
      <c r="E15" s="3064" t="e">
        <f t="shared" ref="E15:E23" si="2">ROUND(D15*10000/B15,0)</f>
        <v>#DIV/0!</v>
      </c>
      <c r="F15" s="3064" t="e">
        <f t="shared" ref="F15:F23" si="3">ROUND(D15*10000/C15,0)</f>
        <v>#DIV/0!</v>
      </c>
      <c r="G15" s="3065"/>
      <c r="H15" s="3065"/>
      <c r="I15" s="3068"/>
    </row>
    <row r="16" spans="1:9" ht="15.6">
      <c r="A16" s="3067" t="s">
        <v>2866</v>
      </c>
      <c r="B16" s="3068"/>
      <c r="C16" s="3068"/>
      <c r="D16" s="3068"/>
      <c r="E16" s="3064" t="e">
        <f t="shared" si="2"/>
        <v>#DIV/0!</v>
      </c>
      <c r="F16" s="3064" t="e">
        <f t="shared" si="3"/>
        <v>#DIV/0!</v>
      </c>
      <c r="G16" s="3065"/>
      <c r="H16" s="3065"/>
      <c r="I16" s="3068"/>
    </row>
    <row r="17" spans="1:9" ht="15.6">
      <c r="A17" s="3067" t="s">
        <v>2867</v>
      </c>
      <c r="B17" s="3068"/>
      <c r="C17" s="3068"/>
      <c r="D17" s="3068"/>
      <c r="E17" s="3064" t="e">
        <f t="shared" si="2"/>
        <v>#DIV/0!</v>
      </c>
      <c r="F17" s="3064" t="e">
        <f t="shared" si="3"/>
        <v>#DIV/0!</v>
      </c>
      <c r="G17" s="3065"/>
      <c r="H17" s="3065"/>
      <c r="I17" s="3068"/>
    </row>
    <row r="18" spans="1:9" ht="15.6">
      <c r="A18" s="3067" t="s">
        <v>2868</v>
      </c>
      <c r="B18" s="3068"/>
      <c r="C18" s="3068"/>
      <c r="D18" s="3068"/>
      <c r="E18" s="3064" t="e">
        <f t="shared" si="2"/>
        <v>#DIV/0!</v>
      </c>
      <c r="F18" s="3064" t="e">
        <f t="shared" si="3"/>
        <v>#DIV/0!</v>
      </c>
      <c r="G18" s="3068"/>
      <c r="H18" s="3068"/>
      <c r="I18" s="3068"/>
    </row>
    <row r="19" spans="1:9" ht="15.6">
      <c r="A19" s="3067" t="s">
        <v>2869</v>
      </c>
      <c r="B19" s="3068"/>
      <c r="C19" s="3068"/>
      <c r="D19" s="3068"/>
      <c r="E19" s="3064" t="e">
        <f t="shared" si="2"/>
        <v>#DIV/0!</v>
      </c>
      <c r="F19" s="3064" t="e">
        <f t="shared" si="3"/>
        <v>#DIV/0!</v>
      </c>
      <c r="G19" s="3068"/>
      <c r="H19" s="3068"/>
      <c r="I19" s="3068"/>
    </row>
    <row r="20" spans="1:9" ht="15.6">
      <c r="A20" s="3067" t="s">
        <v>2870</v>
      </c>
      <c r="B20" s="3068"/>
      <c r="C20" s="3068"/>
      <c r="D20" s="3068"/>
      <c r="E20" s="3064" t="e">
        <f t="shared" si="2"/>
        <v>#DIV/0!</v>
      </c>
      <c r="F20" s="3064" t="e">
        <f t="shared" si="3"/>
        <v>#DIV/0!</v>
      </c>
      <c r="G20" s="3068"/>
      <c r="H20" s="3068"/>
      <c r="I20" s="3068"/>
    </row>
    <row r="21" spans="1:9" ht="15.6">
      <c r="A21" s="3067" t="s">
        <v>2871</v>
      </c>
      <c r="B21" s="3068"/>
      <c r="C21" s="3068"/>
      <c r="D21" s="3068"/>
      <c r="E21" s="3064" t="e">
        <f t="shared" si="2"/>
        <v>#DIV/0!</v>
      </c>
      <c r="F21" s="3064" t="e">
        <f t="shared" si="3"/>
        <v>#DIV/0!</v>
      </c>
      <c r="G21" s="3068"/>
      <c r="H21" s="3068"/>
      <c r="I21" s="3068"/>
    </row>
    <row r="22" spans="1:9" ht="15.6">
      <c r="A22" s="3067" t="s">
        <v>2872</v>
      </c>
      <c r="B22" s="3068"/>
      <c r="C22" s="3068"/>
      <c r="D22" s="3068"/>
      <c r="E22" s="3064" t="e">
        <f t="shared" si="2"/>
        <v>#DIV/0!</v>
      </c>
      <c r="F22" s="3064" t="e">
        <f t="shared" si="3"/>
        <v>#DIV/0!</v>
      </c>
      <c r="G22" s="3068"/>
      <c r="H22" s="3068"/>
      <c r="I22" s="3068"/>
    </row>
    <row r="23" spans="1:9" ht="15.6">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3" customWidth="1"/>
    <col min="2" max="2" width="78.21875" style="2904" customWidth="1"/>
    <col min="3" max="18" width="9" style="2898"/>
    <col min="19" max="19" width="17.88671875" style="2898" customWidth="1"/>
    <col min="20" max="51" width="9" style="2898"/>
    <col min="52" max="52" width="13.21875" style="2898" customWidth="1"/>
    <col min="53" max="53" width="13.44140625" style="2898" bestFit="1" customWidth="1"/>
    <col min="54" max="54" width="11.6640625" style="2898" bestFit="1" customWidth="1"/>
    <col min="55" max="55" width="13.44140625" style="2898" bestFit="1" customWidth="1"/>
    <col min="56" max="16384" width="9" style="2898"/>
  </cols>
  <sheetData>
    <row r="1" spans="1:55" s="2909" customFormat="1" ht="16.2" thickBot="1">
      <c r="A1" s="2907" t="s">
        <v>2660</v>
      </c>
      <c r="B1" s="2908" t="s">
        <v>2757</v>
      </c>
    </row>
    <row r="2" spans="1:55" s="2912" customFormat="1" ht="16.2"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6.2" thickBot="1">
      <c r="A5" s="2916" t="s">
        <v>2667</v>
      </c>
      <c r="B5" s="2917" t="str">
        <f>'预评函-封皮'!B49</f>
        <v>康正预评字号</v>
      </c>
    </row>
    <row r="6" spans="1:55" s="2918" customFormat="1" ht="16.2"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2020年4月3日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6.2" thickBot="1">
      <c r="A21" s="2916" t="s">
        <v>2678</v>
      </c>
      <c r="B21" s="2917" t="str">
        <f>'预评函-1'!A28</f>
        <v/>
      </c>
    </row>
    <row r="22" spans="1:48" ht="16.2"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估价期日：2020年4月3日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21467</v>
      </c>
    </row>
    <row r="47" spans="1:2">
      <c r="A47" s="2894" t="s">
        <v>2728</v>
      </c>
      <c r="B47" s="2895">
        <f ca="1">'预评函-2'!Q5</f>
        <v>3343</v>
      </c>
    </row>
    <row r="48" spans="1:2">
      <c r="A48" s="2894" t="s">
        <v>2729</v>
      </c>
      <c r="B48" s="2895">
        <f ca="1">'预评函-2'!R5</f>
        <v>160287</v>
      </c>
    </row>
    <row r="49" spans="1:2">
      <c r="A49" s="2894" t="s">
        <v>2745</v>
      </c>
      <c r="B49" s="2895" t="str">
        <f>'预评函-2'!A6</f>
        <v>抵押价格</v>
      </c>
    </row>
    <row r="50" spans="1:2">
      <c r="A50" s="2894" t="s">
        <v>2730</v>
      </c>
      <c r="B50" s="2895">
        <f ca="1">'预评函-2'!R6</f>
        <v>159289</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6.2" thickBot="1">
      <c r="A54" s="2916" t="s">
        <v>2732</v>
      </c>
      <c r="B54" s="2917" t="str">
        <f>'预评函-2'!R8</f>
        <v>——</v>
      </c>
    </row>
    <row r="55" spans="1:2" ht="16.2"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6.2" thickBot="1">
      <c r="A58" s="2916" t="s">
        <v>2733</v>
      </c>
      <c r="B58" s="2917" t="str">
        <f>'预评函-3'!A5</f>
        <v>4.影响价格的其他限定条件：无。</v>
      </c>
    </row>
    <row r="59" spans="1:2" ht="16.2"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6.2" thickBot="1">
      <c r="A68" s="2916" t="s">
        <v>2696</v>
      </c>
      <c r="B68" s="2920">
        <f>'预评函-3'!D30</f>
        <v>42558</v>
      </c>
    </row>
    <row r="69" spans="1:2" ht="16.2"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6.2" thickBot="1">
      <c r="A72" s="2916" t="s">
        <v>2695</v>
      </c>
      <c r="B72" s="2922">
        <f>'预评函-3'!B21</f>
        <v>2014110011</v>
      </c>
    </row>
    <row r="73" spans="1:2" ht="16.2"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6.2"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SheetLayoutView="100" zoomScalePageLayoutView="80" workbookViewId="0">
      <selection activeCell="C37" sqref="C37"/>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29" t="str">
        <f>项目基本情况!K2</f>
        <v>出让国有建设用地使用权</v>
      </c>
      <c r="B2" s="3730"/>
      <c r="C2" s="3731"/>
      <c r="D2" s="3731"/>
      <c r="E2" s="3731"/>
      <c r="F2" s="3731"/>
      <c r="G2" s="3730"/>
      <c r="H2" s="3730"/>
      <c r="I2" s="3732"/>
      <c r="J2" s="2021"/>
      <c r="K2" s="2020"/>
      <c r="L2" s="2020"/>
      <c r="M2" s="2020"/>
      <c r="N2" s="2020"/>
      <c r="O2" s="2020"/>
      <c r="P2" s="2020"/>
      <c r="Q2" s="2020"/>
      <c r="R2" s="2020"/>
      <c r="S2" s="2020"/>
      <c r="T2" s="2020"/>
      <c r="U2" s="2020"/>
      <c r="V2" s="2020"/>
    </row>
    <row r="3" spans="1:22" ht="13.8">
      <c r="A3" s="3740" t="s">
        <v>298</v>
      </c>
      <c r="B3" s="3741"/>
      <c r="C3" s="3741"/>
      <c r="D3" s="3741"/>
      <c r="E3" s="3741"/>
      <c r="F3" s="3741"/>
      <c r="G3" s="3741"/>
      <c r="H3" s="3741"/>
      <c r="I3" s="3741"/>
      <c r="J3" s="2021"/>
      <c r="K3" s="2020"/>
      <c r="L3" s="2020"/>
      <c r="M3" s="2020"/>
      <c r="N3" s="2020"/>
      <c r="O3" s="2020"/>
      <c r="P3" s="2020"/>
      <c r="Q3" s="2020"/>
      <c r="R3" s="2020"/>
      <c r="S3" s="2020"/>
      <c r="T3" s="2020"/>
      <c r="U3" s="2020"/>
      <c r="V3" s="2020"/>
    </row>
    <row r="4" spans="1:22" ht="14.4">
      <c r="A4" s="256" t="s">
        <v>299</v>
      </c>
      <c r="B4" s="257" t="s">
        <v>300</v>
      </c>
      <c r="C4" s="258" t="s">
        <v>3294</v>
      </c>
      <c r="D4" s="258" t="s">
        <v>3215</v>
      </c>
      <c r="E4" s="3704" t="s">
        <v>301</v>
      </c>
      <c r="F4" s="3746"/>
      <c r="G4" s="3746"/>
      <c r="H4" s="3746"/>
      <c r="I4" s="3705"/>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3.8">
      <c r="A5" s="3733" t="s">
        <v>302</v>
      </c>
      <c r="B5" s="3734">
        <v>25</v>
      </c>
      <c r="C5" s="3742"/>
      <c r="D5" s="3745"/>
      <c r="E5" s="259" t="s">
        <v>303</v>
      </c>
      <c r="F5" s="260"/>
      <c r="G5" s="260"/>
      <c r="H5" s="260"/>
      <c r="I5" s="261"/>
      <c r="J5" s="2021"/>
      <c r="K5" s="2020"/>
      <c r="L5" s="2020"/>
      <c r="M5" s="2020"/>
      <c r="N5" s="2020"/>
      <c r="O5" s="2020"/>
      <c r="P5" s="2020"/>
      <c r="Q5" s="2020"/>
      <c r="R5" s="2020"/>
      <c r="S5" s="2020"/>
      <c r="T5" s="2020"/>
      <c r="U5" s="2020"/>
      <c r="V5" s="2020"/>
    </row>
    <row r="6" spans="1:22" ht="13.8">
      <c r="A6" s="3733"/>
      <c r="B6" s="3734"/>
      <c r="C6" s="3743"/>
      <c r="D6" s="3745"/>
      <c r="E6" s="259" t="s">
        <v>304</v>
      </c>
      <c r="F6" s="260"/>
      <c r="G6" s="260"/>
      <c r="H6" s="260"/>
      <c r="I6" s="261"/>
      <c r="J6" s="2021"/>
      <c r="K6" s="2020"/>
      <c r="L6" s="2020"/>
      <c r="M6" s="2020"/>
      <c r="N6" s="2020"/>
      <c r="O6" s="2020"/>
      <c r="P6" s="2020"/>
      <c r="Q6" s="2020"/>
      <c r="R6" s="2020"/>
      <c r="S6" s="2020"/>
      <c r="T6" s="2020"/>
      <c r="U6" s="2020"/>
      <c r="V6" s="2020"/>
    </row>
    <row r="7" spans="1:22" ht="13.8">
      <c r="A7" s="3733"/>
      <c r="B7" s="3734"/>
      <c r="C7" s="3744"/>
      <c r="D7" s="3745"/>
      <c r="E7" s="259" t="s">
        <v>305</v>
      </c>
      <c r="F7" s="260"/>
      <c r="G7" s="260"/>
      <c r="H7" s="260"/>
      <c r="I7" s="261"/>
      <c r="J7" s="2021"/>
      <c r="K7" s="2020"/>
      <c r="L7" s="2020"/>
      <c r="M7" s="2020"/>
      <c r="N7" s="2020"/>
      <c r="O7" s="2020"/>
      <c r="P7" s="2020"/>
      <c r="Q7" s="2020"/>
      <c r="R7" s="2020"/>
      <c r="S7" s="2020"/>
      <c r="T7" s="2020"/>
      <c r="U7" s="2020"/>
      <c r="V7" s="2020"/>
    </row>
    <row r="8" spans="1:22" ht="13.8">
      <c r="A8" s="3733" t="s">
        <v>306</v>
      </c>
      <c r="B8" s="3734">
        <v>15</v>
      </c>
      <c r="C8" s="3742"/>
      <c r="D8" s="3745"/>
      <c r="E8" s="259" t="s">
        <v>307</v>
      </c>
      <c r="F8" s="260"/>
      <c r="G8" s="260"/>
      <c r="H8" s="260"/>
      <c r="I8" s="261"/>
      <c r="J8" s="2021"/>
      <c r="K8" s="2020"/>
      <c r="L8" s="2020"/>
      <c r="M8" s="2020"/>
      <c r="N8" s="2020"/>
      <c r="O8" s="2020"/>
      <c r="P8" s="2020"/>
      <c r="Q8" s="2020"/>
      <c r="R8" s="2020"/>
      <c r="S8" s="2020"/>
      <c r="T8" s="2020"/>
      <c r="U8" s="2020"/>
      <c r="V8" s="2020"/>
    </row>
    <row r="9" spans="1:22" ht="13.8">
      <c r="A9" s="3733"/>
      <c r="B9" s="3734"/>
      <c r="C9" s="3744"/>
      <c r="D9" s="3745"/>
      <c r="E9" s="259" t="s">
        <v>308</v>
      </c>
      <c r="F9" s="260"/>
      <c r="G9" s="260"/>
      <c r="H9" s="260"/>
      <c r="I9" s="261"/>
      <c r="J9" s="2021"/>
      <c r="K9" s="2020"/>
      <c r="L9" s="2020"/>
      <c r="M9" s="2020"/>
      <c r="N9" s="2020"/>
      <c r="O9" s="2020"/>
      <c r="P9" s="2020"/>
      <c r="Q9" s="2020"/>
      <c r="R9" s="2020"/>
      <c r="S9" s="2020"/>
      <c r="T9" s="2020"/>
      <c r="U9" s="2020"/>
      <c r="V9" s="2020"/>
    </row>
    <row r="10" spans="1:22" ht="13.8">
      <c r="A10" s="3733" t="s">
        <v>309</v>
      </c>
      <c r="B10" s="3734">
        <v>15</v>
      </c>
      <c r="C10" s="3742"/>
      <c r="D10" s="3745"/>
      <c r="E10" s="259" t="s">
        <v>310</v>
      </c>
      <c r="F10" s="260"/>
      <c r="G10" s="260"/>
      <c r="H10" s="260"/>
      <c r="I10" s="261"/>
      <c r="J10" s="2021"/>
      <c r="K10" s="2020"/>
      <c r="L10" s="2020"/>
      <c r="M10" s="2020"/>
      <c r="N10" s="2020"/>
      <c r="O10" s="2020"/>
      <c r="P10" s="2020"/>
      <c r="Q10" s="2020"/>
      <c r="R10" s="2020"/>
      <c r="S10" s="2020"/>
      <c r="T10" s="2020"/>
      <c r="U10" s="2020"/>
      <c r="V10" s="2020"/>
    </row>
    <row r="11" spans="1:22" ht="13.8">
      <c r="A11" s="3733"/>
      <c r="B11" s="3734"/>
      <c r="C11" s="3744"/>
      <c r="D11" s="3745"/>
      <c r="E11" s="259" t="s">
        <v>311</v>
      </c>
      <c r="F11" s="260"/>
      <c r="G11" s="260"/>
      <c r="H11" s="260"/>
      <c r="I11" s="261"/>
      <c r="J11" s="2021"/>
      <c r="K11" s="2020"/>
      <c r="L11" s="2020"/>
      <c r="M11" s="2020"/>
      <c r="N11" s="2020"/>
      <c r="O11" s="2020"/>
      <c r="P11" s="2020"/>
      <c r="Q11" s="2020"/>
      <c r="R11" s="2020"/>
      <c r="S11" s="2020"/>
      <c r="T11" s="2020"/>
      <c r="U11" s="2020"/>
      <c r="V11" s="2020"/>
    </row>
    <row r="12" spans="1:22" ht="13.8">
      <c r="A12" s="3733" t="s">
        <v>312</v>
      </c>
      <c r="B12" s="3734">
        <v>15</v>
      </c>
      <c r="C12" s="3742"/>
      <c r="D12" s="3745"/>
      <c r="E12" s="259" t="s">
        <v>313</v>
      </c>
      <c r="F12" s="260"/>
      <c r="G12" s="260"/>
      <c r="H12" s="260"/>
      <c r="I12" s="261"/>
      <c r="J12" s="2021"/>
      <c r="K12" s="2020"/>
      <c r="L12" s="2020"/>
      <c r="M12" s="2020"/>
      <c r="N12" s="2020"/>
      <c r="O12" s="2020"/>
      <c r="P12" s="2020"/>
      <c r="Q12" s="2020"/>
      <c r="R12" s="2020"/>
      <c r="S12" s="2020"/>
      <c r="T12" s="2020"/>
      <c r="U12" s="2020"/>
      <c r="V12" s="2020"/>
    </row>
    <row r="13" spans="1:22" ht="13.8">
      <c r="A13" s="3733"/>
      <c r="B13" s="3734"/>
      <c r="C13" s="3744"/>
      <c r="D13" s="3745"/>
      <c r="E13" s="259" t="s">
        <v>314</v>
      </c>
      <c r="F13" s="260"/>
      <c r="G13" s="260"/>
      <c r="H13" s="260"/>
      <c r="I13" s="261"/>
      <c r="J13" s="2021"/>
      <c r="K13" s="2020"/>
      <c r="L13" s="2020"/>
      <c r="M13" s="2020"/>
      <c r="N13" s="2020"/>
      <c r="O13" s="2020"/>
      <c r="P13" s="2020"/>
      <c r="Q13" s="2020"/>
      <c r="R13" s="2020"/>
      <c r="S13" s="2020"/>
      <c r="T13" s="2020"/>
      <c r="U13" s="2020"/>
      <c r="V13" s="2020"/>
    </row>
    <row r="14" spans="1:22" ht="13.8">
      <c r="A14" s="3733" t="s">
        <v>315</v>
      </c>
      <c r="B14" s="3734">
        <v>30</v>
      </c>
      <c r="C14" s="3742">
        <v>4</v>
      </c>
      <c r="D14" s="3745">
        <v>6</v>
      </c>
      <c r="E14" s="259" t="s">
        <v>316</v>
      </c>
      <c r="F14" s="260"/>
      <c r="G14" s="260"/>
      <c r="H14" s="260"/>
      <c r="I14" s="261"/>
      <c r="J14" s="2021"/>
      <c r="K14" s="2020"/>
      <c r="L14" s="2020"/>
      <c r="M14" s="2020"/>
      <c r="N14" s="2020"/>
      <c r="O14" s="2020"/>
      <c r="P14" s="2020"/>
      <c r="Q14" s="2020"/>
      <c r="R14" s="2020"/>
      <c r="S14" s="2020"/>
      <c r="T14" s="2020"/>
      <c r="U14" s="2020"/>
      <c r="V14" s="2020"/>
    </row>
    <row r="15" spans="1:22" ht="13.8">
      <c r="A15" s="3733"/>
      <c r="B15" s="3734"/>
      <c r="C15" s="3743"/>
      <c r="D15" s="3745"/>
      <c r="E15" s="259" t="s">
        <v>317</v>
      </c>
      <c r="F15" s="260"/>
      <c r="G15" s="260"/>
      <c r="H15" s="260"/>
      <c r="I15" s="261"/>
      <c r="J15" s="2021"/>
      <c r="K15" s="2020"/>
      <c r="L15" s="2020"/>
      <c r="M15" s="2020"/>
      <c r="N15" s="2020"/>
      <c r="O15" s="2020"/>
      <c r="P15" s="2020"/>
      <c r="Q15" s="2020"/>
      <c r="R15" s="2020"/>
      <c r="S15" s="2020"/>
      <c r="T15" s="2020"/>
      <c r="U15" s="2020"/>
      <c r="V15" s="2020"/>
    </row>
    <row r="16" spans="1:22" ht="13.8">
      <c r="A16" s="3733"/>
      <c r="B16" s="3734"/>
      <c r="C16" s="3744"/>
      <c r="D16" s="3745"/>
      <c r="E16" s="259" t="s">
        <v>318</v>
      </c>
      <c r="F16" s="260"/>
      <c r="G16" s="260"/>
      <c r="H16" s="260"/>
      <c r="I16" s="261"/>
      <c r="J16" s="2021"/>
      <c r="K16" s="2020"/>
      <c r="L16" s="2020"/>
      <c r="M16" s="2020"/>
      <c r="N16" s="2020"/>
      <c r="O16" s="2020"/>
      <c r="P16" s="2020"/>
      <c r="Q16" s="2020"/>
      <c r="R16" s="2020"/>
      <c r="S16" s="2020"/>
      <c r="T16" s="2020"/>
      <c r="U16" s="2020"/>
      <c r="V16" s="2020"/>
    </row>
    <row r="17" spans="1:26" ht="14.4">
      <c r="A17" s="262" t="s">
        <v>319</v>
      </c>
      <c r="B17" s="144"/>
      <c r="C17" s="263">
        <f>SUM(C5:C16)</f>
        <v>4</v>
      </c>
      <c r="D17" s="263">
        <f>SUM(D5:D16)</f>
        <v>6</v>
      </c>
      <c r="E17" s="309"/>
      <c r="F17" s="309"/>
      <c r="G17" s="309"/>
      <c r="H17" s="309"/>
      <c r="I17" s="309"/>
      <c r="J17" s="2021"/>
      <c r="K17" s="2020"/>
      <c r="L17" s="2020"/>
      <c r="M17" s="2020"/>
      <c r="N17" s="2020"/>
      <c r="O17" s="2020"/>
      <c r="P17" s="2020"/>
      <c r="Q17" s="2020"/>
      <c r="R17" s="2020"/>
      <c r="S17" s="2020"/>
      <c r="T17" s="2020"/>
      <c r="U17" s="2020"/>
      <c r="V17" s="2020"/>
    </row>
    <row r="18" spans="1:26" ht="15" thickBot="1">
      <c r="A18" s="264" t="s">
        <v>320</v>
      </c>
      <c r="B18" s="105"/>
      <c r="C18" s="265">
        <f>ROUND(C17/SUM(C17:D17),2)</f>
        <v>0.4</v>
      </c>
      <c r="D18" s="265">
        <f>1-C18</f>
        <v>0.6</v>
      </c>
      <c r="E18" s="309"/>
      <c r="F18" s="309"/>
      <c r="G18" s="309"/>
      <c r="H18" s="309"/>
      <c r="I18" s="309"/>
      <c r="J18" s="2020"/>
      <c r="K18" s="2020"/>
      <c r="L18" s="2020"/>
      <c r="M18" s="2020"/>
      <c r="N18" s="2020"/>
      <c r="O18" s="2020"/>
      <c r="P18" s="2020"/>
      <c r="Q18" s="2020"/>
      <c r="R18" s="2020"/>
      <c r="S18" s="2020"/>
      <c r="T18" s="2020"/>
      <c r="U18" s="2020"/>
      <c r="V18" s="2020"/>
    </row>
    <row r="19" spans="1:26" ht="14.4">
      <c r="A19" s="266" t="s">
        <v>321</v>
      </c>
      <c r="B19" s="267" t="s">
        <v>322</v>
      </c>
      <c r="C19" s="268">
        <f ca="1">SUMIF(INDIRECT("'"&amp;C4&amp;"'"&amp;"!A:A"),结果表!B19,INDIRECT("'"&amp;C4&amp;"'"&amp;"!B:B"))</f>
        <v>95868</v>
      </c>
      <c r="D19" s="269">
        <f ca="1">SUMIF(INDIRECT("'"&amp;D4&amp;"'"&amp;"!A:A"),结果表!B19,INDIRECT("'"&amp;D4&amp;"'"&amp;"!B:B"))</f>
        <v>203233</v>
      </c>
      <c r="E19" s="266" t="s">
        <v>323</v>
      </c>
      <c r="F19" s="267" t="s">
        <v>322</v>
      </c>
      <c r="G19" s="270">
        <f ca="1">ROUND(C19*$C$18+D19*$D$18,0)</f>
        <v>160287</v>
      </c>
      <c r="H19" s="271" t="s">
        <v>324</v>
      </c>
      <c r="I19" s="309"/>
      <c r="J19" s="2020"/>
      <c r="K19" s="2020"/>
      <c r="L19" s="2020"/>
      <c r="M19" s="2020"/>
      <c r="N19" s="2020"/>
      <c r="O19" s="2020"/>
      <c r="P19" s="2020"/>
      <c r="Q19" s="2020"/>
      <c r="R19" s="2020"/>
      <c r="S19" s="2020"/>
      <c r="T19" s="2020"/>
      <c r="U19" s="2020"/>
      <c r="V19" s="2020"/>
    </row>
    <row r="20" spans="1:26" ht="14.4">
      <c r="A20" s="272"/>
      <c r="B20" s="273" t="s">
        <v>325</v>
      </c>
      <c r="C20" s="274">
        <f ca="1">SUMIF(INDIRECT("'"&amp;C4&amp;"'"&amp;"!A:A"),结果表!B20,INDIRECT("'"&amp;C4&amp;"'"&amp;"!B:B"))</f>
        <v>1999</v>
      </c>
      <c r="D20" s="275">
        <f ca="1">SUMIF(INDIRECT("'"&amp;D4&amp;"'"&amp;"!A:A"),结果表!B20,INDIRECT("'"&amp;D4&amp;"'"&amp;"!B:B"))</f>
        <v>4238</v>
      </c>
      <c r="E20" s="272"/>
      <c r="F20" s="273" t="s">
        <v>325</v>
      </c>
      <c r="G20" s="276">
        <f ca="1">ROUND(C20*$C$18+D20*$D$18,0)</f>
        <v>3342</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12840</v>
      </c>
      <c r="D21" s="151">
        <f ca="1">SUMIF(INDIRECT("'"&amp;D4&amp;"'"&amp;"!A:A"),结果表!B21,INDIRECT("'"&amp;D4&amp;"'"&amp;"!B:B"))</f>
        <v>27219</v>
      </c>
      <c r="E21" s="272"/>
      <c r="F21" s="278" t="s">
        <v>327</v>
      </c>
      <c r="G21" s="280">
        <f ca="1">ROUND(C21*$C$18+D21*$D$18,0)</f>
        <v>21467</v>
      </c>
      <c r="H21" s="1244" t="s">
        <v>326</v>
      </c>
      <c r="I21" s="309"/>
      <c r="J21" s="2020"/>
      <c r="K21" s="2020"/>
      <c r="L21" s="2020"/>
      <c r="M21" s="2020"/>
      <c r="N21" s="2020"/>
      <c r="O21" s="2020"/>
      <c r="P21" s="2020"/>
      <c r="Q21" s="2020"/>
      <c r="R21" s="2020"/>
      <c r="S21" s="2020"/>
      <c r="T21" s="2020"/>
      <c r="U21" s="2020"/>
      <c r="V21" s="2020"/>
    </row>
    <row r="22" spans="1:26" ht="15" thickBot="1">
      <c r="A22" s="126" t="s">
        <v>328</v>
      </c>
      <c r="B22" s="1245"/>
      <c r="C22" s="1246"/>
      <c r="D22" s="281">
        <f ca="1">IF(C19&lt;D19,D19/C19-1,C19/D19-1)</f>
        <v>1.11992531397338</v>
      </c>
      <c r="E22" s="282"/>
      <c r="F22" s="283"/>
      <c r="G22" s="284">
        <f ca="1">ROUND(G19/('数据-汇总表'!D3/666.67),0)</f>
        <v>1431</v>
      </c>
      <c r="H22" s="285" t="s">
        <v>329</v>
      </c>
      <c r="I22" s="309"/>
      <c r="J22" s="2020"/>
      <c r="K22" s="2020"/>
      <c r="L22" s="2020"/>
      <c r="M22" s="2020"/>
      <c r="N22" s="2020"/>
      <c r="O22" s="2020"/>
      <c r="P22" s="2020"/>
      <c r="Q22" s="2020"/>
      <c r="R22" s="2020"/>
      <c r="S22" s="2020"/>
      <c r="T22" s="2020"/>
      <c r="U22" s="2020"/>
      <c r="V22" s="2020"/>
    </row>
    <row r="23" spans="1:26" ht="13.8"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706"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7.399999999999999">
      <c r="A25" s="3748"/>
      <c r="B25" s="1314" t="s">
        <v>331</v>
      </c>
      <c r="C25" s="288">
        <f>IF(B30=0,0,C30)</f>
        <v>0</v>
      </c>
      <c r="D25" s="289"/>
      <c r="E25" s="309"/>
      <c r="F25" s="309"/>
      <c r="G25" s="309"/>
      <c r="H25" s="309"/>
      <c r="I25" s="309"/>
      <c r="J25" s="2020"/>
      <c r="K25" s="1248" t="str">
        <f ca="1">项目基本情况!B16&amp;"国有建设用地使用权价格："&amp;O38&amp;"万元"</f>
        <v>出让国有建设用地使用权价格：160287万元</v>
      </c>
      <c r="L25" s="1249"/>
      <c r="M25" s="1249"/>
      <c r="N25" s="1249"/>
      <c r="O25" s="1250"/>
      <c r="P25" s="2020"/>
      <c r="Q25" s="2020"/>
      <c r="R25" s="2020"/>
      <c r="S25" s="2020"/>
      <c r="T25" s="2020"/>
      <c r="U25" s="2020"/>
      <c r="V25" s="2020"/>
    </row>
    <row r="26" spans="1:26" s="1247" customFormat="1" ht="17.399999999999999">
      <c r="A26" s="291" t="s">
        <v>332</v>
      </c>
      <c r="B26" s="292" t="s">
        <v>333</v>
      </c>
      <c r="C26" s="292" t="s">
        <v>334</v>
      </c>
      <c r="D26" s="293" t="s">
        <v>335</v>
      </c>
      <c r="E26" s="309"/>
      <c r="F26" s="309"/>
      <c r="G26" s="309"/>
      <c r="H26" s="309"/>
      <c r="I26" s="309"/>
      <c r="J26" s="2020"/>
      <c r="K26" s="1251" t="str">
        <f ca="1">"大写金额：人民币"&amp;NUMBERSTRING(INT(O38*10000),2)&amp;"元整"</f>
        <v>大写金额：人民币壹拾陆亿零贰佰捌拾柒万元整</v>
      </c>
      <c r="L26" s="1245"/>
      <c r="M26" s="1245"/>
      <c r="N26" s="1245"/>
      <c r="O26" s="1244"/>
      <c r="P26" s="2020"/>
      <c r="Q26" s="2020"/>
      <c r="R26" s="2020"/>
      <c r="S26" s="2020"/>
      <c r="T26" s="2020"/>
      <c r="U26" s="2020"/>
      <c r="V26" s="2020"/>
      <c r="W26" s="290"/>
      <c r="X26" s="290"/>
      <c r="Y26" s="290"/>
      <c r="Z26" s="290"/>
    </row>
    <row r="27" spans="1:26" ht="17.399999999999999">
      <c r="A27" s="291"/>
      <c r="B27" s="292"/>
      <c r="C27" s="292"/>
      <c r="D27" s="293"/>
      <c r="E27" s="309"/>
      <c r="F27" s="309"/>
      <c r="G27" s="309"/>
      <c r="H27" s="309"/>
      <c r="I27" s="309"/>
      <c r="J27" s="2020"/>
      <c r="K27" s="1251" t="str">
        <f ca="1">"单位面积地价："&amp;M38&amp;"元/平方米"</f>
        <v>单位面积地价：21467元/平方米</v>
      </c>
      <c r="L27" s="1245"/>
      <c r="M27" s="1245"/>
      <c r="N27" s="1245"/>
      <c r="O27" s="1244"/>
      <c r="P27" s="2020"/>
      <c r="Q27" s="2020"/>
      <c r="R27" s="2020"/>
      <c r="S27" s="2020"/>
      <c r="T27" s="2020"/>
      <c r="U27" s="2020"/>
      <c r="V27" s="2020"/>
    </row>
    <row r="28" spans="1:26" ht="18.75" customHeight="1">
      <c r="A28" s="291"/>
      <c r="B28" s="292"/>
      <c r="C28" s="292"/>
      <c r="D28" s="293"/>
      <c r="E28" s="309"/>
      <c r="F28" s="309"/>
      <c r="G28" s="309"/>
      <c r="H28" s="309"/>
      <c r="I28" s="309"/>
      <c r="J28" s="2020"/>
      <c r="K28" s="1251" t="str">
        <f ca="1">"楼面地价："&amp;N38&amp;"元/平方米"</f>
        <v>楼面地价：3343元/平方米</v>
      </c>
      <c r="L28" s="1245"/>
      <c r="M28" s="1245"/>
      <c r="N28" s="1245"/>
      <c r="O28" s="1244"/>
      <c r="P28" s="2020"/>
      <c r="V28" s="2020"/>
    </row>
    <row r="29" spans="1:26" ht="17.399999999999999">
      <c r="A29" s="291"/>
      <c r="B29" s="292"/>
      <c r="C29" s="292"/>
      <c r="D29" s="293"/>
      <c r="E29" s="309"/>
      <c r="F29" s="309"/>
      <c r="G29" s="309"/>
      <c r="H29" s="309"/>
      <c r="I29" s="309"/>
      <c r="J29" s="2020"/>
      <c r="K29" s="1251" t="str">
        <f ca="1">IF(OR(项目基本情况!E8="抵押价格",项目基本情况!E8="已注销及未注销"),"抵押价格："&amp;O39&amp;"万元","——")</f>
        <v>抵押价格：159289万元</v>
      </c>
      <c r="L29" s="1245"/>
      <c r="M29" s="1245"/>
      <c r="N29" s="1245"/>
      <c r="O29" s="1244"/>
      <c r="P29" s="2020"/>
      <c r="V29" s="2020"/>
    </row>
    <row r="30" spans="1:26" ht="18" thickBot="1">
      <c r="A30" s="3148" t="s">
        <v>336</v>
      </c>
      <c r="B30" s="307"/>
      <c r="C30" s="307"/>
      <c r="D30" s="308"/>
      <c r="E30" s="3149" t="s">
        <v>2971</v>
      </c>
      <c r="F30" s="309"/>
      <c r="G30" s="309"/>
      <c r="H30" s="309"/>
      <c r="I30" s="309"/>
      <c r="J30" s="2020"/>
      <c r="K30" s="1251" t="str">
        <f ca="1">IF(K29="——","——","大写金额：人民币"&amp;NUMBERSTRING(INT(O39*10000),2)&amp;"元整")</f>
        <v>大写金额：人民币壹拾伍亿玖仟贰佰捌拾玖万元整</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v>
      </c>
      <c r="L31" s="2480"/>
      <c r="M31" s="2480"/>
      <c r="N31" s="2480"/>
      <c r="O31" s="2481"/>
      <c r="P31" s="2020"/>
      <c r="V31" s="2020"/>
    </row>
    <row r="32" spans="1:26" ht="18" thickBot="1">
      <c r="A32" s="266" t="s">
        <v>337</v>
      </c>
      <c r="B32" s="1373" t="s">
        <v>1687</v>
      </c>
      <c r="C32" s="1374">
        <f ca="1">G19-C24</f>
        <v>160287</v>
      </c>
      <c r="D32" s="1375" t="s">
        <v>1688</v>
      </c>
      <c r="E32" s="309"/>
      <c r="F32" s="309"/>
      <c r="G32" s="309"/>
      <c r="H32" s="309"/>
      <c r="I32" s="309"/>
      <c r="J32" s="2020"/>
      <c r="K32" s="2479" t="str">
        <f>IF(K31="——","——","大写金额：人民币"&amp;NUMBERSTRING(INT(O40*10000),2)&amp;"元整")</f>
        <v>——</v>
      </c>
      <c r="L32" s="2482"/>
      <c r="M32" s="2482"/>
      <c r="N32" s="2482"/>
      <c r="O32" s="2483"/>
      <c r="P32" s="2020"/>
      <c r="V32" s="2020"/>
    </row>
    <row r="33" spans="1:26" ht="18" thickBot="1">
      <c r="A33" s="296" t="s">
        <v>340</v>
      </c>
      <c r="B33" s="1376" t="s">
        <v>1689</v>
      </c>
      <c r="C33" s="262">
        <f ca="1">ROUND(C32*10000/'数据-汇总表'!E3,0)</f>
        <v>3343</v>
      </c>
      <c r="D33" s="1377" t="s">
        <v>1690</v>
      </c>
      <c r="E33" s="3706" t="s">
        <v>338</v>
      </c>
      <c r="F33" s="294" t="s">
        <v>339</v>
      </c>
      <c r="G33" s="295"/>
      <c r="H33" s="973"/>
      <c r="I33" s="1252"/>
      <c r="J33" s="2020"/>
      <c r="K33" s="1251" t="str">
        <f>IF(项目基本情况!E9="——","——","抵押净值："&amp;C46&amp;"万元")</f>
        <v>——</v>
      </c>
      <c r="L33" s="1245"/>
      <c r="M33" s="1245"/>
      <c r="N33" s="1245"/>
      <c r="O33" s="1244"/>
      <c r="P33" s="2020"/>
      <c r="V33" s="2020"/>
    </row>
    <row r="34" spans="1:26" s="1247" customFormat="1" ht="18" thickBot="1">
      <c r="A34" s="298"/>
      <c r="B34" s="1378" t="s">
        <v>1691</v>
      </c>
      <c r="C34" s="262">
        <f ca="1">ROUND(C32*10000/'数据-汇总表'!D3,0)</f>
        <v>21467</v>
      </c>
      <c r="D34" s="1379" t="s">
        <v>1690</v>
      </c>
      <c r="E34" s="3707"/>
      <c r="F34" s="127" t="s">
        <v>341</v>
      </c>
      <c r="G34" s="297"/>
      <c r="H34" s="105"/>
      <c r="I34" s="309"/>
      <c r="J34" s="2020"/>
      <c r="K34" s="1254" t="str">
        <f>IF(K33="——","——","大写金额：人民币"&amp;NUMBERSTRING(INT(O41*10000),2)&amp;"元整")</f>
        <v>——</v>
      </c>
      <c r="L34" s="1255"/>
      <c r="M34" s="1255"/>
      <c r="N34" s="1255"/>
      <c r="O34" s="1256"/>
      <c r="P34" s="2020"/>
      <c r="Q34" s="290"/>
      <c r="R34" s="290"/>
      <c r="S34" s="290"/>
      <c r="T34" s="290"/>
      <c r="U34" s="290"/>
      <c r="V34" s="2020"/>
      <c r="W34" s="290"/>
      <c r="X34" s="290"/>
      <c r="Y34" s="290"/>
      <c r="Z34" s="290"/>
    </row>
    <row r="35" spans="1:26" ht="15" thickBot="1">
      <c r="A35" s="282"/>
      <c r="B35" s="1380"/>
      <c r="C35" s="1381">
        <f ca="1">ROUND(C32/('数据-汇总表'!D3/666.67),0)</f>
        <v>1431</v>
      </c>
      <c r="D35" s="1382" t="s">
        <v>1692</v>
      </c>
      <c r="E35" s="3708"/>
      <c r="F35" s="299" t="s">
        <v>342</v>
      </c>
      <c r="G35" s="975">
        <f>E37</f>
        <v>998</v>
      </c>
      <c r="H35" s="974" t="s">
        <v>343</v>
      </c>
      <c r="I35" s="309"/>
      <c r="J35" s="2020"/>
      <c r="K35" s="3712" t="s">
        <v>350</v>
      </c>
      <c r="L35" s="3712" t="s">
        <v>351</v>
      </c>
      <c r="M35" s="1257" t="s">
        <v>352</v>
      </c>
      <c r="N35" s="3712" t="s">
        <v>353</v>
      </c>
      <c r="O35" s="3712" t="s">
        <v>354</v>
      </c>
      <c r="P35" s="2020"/>
      <c r="V35" s="2020"/>
    </row>
    <row r="36" spans="1:26" ht="16.5" customHeight="1">
      <c r="A36" s="301" t="s">
        <v>344</v>
      </c>
      <c r="B36" s="302" t="s">
        <v>333</v>
      </c>
      <c r="C36" s="303" t="s">
        <v>345</v>
      </c>
      <c r="D36" s="303" t="s">
        <v>346</v>
      </c>
      <c r="E36" s="304" t="s">
        <v>347</v>
      </c>
      <c r="F36" s="309"/>
      <c r="G36" s="309"/>
      <c r="H36" s="309"/>
      <c r="I36" s="309"/>
      <c r="J36" s="2022"/>
      <c r="K36" s="3713"/>
      <c r="L36" s="3713"/>
      <c r="M36" s="1259" t="s">
        <v>355</v>
      </c>
      <c r="N36" s="3713"/>
      <c r="O36" s="3713"/>
      <c r="P36" s="2020"/>
      <c r="V36" s="2020"/>
    </row>
    <row r="37" spans="1:26" ht="16.5" customHeight="1" thickBot="1">
      <c r="A37" s="1253" t="s">
        <v>348</v>
      </c>
      <c r="B37" s="305">
        <f>'数据-汇总表'!G20</f>
        <v>15779</v>
      </c>
      <c r="C37" s="292">
        <f>1228/2</f>
        <v>614</v>
      </c>
      <c r="D37" s="3572">
        <v>3.0499999999999999E-2</v>
      </c>
      <c r="E37" s="293">
        <f>ROUND(B37*C37*(1+D37)/10000,0)</f>
        <v>998</v>
      </c>
      <c r="F37" s="309"/>
      <c r="G37" s="309"/>
      <c r="H37" s="309"/>
      <c r="I37" s="309"/>
      <c r="J37" s="2022"/>
      <c r="K37" s="3714"/>
      <c r="L37" s="3714"/>
      <c r="M37" s="1260"/>
      <c r="N37" s="3714"/>
      <c r="O37" s="3714"/>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21467</v>
      </c>
      <c r="N38" s="1262">
        <f ca="1">C33</f>
        <v>3343</v>
      </c>
      <c r="O38" s="1263">
        <f ca="1">C32</f>
        <v>160287</v>
      </c>
      <c r="P38" s="2020"/>
      <c r="V38" s="2020"/>
    </row>
    <row r="39" spans="1:26" ht="16.5" customHeight="1" thickBot="1">
      <c r="A39" s="1258"/>
      <c r="B39" s="306"/>
      <c r="C39" s="307"/>
      <c r="D39" s="307"/>
      <c r="E39" s="308"/>
      <c r="F39" s="309"/>
      <c r="G39" s="309"/>
      <c r="H39" s="309"/>
      <c r="I39" s="309"/>
      <c r="J39" s="2022"/>
      <c r="K39" s="3689" t="str">
        <f>MID(A44,3,LEN(A44)-2)</f>
        <v>抵押价格</v>
      </c>
      <c r="L39" s="3690"/>
      <c r="M39" s="3690"/>
      <c r="N39" s="3691"/>
      <c r="O39" s="1384">
        <f ca="1">C44</f>
        <v>159289</v>
      </c>
      <c r="P39" s="2020"/>
      <c r="V39" s="2020"/>
    </row>
    <row r="40" spans="1:26" ht="18" thickBot="1">
      <c r="A40" s="104" t="s">
        <v>873</v>
      </c>
      <c r="B40" s="309"/>
      <c r="C40" s="309"/>
      <c r="D40" s="309"/>
      <c r="E40" s="309"/>
      <c r="F40" s="309"/>
      <c r="G40" s="309"/>
      <c r="H40" s="309"/>
      <c r="I40" s="309"/>
      <c r="J40" s="2022"/>
      <c r="K40" s="3689" t="str">
        <f t="shared" ref="K40:K41" si="0">MID(A45,3,LEN(A45)-2)</f>
        <v/>
      </c>
      <c r="L40" s="3690"/>
      <c r="M40" s="3690"/>
      <c r="N40" s="3691"/>
      <c r="O40" s="1384" t="str">
        <f>C45</f>
        <v>——</v>
      </c>
      <c r="P40" s="2020"/>
      <c r="V40" s="2020"/>
    </row>
    <row r="41" spans="1:26" ht="16.2" thickBot="1">
      <c r="A41" s="310" t="s">
        <v>356</v>
      </c>
      <c r="B41" s="311"/>
      <c r="C41" s="312" t="s">
        <v>357</v>
      </c>
      <c r="D41" s="313" t="s">
        <v>358</v>
      </c>
      <c r="E41" s="313" t="s">
        <v>359</v>
      </c>
      <c r="F41" s="314" t="s">
        <v>360</v>
      </c>
      <c r="G41" s="309"/>
      <c r="H41" s="309"/>
      <c r="I41" s="309"/>
      <c r="J41" s="2022"/>
      <c r="K41" s="3689" t="str">
        <f t="shared" si="0"/>
        <v/>
      </c>
      <c r="L41" s="3690"/>
      <c r="M41" s="3690"/>
      <c r="N41" s="3691"/>
      <c r="O41" s="1384" t="str">
        <f>C46</f>
        <v>——</v>
      </c>
      <c r="P41" s="2020"/>
      <c r="V41" s="2020"/>
    </row>
    <row r="42" spans="1:26" ht="31.2">
      <c r="A42" s="3749" t="s">
        <v>2068</v>
      </c>
      <c r="B42" s="3750"/>
      <c r="C42" s="262">
        <f ca="1">C32</f>
        <v>160287</v>
      </c>
      <c r="D42" s="315">
        <f ca="1">C33</f>
        <v>3343</v>
      </c>
      <c r="E42" s="315">
        <f ca="1">C34</f>
        <v>21467</v>
      </c>
      <c r="F42" s="316">
        <f ca="1">C35</f>
        <v>1431</v>
      </c>
      <c r="G42" s="309"/>
      <c r="H42" s="309"/>
      <c r="I42" s="317"/>
      <c r="J42" s="2022"/>
      <c r="K42" s="1264" t="s">
        <v>361</v>
      </c>
      <c r="L42" s="2039" t="s">
        <v>362</v>
      </c>
      <c r="M42" s="1265" t="s">
        <v>363</v>
      </c>
      <c r="N42" s="2040" t="s">
        <v>364</v>
      </c>
      <c r="O42" s="2041" t="s">
        <v>365</v>
      </c>
      <c r="P42" s="2020"/>
      <c r="V42" s="2020"/>
    </row>
    <row r="43" spans="1:26" ht="30">
      <c r="A43" s="3759" t="s">
        <v>2734</v>
      </c>
      <c r="B43" s="3760"/>
      <c r="C43" s="262">
        <f>IF(H33="正常操作",G33+G34+G35,G34+G35)</f>
        <v>998</v>
      </c>
      <c r="D43" s="315" t="s">
        <v>43</v>
      </c>
      <c r="E43" s="315" t="s">
        <v>44</v>
      </c>
      <c r="F43" s="316" t="s">
        <v>44</v>
      </c>
      <c r="G43" s="2883" t="s">
        <v>952</v>
      </c>
      <c r="H43" s="309"/>
      <c r="I43" s="317"/>
      <c r="J43" s="2022"/>
      <c r="K43" s="1266" t="str">
        <f>C4</f>
        <v>比较法-住宅、综合</v>
      </c>
      <c r="L43" s="1267">
        <f ca="1">IF(L42="估价结果/万元",C19,C20)</f>
        <v>95868</v>
      </c>
      <c r="M43" s="1268">
        <f>C18</f>
        <v>0.4</v>
      </c>
      <c r="N43" s="1269">
        <f ca="1">IF(N42="测算结果/万元",G19,G20)</f>
        <v>160287</v>
      </c>
      <c r="O43" s="1270">
        <f ca="1">IF(O42="最终结果/万元",C32,C33)</f>
        <v>160287</v>
      </c>
      <c r="P43" s="2020"/>
      <c r="V43" s="2020"/>
    </row>
    <row r="44" spans="1:26" ht="30.6" thickBot="1">
      <c r="A44" s="3749" t="str">
        <f>IF(OR(项目基本情况!E8="抵押价格",项目基本情况!E8="已注销及未注销"),"3.抵押价格","——")</f>
        <v>3.抵押价格</v>
      </c>
      <c r="B44" s="3750"/>
      <c r="C44" s="262">
        <f ca="1">IF(A44="——","——",C42-C43)</f>
        <v>159289</v>
      </c>
      <c r="D44" s="315">
        <f ca="1">ROUND(C44*10000/'数据-汇总表'!E3,0)</f>
        <v>3322</v>
      </c>
      <c r="E44" s="315">
        <f ca="1">ROUND(C44*10000/'数据-汇总表'!D3,0)</f>
        <v>21334</v>
      </c>
      <c r="F44" s="316">
        <f ca="1">ROUND(C44/('数据-汇总表'!D3/666.67),0)</f>
        <v>1422</v>
      </c>
      <c r="G44" s="309"/>
      <c r="H44" s="309"/>
      <c r="I44" s="317"/>
      <c r="J44" s="2022"/>
      <c r="K44" s="1271" t="str">
        <f>D4</f>
        <v>剩余法-待开发</v>
      </c>
      <c r="L44" s="1272">
        <f ca="1">IF(L42="估价结果/万元",D19,D20)</f>
        <v>203233</v>
      </c>
      <c r="M44" s="1273">
        <f>D18</f>
        <v>0.6</v>
      </c>
      <c r="N44" s="1274"/>
      <c r="O44" s="1275"/>
      <c r="P44" s="2020"/>
      <c r="V44" s="2020"/>
    </row>
    <row r="45" spans="1:26" ht="13.8">
      <c r="A45" s="3754" t="str">
        <f>IF(项目基本情况!E8="已注销及未注销","4.抵押担保权已注销时的抵押价格",IF(项目基本情况!E8="已注销","3.抵押担保权已注销时的抵押价格","——"))</f>
        <v>——</v>
      </c>
      <c r="B45" s="3755"/>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4.4" thickBot="1">
      <c r="A46" s="3751" t="str">
        <f>IF(项目基本情况!E9="抵押净值",IF(A45="——","4.抵押净值","5.抵押净值"),"——")</f>
        <v>——</v>
      </c>
      <c r="B46" s="3752"/>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6">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本次评估估价师知悉的法定优先受偿款为人民币998万元整。</v>
      </c>
      <c r="L47" s="2020"/>
      <c r="M47" s="2020"/>
      <c r="N47" s="2020"/>
      <c r="O47" s="2020"/>
      <c r="P47" s="2020"/>
      <c r="Q47" s="2020"/>
      <c r="R47" s="2020"/>
      <c r="S47" s="2020"/>
      <c r="T47" s="2020"/>
      <c r="U47" s="2020"/>
      <c r="V47" s="2020"/>
    </row>
    <row r="48" spans="1:26" ht="13.2">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3.2">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3.2">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3.2">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3.2">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3.2">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3.2">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3.2">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3.2">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3.2">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3.2">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3.2">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3.2">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3.2">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7.399999999999999">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717" t="s">
        <v>374</v>
      </c>
      <c r="B63" s="3718"/>
      <c r="C63" s="3719"/>
      <c r="D63" s="339">
        <f ca="1">ROUND(C42*F63,0)</f>
        <v>96172</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56" t="s">
        <v>378</v>
      </c>
      <c r="B64" s="3757"/>
      <c r="C64" s="3757"/>
      <c r="D64" s="3757"/>
      <c r="E64" s="3757"/>
      <c r="F64" s="3757"/>
      <c r="G64" s="3758"/>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6.4">
      <c r="A66" s="3753" t="s">
        <v>386</v>
      </c>
      <c r="B66" s="3724"/>
      <c r="C66" s="3724"/>
      <c r="D66" s="259">
        <f ca="1">IF(H66="情况1",0,IF(H66="情况2",D70,IF(H66="情况3",D71,IF(H66="情况4",D72))))</f>
        <v>5129</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693" t="s">
        <v>385</v>
      </c>
      <c r="M66" s="3694"/>
      <c r="N66" s="2474"/>
      <c r="O66" s="2475"/>
      <c r="P66" s="2476"/>
      <c r="Q66" s="2020"/>
      <c r="R66" s="2020"/>
      <c r="S66" s="2020"/>
      <c r="T66" s="2020"/>
      <c r="U66" s="2020"/>
      <c r="V66" s="2020"/>
    </row>
    <row r="67" spans="1:22" ht="25.5" customHeight="1">
      <c r="A67" s="350" t="s">
        <v>390</v>
      </c>
      <c r="B67" s="3736" t="s">
        <v>391</v>
      </c>
      <c r="C67" s="3736"/>
      <c r="D67" s="351">
        <v>0</v>
      </c>
      <c r="E67" s="41" t="s">
        <v>392</v>
      </c>
      <c r="F67" s="62" t="s">
        <v>21</v>
      </c>
      <c r="G67" s="3720"/>
      <c r="H67" s="309"/>
      <c r="I67" s="1285"/>
      <c r="J67" s="2027"/>
      <c r="K67" s="1968">
        <v>2</v>
      </c>
      <c r="L67" s="3692" t="s">
        <v>389</v>
      </c>
      <c r="M67" s="3692"/>
      <c r="N67" s="1318">
        <f>'数据-取费表'!B2</f>
        <v>43924</v>
      </c>
      <c r="O67" s="1318"/>
      <c r="P67" s="1318"/>
      <c r="Q67" s="2020"/>
      <c r="R67" s="2020"/>
      <c r="S67" s="2020"/>
      <c r="T67" s="2020"/>
      <c r="U67" s="2020"/>
      <c r="V67" s="2020"/>
    </row>
    <row r="68" spans="1:22" ht="25.5" customHeight="1">
      <c r="A68" s="352"/>
      <c r="B68" s="3736" t="s">
        <v>394</v>
      </c>
      <c r="C68" s="3736"/>
      <c r="D68" s="353"/>
      <c r="E68" s="77"/>
      <c r="F68" s="354"/>
      <c r="G68" s="3721"/>
      <c r="H68" s="309"/>
      <c r="I68" s="1285"/>
      <c r="J68" s="2027"/>
      <c r="K68" s="1968">
        <v>3</v>
      </c>
      <c r="L68" s="3692" t="s">
        <v>393</v>
      </c>
      <c r="M68" s="3692"/>
      <c r="N68" s="1286">
        <f ca="1">C42</f>
        <v>160287</v>
      </c>
      <c r="O68" s="1286"/>
      <c r="P68" s="1286"/>
      <c r="Q68" s="2020"/>
      <c r="R68" s="2020"/>
      <c r="S68" s="2020"/>
      <c r="T68" s="2020"/>
      <c r="U68" s="2020"/>
      <c r="V68" s="2020"/>
    </row>
    <row r="69" spans="1:22" ht="12" customHeight="1">
      <c r="A69" s="355"/>
      <c r="B69" s="3736" t="s">
        <v>395</v>
      </c>
      <c r="C69" s="3736"/>
      <c r="D69" s="356"/>
      <c r="E69" s="73"/>
      <c r="F69" s="354"/>
      <c r="G69" s="3722"/>
      <c r="H69" s="309"/>
      <c r="I69" s="1285"/>
      <c r="J69" s="2027"/>
      <c r="K69" s="1287">
        <v>4</v>
      </c>
      <c r="L69" s="3698" t="s">
        <v>2887</v>
      </c>
      <c r="M69" s="3699"/>
      <c r="N69" s="1288">
        <f ca="1">C44</f>
        <v>159289</v>
      </c>
      <c r="O69" s="1288"/>
      <c r="P69" s="1288"/>
      <c r="Q69" s="2020"/>
      <c r="R69" s="2020"/>
      <c r="S69" s="2020"/>
      <c r="T69" s="2020"/>
      <c r="U69" s="2020"/>
      <c r="V69" s="2020"/>
    </row>
    <row r="70" spans="1:22" ht="24" customHeight="1">
      <c r="A70" s="357" t="s">
        <v>396</v>
      </c>
      <c r="B70" s="3736" t="s">
        <v>397</v>
      </c>
      <c r="C70" s="3736"/>
      <c r="D70" s="356">
        <f ca="1">ROUND(D63*'数据-取费表'!B41/(1+'数据-取费表'!C42),0)</f>
        <v>5129</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735" t="s">
        <v>405</v>
      </c>
      <c r="C71" s="3747"/>
      <c r="D71" s="356">
        <f ca="1">ROUND(D63*'数据-取费表'!B41/(1+'数据-取费表'!C42),0)</f>
        <v>5129</v>
      </c>
      <c r="E71" s="17" t="s">
        <v>398</v>
      </c>
      <c r="F71" s="358">
        <f>'数据-取费表'!B41</f>
        <v>5.6000000000000001E-2</v>
      </c>
      <c r="G71" s="359"/>
      <c r="H71" s="309"/>
      <c r="I71" s="1285"/>
      <c r="J71" s="2027"/>
      <c r="K71" s="3076" t="s">
        <v>399</v>
      </c>
      <c r="L71" s="3700" t="s">
        <v>400</v>
      </c>
      <c r="M71" s="3700"/>
      <c r="N71" s="3076" t="s">
        <v>401</v>
      </c>
      <c r="O71" s="3076" t="s">
        <v>402</v>
      </c>
      <c r="P71" s="3076" t="s">
        <v>403</v>
      </c>
      <c r="Q71" s="2020"/>
      <c r="R71" s="2020"/>
      <c r="S71" s="2020"/>
      <c r="T71" s="2020"/>
      <c r="U71" s="2020"/>
      <c r="V71" s="2020"/>
    </row>
    <row r="72" spans="1:22" ht="12" customHeight="1">
      <c r="A72" s="357" t="s">
        <v>407</v>
      </c>
      <c r="B72" s="3735" t="s">
        <v>408</v>
      </c>
      <c r="C72" s="3747"/>
      <c r="D72" s="356">
        <f ca="1">C86</f>
        <v>5017</v>
      </c>
      <c r="E72" s="73" t="s">
        <v>409</v>
      </c>
      <c r="F72" s="358">
        <f>'数据-取费表'!B41</f>
        <v>5.6000000000000001E-2</v>
      </c>
      <c r="G72" s="359"/>
      <c r="H72" s="1291"/>
      <c r="I72" s="1285"/>
      <c r="J72" s="2027"/>
      <c r="K72" s="1968">
        <v>1</v>
      </c>
      <c r="L72" s="3697" t="s">
        <v>406</v>
      </c>
      <c r="M72" s="3697"/>
      <c r="N72" s="1289">
        <f ca="1">D66</f>
        <v>5129</v>
      </c>
      <c r="O72" s="1851" t="str">
        <f>E66</f>
        <v>销售额×税（费）率</v>
      </c>
      <c r="P72" s="1290">
        <f>F66</f>
        <v>5.6000000000000001E-2</v>
      </c>
      <c r="Q72" s="2020"/>
      <c r="R72" s="2020"/>
      <c r="S72" s="2020"/>
      <c r="T72" s="2020"/>
      <c r="U72" s="2020"/>
      <c r="V72" s="2020"/>
    </row>
    <row r="73" spans="1:22" ht="24" customHeight="1">
      <c r="A73" s="3723" t="s">
        <v>411</v>
      </c>
      <c r="B73" s="3724"/>
      <c r="C73" s="3724"/>
      <c r="D73" s="360">
        <f>IF(H73="个人住宅",0,ROUND(D63*I73,0))</f>
        <v>0</v>
      </c>
      <c r="E73" s="17" t="s">
        <v>412</v>
      </c>
      <c r="F73" s="358" t="str">
        <f>IF(H73="正常",I73,"免征")</f>
        <v>免征</v>
      </c>
      <c r="G73" s="359"/>
      <c r="H73" s="191" t="s">
        <v>2458</v>
      </c>
      <c r="I73" s="358">
        <f>'数据-取费表'!B49</f>
        <v>5.0000000000000001E-4</v>
      </c>
      <c r="J73" s="2027"/>
      <c r="K73" s="1968">
        <v>2</v>
      </c>
      <c r="L73" s="3697" t="s">
        <v>410</v>
      </c>
      <c r="M73" s="3697"/>
      <c r="N73" s="1289">
        <f t="shared" ref="N73:P74" si="1">D73</f>
        <v>0</v>
      </c>
      <c r="O73" s="1851" t="str">
        <f t="shared" si="1"/>
        <v>销售额×税（费）率</v>
      </c>
      <c r="P73" s="1290" t="str">
        <f t="shared" si="1"/>
        <v>免征</v>
      </c>
      <c r="Q73" s="2020"/>
      <c r="R73" s="2020"/>
      <c r="S73" s="2020"/>
      <c r="T73" s="2020"/>
      <c r="U73" s="2020"/>
      <c r="V73" s="2020"/>
    </row>
    <row r="74" spans="1:22" ht="25.2">
      <c r="A74" s="3723" t="s">
        <v>415</v>
      </c>
      <c r="B74" s="3724"/>
      <c r="C74" s="3724"/>
      <c r="D74" s="360">
        <f ca="1">IF(H74="个人住宅",D75,D76)</f>
        <v>53777</v>
      </c>
      <c r="E74" s="17" t="s">
        <v>416</v>
      </c>
      <c r="F74" s="358" t="str">
        <f>IF(H74="正常",F76,"免征")</f>
        <v>——</v>
      </c>
      <c r="G74" s="976" t="s">
        <v>417</v>
      </c>
      <c r="H74" s="361" t="s">
        <v>413</v>
      </c>
      <c r="I74" s="42"/>
      <c r="J74" s="2027"/>
      <c r="K74" s="1968">
        <v>3</v>
      </c>
      <c r="L74" s="3697" t="s">
        <v>414</v>
      </c>
      <c r="M74" s="3697"/>
      <c r="N74" s="1289">
        <f t="shared" ca="1" si="1"/>
        <v>53777</v>
      </c>
      <c r="O74" s="1851" t="str">
        <f t="shared" si="1"/>
        <v>增值额×税（费）率</v>
      </c>
      <c r="P74" s="1292" t="str">
        <f t="shared" si="1"/>
        <v>——</v>
      </c>
      <c r="Q74" s="2020"/>
      <c r="R74" s="2020"/>
      <c r="S74" s="2020"/>
      <c r="T74" s="2020"/>
      <c r="U74" s="2020"/>
      <c r="V74" s="2020"/>
    </row>
    <row r="75" spans="1:22" ht="24">
      <c r="A75" s="357" t="s">
        <v>418</v>
      </c>
      <c r="B75" s="3704" t="s">
        <v>419</v>
      </c>
      <c r="C75" s="3705"/>
      <c r="D75" s="362">
        <v>0</v>
      </c>
      <c r="E75" s="41" t="s">
        <v>420</v>
      </c>
      <c r="F75" s="363"/>
      <c r="G75" s="359"/>
      <c r="H75" s="42"/>
      <c r="I75" s="42"/>
      <c r="J75" s="2027"/>
      <c r="K75" s="3069">
        <f>IF(H77="非个人房产","",4)</f>
        <v>4</v>
      </c>
      <c r="L75" s="3697" t="str">
        <f>IF(H77="非个人房产","——","个人所得税")</f>
        <v>个人所得税</v>
      </c>
      <c r="M75" s="3697"/>
      <c r="N75" s="1293">
        <f ca="1">D77</f>
        <v>962</v>
      </c>
      <c r="O75" s="1864" t="str">
        <f>E77</f>
        <v>销售额×税（费）率</v>
      </c>
      <c r="P75" s="1294">
        <f>F77</f>
        <v>0.01</v>
      </c>
      <c r="Q75" s="2020"/>
      <c r="R75" s="2020"/>
      <c r="S75" s="2020"/>
      <c r="T75" s="2020"/>
      <c r="U75" s="2020"/>
      <c r="V75" s="2020"/>
    </row>
    <row r="76" spans="1:22" ht="25.2">
      <c r="A76" s="357" t="s">
        <v>396</v>
      </c>
      <c r="B76" s="3704" t="s">
        <v>422</v>
      </c>
      <c r="C76" s="3746"/>
      <c r="D76" s="360">
        <f ca="1">IF(H76="转让取得",C99,C115)</f>
        <v>53777</v>
      </c>
      <c r="E76" s="17" t="s">
        <v>423</v>
      </c>
      <c r="F76" s="53" t="s">
        <v>21</v>
      </c>
      <c r="G76" s="359"/>
      <c r="H76" s="361" t="s">
        <v>424</v>
      </c>
      <c r="I76" s="42"/>
      <c r="J76" s="2027"/>
      <c r="K76" s="3069" t="str">
        <f>IF(项目基本情况!K6="上海银行",IF(K75="",4,K75+1),"")</f>
        <v/>
      </c>
      <c r="L76" s="3685" t="str">
        <f>IF(项目基本情况!K6="上海银行","其他处置费用","")</f>
        <v/>
      </c>
      <c r="M76" s="3686"/>
      <c r="N76" s="1289" t="str">
        <f>IF(项目基本情况!K6="上海银行",N89,"")</f>
        <v/>
      </c>
      <c r="O76" s="3687" t="str">
        <f>IF(项目基本情况!K6="上海银行","包含处置中涉及的律师、诉讼、拍卖、评估等费用","")</f>
        <v/>
      </c>
      <c r="P76" s="3688"/>
      <c r="Q76" s="2020"/>
      <c r="R76" s="2020"/>
      <c r="S76" s="2020"/>
      <c r="T76" s="2020"/>
      <c r="U76" s="2020"/>
      <c r="V76" s="2020"/>
    </row>
    <row r="77" spans="1:22" ht="27" thickBot="1">
      <c r="A77" s="3715" t="s">
        <v>426</v>
      </c>
      <c r="B77" s="3716"/>
      <c r="C77" s="3716"/>
      <c r="D77" s="364">
        <f ca="1">IF(H77="非个人房产","——",IF(H77="个人住宅",0,ROUND(D63*I77,0)))</f>
        <v>962</v>
      </c>
      <c r="E77" s="365" t="str">
        <f>IF(H77="非个人房产","——","销售额×税（费）率")</f>
        <v>销售额×税（费）率</v>
      </c>
      <c r="F77" s="366">
        <f>IF(H77="非个人房产","——",IF(H77="个人住宅","免征",I77))</f>
        <v>0.01</v>
      </c>
      <c r="G77" s="977" t="s">
        <v>417</v>
      </c>
      <c r="H77" s="361" t="s">
        <v>2888</v>
      </c>
      <c r="I77" s="367">
        <v>0.01</v>
      </c>
      <c r="J77" s="2027"/>
      <c r="K77" s="3711">
        <f>IF(AND(K75="",K76=""),4,IF(项目基本情况!K6="上海银行",K76+1,K75+1))</f>
        <v>5</v>
      </c>
      <c r="L77" s="3697" t="s">
        <v>2889</v>
      </c>
      <c r="M77" s="3075" t="s">
        <v>421</v>
      </c>
      <c r="N77" s="1295"/>
      <c r="O77" s="1296">
        <f ca="1">SUMIF(N72:N76,"&lt;9e307")</f>
        <v>59868</v>
      </c>
      <c r="P77" s="1297"/>
      <c r="Q77" s="3073">
        <f ca="1">O77/N69</f>
        <v>0.37584516193836359</v>
      </c>
      <c r="R77" s="2020"/>
      <c r="S77" s="2020"/>
      <c r="T77" s="2020"/>
      <c r="U77" s="2020"/>
      <c r="V77" s="2020"/>
    </row>
    <row r="78" spans="1:22" ht="12" customHeight="1">
      <c r="A78" s="1298"/>
      <c r="B78" s="309"/>
      <c r="C78" s="309"/>
      <c r="D78" s="309"/>
      <c r="E78" s="42"/>
      <c r="F78" s="42"/>
      <c r="G78" s="42"/>
      <c r="H78" s="996"/>
      <c r="I78" s="309"/>
      <c r="J78" s="2027"/>
      <c r="K78" s="3711"/>
      <c r="L78" s="3697"/>
      <c r="M78" s="3075" t="s">
        <v>425</v>
      </c>
      <c r="N78" s="1295"/>
      <c r="O78" s="1296" t="str">
        <f ca="1">NUMBERSTRING(INT(O77*10000),2)&amp;"元整"</f>
        <v>伍亿玖仟捌佰陆拾捌万元整</v>
      </c>
      <c r="P78" s="1297"/>
      <c r="Q78" s="2020"/>
      <c r="R78" s="2020"/>
      <c r="S78" s="2020"/>
      <c r="T78" s="2020"/>
      <c r="U78" s="2020"/>
      <c r="V78" s="2020"/>
    </row>
    <row r="79" spans="1:22" ht="13.8" thickBot="1">
      <c r="A79" s="3701" t="s">
        <v>427</v>
      </c>
      <c r="B79" s="3701"/>
      <c r="C79" s="3701"/>
      <c r="D79" s="3701"/>
      <c r="E79" s="3701"/>
      <c r="F79" s="42"/>
      <c r="G79" s="42"/>
      <c r="H79" s="996"/>
      <c r="I79" s="309"/>
      <c r="J79" s="2027"/>
      <c r="K79" s="3695">
        <f>K77+1</f>
        <v>6</v>
      </c>
      <c r="L79" s="3697" t="s">
        <v>2890</v>
      </c>
      <c r="M79" s="3075" t="s">
        <v>421</v>
      </c>
      <c r="N79" s="1295"/>
      <c r="O79" s="1296">
        <f ca="1">N69-O77</f>
        <v>99421</v>
      </c>
      <c r="P79" s="1297"/>
      <c r="Q79" s="2020"/>
      <c r="R79" s="2020"/>
      <c r="S79" s="2020"/>
      <c r="T79" s="2020"/>
      <c r="U79" s="2020"/>
      <c r="V79" s="2020"/>
    </row>
    <row r="80" spans="1:22" ht="26.4">
      <c r="A80" s="3702" t="s">
        <v>428</v>
      </c>
      <c r="B80" s="3703"/>
      <c r="C80" s="987"/>
      <c r="D80" s="987" t="s">
        <v>429</v>
      </c>
      <c r="E80" s="368" t="s">
        <v>430</v>
      </c>
      <c r="F80" s="42"/>
      <c r="G80" s="42"/>
      <c r="H80" s="996"/>
      <c r="I80" s="309"/>
      <c r="J80" s="2020"/>
      <c r="K80" s="3696"/>
      <c r="L80" s="3697"/>
      <c r="M80" s="3075" t="s">
        <v>425</v>
      </c>
      <c r="N80" s="1295"/>
      <c r="O80" s="1296" t="str">
        <f ca="1">NUMBERSTRING(INT(O79*10000),2)&amp;"元整"</f>
        <v>玖亿玖仟肆佰贰拾壹万元整</v>
      </c>
      <c r="P80" s="1297"/>
      <c r="Q80" s="2020"/>
      <c r="R80" s="2020"/>
      <c r="S80" s="2020"/>
      <c r="T80" s="2020"/>
      <c r="U80" s="2020"/>
      <c r="V80" s="2020"/>
    </row>
    <row r="81" spans="1:26" ht="13.8" thickBot="1">
      <c r="A81" s="379" t="s">
        <v>1822</v>
      </c>
      <c r="B81" s="369" t="s">
        <v>431</v>
      </c>
      <c r="C81" s="370">
        <f ca="1">ROUND((C82+C83)/(1+'数据-取费表'!C42),0)</f>
        <v>91592</v>
      </c>
      <c r="D81" s="371"/>
      <c r="E81" s="372"/>
      <c r="F81" s="42"/>
      <c r="G81" s="42"/>
      <c r="H81" s="996"/>
      <c r="I81" s="309"/>
      <c r="J81" s="2020"/>
      <c r="K81" s="3069">
        <f>K79+1</f>
        <v>7</v>
      </c>
      <c r="L81" s="3709" t="s">
        <v>2891</v>
      </c>
      <c r="M81" s="3710"/>
      <c r="N81" s="1299"/>
      <c r="O81" s="1300">
        <f ca="1">ROUND(O79*10000/'数据-汇总表'!E3,0)</f>
        <v>2073</v>
      </c>
      <c r="P81" s="1301"/>
      <c r="Q81" s="2020"/>
      <c r="R81" s="2020"/>
      <c r="S81" s="2020"/>
      <c r="T81" s="2020"/>
      <c r="U81" s="2020"/>
      <c r="V81" s="2020"/>
    </row>
    <row r="82" spans="1:26" ht="13.8" thickTop="1">
      <c r="A82" s="373" t="s">
        <v>1823</v>
      </c>
      <c r="B82" s="374" t="s">
        <v>432</v>
      </c>
      <c r="C82" s="375">
        <f ca="1">D63</f>
        <v>96172</v>
      </c>
      <c r="D82" s="376" t="s">
        <v>19</v>
      </c>
      <c r="E82" s="377"/>
      <c r="F82" s="42"/>
      <c r="G82" s="42"/>
      <c r="H82" s="996"/>
      <c r="I82" s="309"/>
      <c r="J82" s="2020"/>
      <c r="K82" s="2020"/>
      <c r="L82" s="2020"/>
      <c r="M82" s="2020"/>
      <c r="N82" s="2020"/>
      <c r="O82" s="2020"/>
      <c r="P82" s="2020"/>
      <c r="Q82" s="2020"/>
      <c r="R82" s="2020"/>
      <c r="S82" s="2020"/>
      <c r="T82" s="2020"/>
      <c r="U82" s="2020"/>
      <c r="V82" s="2020"/>
    </row>
    <row r="83" spans="1:26" ht="13.2">
      <c r="A83" s="373" t="s">
        <v>1824</v>
      </c>
      <c r="B83" s="374" t="s">
        <v>433</v>
      </c>
      <c r="C83" s="378">
        <v>0</v>
      </c>
      <c r="D83" s="376"/>
      <c r="E83" s="377"/>
      <c r="F83" s="42"/>
      <c r="G83" s="42"/>
      <c r="H83" s="996"/>
      <c r="I83" s="309"/>
      <c r="J83" s="2020"/>
      <c r="K83" s="3684" t="s">
        <v>2878</v>
      </c>
      <c r="L83" s="3081" t="s">
        <v>2879</v>
      </c>
      <c r="M83" s="3071">
        <f ca="1">IF(N69&gt;10000,N69*0.5%,IF(AND(N69&gt;1000,N69&lt;=10000),N69*1%,IF(AND(N69&gt;100,N69&lt;=1000),N69*3%,IF(AND(N69&gt;10,N69&lt;=100),N69*5%,N69*8%))))</f>
        <v>796.44500000000005</v>
      </c>
      <c r="N83" s="53">
        <f ca="1">ROUND(M83,1)</f>
        <v>796.4</v>
      </c>
      <c r="O83" s="3074"/>
      <c r="P83" s="2020"/>
      <c r="Q83" s="2020"/>
      <c r="R83" s="2020"/>
      <c r="S83" s="2020"/>
      <c r="T83" s="2020"/>
      <c r="U83" s="2020"/>
      <c r="V83" s="2020"/>
    </row>
    <row r="84" spans="1:26" ht="25.2">
      <c r="A84" s="379" t="s">
        <v>1825</v>
      </c>
      <c r="B84" s="380" t="s">
        <v>434</v>
      </c>
      <c r="C84" s="381">
        <v>2000</v>
      </c>
      <c r="D84" s="382" t="s">
        <v>19</v>
      </c>
      <c r="E84" s="3113" t="s">
        <v>2942</v>
      </c>
      <c r="F84" s="42"/>
      <c r="G84" s="42"/>
      <c r="H84" s="996"/>
      <c r="I84" s="309"/>
      <c r="J84" s="2020"/>
      <c r="K84" s="3684"/>
      <c r="L84" s="3081" t="s">
        <v>2880</v>
      </c>
      <c r="M84" s="3071">
        <f ca="1">IF(N69&gt;2000,N69*0.5%,IF(AND(N69&gt;1000,N69&lt;=2000),N69*0.6%,IF(AND(N69&gt;500,N69&lt;=1000),N69*0.7%,IF(AND(N69&gt;200,N69&lt;=500),N69*0.8%,IF(AND(N69&gt;100,N69&lt;=200),N69*0.9%,IF(AND(N69&gt;50,N69&lt;=100),N69*1%,IF(AND(N69&gt;20,N69&lt;=50),N69*1.5%,IF(AND(N69&gt;10,N69&lt;=20),N69*2%,IF(AND(N69&gt;1,N69&lt;=10),N69*2.5%)))))))))</f>
        <v>796.44500000000005</v>
      </c>
      <c r="N84" s="53">
        <f t="shared" ref="N84:N85" ca="1" si="2">ROUND(M84,1)</f>
        <v>796.4</v>
      </c>
      <c r="O84" s="2020" t="s">
        <v>2881</v>
      </c>
      <c r="P84" s="2020"/>
      <c r="Q84" s="2020"/>
      <c r="R84" s="2020"/>
      <c r="S84" s="2020"/>
      <c r="T84" s="2020"/>
      <c r="U84" s="2020"/>
      <c r="V84" s="2020"/>
    </row>
    <row r="85" spans="1:26" ht="13.2">
      <c r="A85" s="379" t="s">
        <v>1826</v>
      </c>
      <c r="B85" s="380" t="s">
        <v>435</v>
      </c>
      <c r="C85" s="383">
        <f ca="1">C81-C84</f>
        <v>89592</v>
      </c>
      <c r="D85" s="376" t="s">
        <v>19</v>
      </c>
      <c r="E85" s="377"/>
      <c r="F85" s="42"/>
      <c r="G85" s="42"/>
      <c r="H85" s="996"/>
      <c r="I85" s="309"/>
      <c r="J85" s="2020"/>
      <c r="K85" s="3684"/>
      <c r="L85" s="3081" t="s">
        <v>2882</v>
      </c>
      <c r="M85" s="3071">
        <f ca="1">IF(N69&gt;1000,N69*0.1%,IF(AND(N69&gt;500,N69&lt;=1000),N69*0.5%,IF(AND(N69&gt;50,N69&lt;=500),N69*1%,IF(AND(N69&gt;1,N69&lt;=50),N69*1.5%))))</f>
        <v>159.28900000000002</v>
      </c>
      <c r="N85" s="53">
        <f t="shared" ca="1" si="2"/>
        <v>159.30000000000001</v>
      </c>
      <c r="O85" s="2020" t="s">
        <v>2881</v>
      </c>
      <c r="P85" s="2020"/>
      <c r="Q85" s="2020"/>
      <c r="R85" s="2020"/>
      <c r="S85" s="2020"/>
      <c r="T85" s="2020"/>
      <c r="U85" s="2020"/>
      <c r="V85" s="2020"/>
    </row>
    <row r="86" spans="1:26" ht="13.8" thickBot="1">
      <c r="A86" s="384" t="s">
        <v>1827</v>
      </c>
      <c r="B86" s="385" t="s">
        <v>436</v>
      </c>
      <c r="C86" s="386">
        <f ca="1">IF(C85&lt;=0,0,ROUND(C85*D86,0))</f>
        <v>5017</v>
      </c>
      <c r="D86" s="387">
        <f>'数据-取费表'!B41</f>
        <v>5.6000000000000001E-2</v>
      </c>
      <c r="E86" s="388"/>
      <c r="F86" s="42"/>
      <c r="G86" s="42"/>
      <c r="H86" s="996"/>
      <c r="I86" s="309"/>
      <c r="J86" s="2020"/>
      <c r="K86" s="3684"/>
      <c r="L86" s="3081" t="s">
        <v>2883</v>
      </c>
      <c r="M86" s="3071">
        <f ca="1">N69*0.5%</f>
        <v>796.44500000000005</v>
      </c>
      <c r="N86" s="53">
        <f ca="1">IF(M86&gt;0.5,0.5,ROUND(M86,0))</f>
        <v>0.5</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684"/>
      <c r="L87" s="3081" t="s">
        <v>2885</v>
      </c>
      <c r="M87" s="3071">
        <f ca="1">IF(N69&gt;=10000,(8.25+(N69-10000)*0.01%),IF(AND(N69&gt;=8000,N69&lt;10000),(7.85+(N69-8000)*0.02%),IF(AND(N69&gt;=5000,N69&lt;8000),(6.65+(N69-5000)*0.04%),IF(AND(N69&gt;=2000,N69&lt;5000),(4.25+(PN69-2000)*0.08%),IF(AND(N69&gt;=1000,N69&lt;2000),(2.75+(N69-1000)*0.15%),IF(AND(N69&gt;=100,N69&lt;1000),(0.5+(N69-100)*0.25%),IF(AND(N69&gt;0,N69&lt;100),N69*0.5%)))))))</f>
        <v>23.178899999999999</v>
      </c>
      <c r="N87" s="53">
        <f ca="1">ROUND(M87*0.9,1)</f>
        <v>20.9</v>
      </c>
      <c r="O87" s="3074"/>
      <c r="P87" s="309"/>
      <c r="Q87" s="2020"/>
      <c r="R87" s="2020"/>
      <c r="S87" s="2020"/>
      <c r="T87" s="2020"/>
      <c r="U87" s="2020"/>
      <c r="V87" s="2020"/>
      <c r="W87" s="290"/>
      <c r="X87" s="290"/>
      <c r="Y87" s="290"/>
      <c r="Z87" s="290"/>
    </row>
    <row r="88" spans="1:26" s="1307" customFormat="1" ht="14.4" thickBot="1">
      <c r="A88" s="3738" t="s">
        <v>437</v>
      </c>
      <c r="B88" s="3739"/>
      <c r="C88" s="3739"/>
      <c r="D88" s="3739"/>
      <c r="E88" s="3739"/>
      <c r="F88" s="3739"/>
      <c r="G88" s="3739"/>
      <c r="H88" s="3739"/>
      <c r="I88" s="1308"/>
      <c r="J88" s="2028"/>
      <c r="K88" s="3684"/>
      <c r="L88" s="3081" t="s">
        <v>2886</v>
      </c>
      <c r="M88" s="3071">
        <f ca="1">IF(N69&gt;10000,N69*0.5%,IF(AND(N69&gt;5000,N69&lt;=10000),N69*1%,IF(AND(N69&gt;1000,N69&lt;=5000),N69*2%,IF(AND(N69&gt;200,N69&lt;=1000),N69*3%,N69*5%))))</f>
        <v>796.44500000000005</v>
      </c>
      <c r="N88" s="53">
        <f ca="1">ROUND(M88,1)</f>
        <v>796.4</v>
      </c>
      <c r="O88" s="3074"/>
      <c r="P88" s="11"/>
      <c r="Q88" s="2025"/>
      <c r="R88" s="2025"/>
      <c r="S88" s="2025"/>
      <c r="T88" s="2025"/>
      <c r="U88" s="2025"/>
      <c r="V88" s="2025"/>
      <c r="W88" s="2029"/>
      <c r="X88" s="2029"/>
      <c r="Y88" s="2029"/>
      <c r="Z88" s="2029"/>
    </row>
    <row r="89" spans="1:26" s="1307" customFormat="1" ht="13.8">
      <c r="A89" s="3702" t="s">
        <v>428</v>
      </c>
      <c r="B89" s="3703"/>
      <c r="C89" s="987"/>
      <c r="D89" s="987" t="s">
        <v>429</v>
      </c>
      <c r="E89" s="389" t="s">
        <v>438</v>
      </c>
      <c r="F89" s="390"/>
      <c r="G89" s="390"/>
      <c r="H89" s="391"/>
      <c r="I89" s="1309"/>
      <c r="J89" s="2030"/>
      <c r="K89" s="3684"/>
      <c r="L89" s="3081" t="s">
        <v>27</v>
      </c>
      <c r="M89" s="3072"/>
      <c r="N89" s="53">
        <f ca="1">ROUND(SUM(N83:N88),0)</f>
        <v>2570</v>
      </c>
      <c r="O89" s="3082">
        <f ca="1">N89/N69</f>
        <v>1.6134196334963494E-2</v>
      </c>
      <c r="P89" s="2025"/>
      <c r="Q89" s="2025"/>
      <c r="R89" s="2025"/>
      <c r="S89" s="2025"/>
      <c r="T89" s="2025"/>
      <c r="U89" s="2025"/>
      <c r="V89" s="2025"/>
      <c r="W89" s="2029"/>
      <c r="X89" s="2029"/>
      <c r="Y89" s="2029"/>
      <c r="Z89" s="2029"/>
    </row>
    <row r="90" spans="1:26" s="1307" customFormat="1" ht="13.8">
      <c r="A90" s="379" t="s">
        <v>1822</v>
      </c>
      <c r="B90" s="380" t="s">
        <v>439</v>
      </c>
      <c r="C90" s="383">
        <f ca="1">ROUND(D63/(1+'数据-取费表'!C42),0)</f>
        <v>91592</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3.8">
      <c r="A91" s="379" t="s">
        <v>1828</v>
      </c>
      <c r="B91" s="346" t="s">
        <v>440</v>
      </c>
      <c r="C91" s="383">
        <f ca="1">C92+C96</f>
        <v>3111</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4">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735" t="s">
        <v>447</v>
      </c>
      <c r="F94" s="3736"/>
      <c r="G94" s="3736"/>
      <c r="H94" s="3737"/>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550</v>
      </c>
      <c r="D96" s="404">
        <f>'数据-取费表'!B43</f>
        <v>6.000000000000001E-3</v>
      </c>
      <c r="E96" s="3725" t="s">
        <v>2430</v>
      </c>
      <c r="F96" s="3726"/>
      <c r="G96" s="3726"/>
      <c r="H96" s="3727"/>
      <c r="I96" s="1310"/>
      <c r="J96" s="2031"/>
      <c r="K96" s="2025"/>
      <c r="L96" s="2025"/>
      <c r="M96" s="2025"/>
      <c r="N96" s="2025"/>
      <c r="O96" s="2025"/>
      <c r="P96" s="2025"/>
      <c r="Q96" s="2025"/>
      <c r="R96" s="2025"/>
      <c r="S96" s="2025"/>
      <c r="T96" s="2025"/>
      <c r="U96" s="2025"/>
      <c r="V96" s="2025"/>
      <c r="W96" s="2029"/>
      <c r="X96" s="2029"/>
      <c r="Y96" s="2029"/>
      <c r="Z96" s="2029"/>
    </row>
    <row r="97" spans="1:26" s="1307" customFormat="1" ht="13.8">
      <c r="A97" s="1609" t="s">
        <v>1834</v>
      </c>
      <c r="B97" s="380" t="s">
        <v>451</v>
      </c>
      <c r="C97" s="383">
        <f ca="1">C90-C91</f>
        <v>88481</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28.44133719061395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6" thickBot="1">
      <c r="A99" s="1610" t="s">
        <v>1836</v>
      </c>
      <c r="B99" s="385" t="s">
        <v>453</v>
      </c>
      <c r="C99" s="406">
        <f ca="1">ROUND(IF(C97&lt;=0,0,IF(C98&gt;=200%,C97*60%-C91*35%,IF(C98&gt;=100%,C97*50%-C91*15%,IF(C98&gt;=50%,C97*40%-C91*5%,IF(C98&lt;50%,C97*30%,0))))),0)</f>
        <v>52000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4.4" thickBot="1">
      <c r="A101" s="3738" t="s">
        <v>454</v>
      </c>
      <c r="B101" s="3739"/>
      <c r="C101" s="3739"/>
      <c r="D101" s="3739"/>
      <c r="E101" s="3739"/>
      <c r="F101" s="3739"/>
      <c r="G101" s="3739"/>
      <c r="H101" s="3739"/>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3.8">
      <c r="A102" s="3702" t="s">
        <v>428</v>
      </c>
      <c r="B102" s="3703"/>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3.8">
      <c r="A103" s="379" t="s">
        <v>1822</v>
      </c>
      <c r="B103" s="380" t="s">
        <v>439</v>
      </c>
      <c r="C103" s="383">
        <f ca="1">ROUND(D63/(1+'数据-取费表'!C42),0)</f>
        <v>91592</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3.8">
      <c r="A104" s="379" t="s">
        <v>1828</v>
      </c>
      <c r="B104" s="346" t="s">
        <v>440</v>
      </c>
      <c r="C104" s="383">
        <f ca="1">IF(H106="仅含出让金",C105+C108+C109+C110+C111+C112,C105+C109+C110+C111+C112)</f>
        <v>1240</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3.8">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26.4">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3.8">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3.8">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28" t="s">
        <v>462</v>
      </c>
      <c r="F109" s="3726"/>
      <c r="G109" s="3726"/>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28" t="s">
        <v>464</v>
      </c>
      <c r="F110" s="3726"/>
      <c r="G110" s="3726"/>
      <c r="H110" s="3727"/>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550</v>
      </c>
      <c r="D111" s="404">
        <f>'数据-取费表'!B43</f>
        <v>6.000000000000001E-3</v>
      </c>
      <c r="E111" s="3725" t="s">
        <v>2430</v>
      </c>
      <c r="F111" s="3726"/>
      <c r="G111" s="3726"/>
      <c r="H111" s="3727"/>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28" t="s">
        <v>2455</v>
      </c>
      <c r="F112" s="3726"/>
      <c r="G112" s="3726"/>
      <c r="H112" s="3727"/>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3.8">
      <c r="A113" s="1609" t="s">
        <v>1834</v>
      </c>
      <c r="B113" s="380" t="s">
        <v>451</v>
      </c>
      <c r="C113" s="383">
        <f ca="1">ROUND(C103-C104,0)</f>
        <v>90352</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72.864516129032253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6" thickBot="1">
      <c r="A115" s="1610" t="s">
        <v>1836</v>
      </c>
      <c r="B115" s="385" t="s">
        <v>453</v>
      </c>
      <c r="C115" s="406">
        <f ca="1">ROUND(IF(C113&lt;=0,0,IF(C114&gt;=200%,C113*60%-C104*35%,IF(C114&gt;=100%,C113*50%-C104*15%,IF(C114&gt;=50%,C113*40%-C104*5%,IF(C114&lt;50%,C113*30%,0))))),0)</f>
        <v>53777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640625" defaultRowHeight="13.2"/>
  <cols>
    <col min="1" max="1" width="10.109375" style="2116" customWidth="1"/>
    <col min="2" max="2" width="25.77734375" style="2106" customWidth="1"/>
    <col min="3" max="3" width="10.33203125" style="2117" customWidth="1"/>
    <col min="4" max="4" width="12" style="2106" customWidth="1"/>
    <col min="5" max="5" width="9.44140625" style="2116" customWidth="1"/>
    <col min="6" max="6" width="10.109375" style="2106" customWidth="1"/>
    <col min="7" max="7" width="9.44140625" style="2106" customWidth="1"/>
    <col min="8" max="8" width="10" style="2106" customWidth="1"/>
    <col min="9" max="11" width="9.44140625" style="2106" customWidth="1"/>
    <col min="12" max="12" width="9" style="2106" customWidth="1"/>
    <col min="13" max="13" width="10.44140625" style="2106" bestFit="1" customWidth="1"/>
    <col min="14" max="254" width="9" style="2106" customWidth="1"/>
    <col min="255" max="16384" width="6.6640625" style="2106"/>
  </cols>
  <sheetData>
    <row r="1" spans="1:41" s="2033" customFormat="1" ht="21">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4.4">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138002</v>
      </c>
      <c r="D13" s="449"/>
      <c r="E13" s="363"/>
      <c r="F13" s="450"/>
      <c r="G13" s="442"/>
      <c r="H13" s="445"/>
      <c r="I13" s="445"/>
      <c r="J13" s="445"/>
      <c r="K13" s="446"/>
    </row>
    <row r="14" spans="1:41" s="2108" customFormat="1" ht="13.5" customHeight="1">
      <c r="A14" s="1625" t="s">
        <v>1848</v>
      </c>
      <c r="B14" s="447" t="s">
        <v>480</v>
      </c>
      <c r="C14" s="53">
        <f ca="1">ROUND(C13*F14,0)</f>
        <v>4140</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2070</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151405</v>
      </c>
      <c r="D18" s="459"/>
      <c r="E18" s="460"/>
      <c r="F18" s="460"/>
      <c r="G18" s="1320" t="s">
        <v>2434</v>
      </c>
      <c r="H18" s="445"/>
      <c r="I18" s="445"/>
      <c r="J18" s="445"/>
      <c r="K18" s="446"/>
    </row>
    <row r="19" spans="1:14" s="2111" customFormat="1" ht="13.5" customHeight="1">
      <c r="A19" s="1626" t="s">
        <v>1853</v>
      </c>
      <c r="B19" s="457" t="s">
        <v>493</v>
      </c>
      <c r="C19" s="458">
        <f ca="1">ROUND(C18*F19,0)</f>
        <v>3028</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11133</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11133</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27798</v>
      </c>
      <c r="D24" s="487">
        <f ca="1">C26</f>
        <v>3.5999999999999999E-3</v>
      </c>
      <c r="E24" s="467" t="s">
        <v>508</v>
      </c>
      <c r="F24" s="477">
        <f ca="1">IF(B1="",'数据-取费表'!Q16,INDIRECT("'数据-取费表'!q"&amp;$K$1))</f>
        <v>0.18</v>
      </c>
      <c r="G24" s="442"/>
      <c r="H24" s="445"/>
      <c r="I24" s="445"/>
      <c r="J24" s="445"/>
      <c r="K24" s="446"/>
    </row>
    <row r="25" spans="1:14" s="2112" customFormat="1" ht="13.5" customHeight="1">
      <c r="A25" s="1625" t="s">
        <v>1847</v>
      </c>
      <c r="B25" s="1321" t="s">
        <v>2438</v>
      </c>
      <c r="C25" s="488">
        <f ca="1">ROUND((C18+C19)*F24,0)</f>
        <v>27798</v>
      </c>
      <c r="D25" s="470"/>
      <c r="E25" s="471"/>
      <c r="F25" s="478"/>
      <c r="G25" s="1319" t="s">
        <v>2435</v>
      </c>
      <c r="H25" s="455"/>
      <c r="I25" s="455"/>
      <c r="J25" s="455"/>
      <c r="K25" s="456"/>
    </row>
    <row r="26" spans="1:14" s="2112" customFormat="1" ht="13.5" customHeight="1">
      <c r="A26" s="1625" t="s">
        <v>1848</v>
      </c>
      <c r="B26" s="1321" t="s">
        <v>510</v>
      </c>
      <c r="C26" s="489">
        <f ca="1">ROUND(F20*F24,4)</f>
        <v>3.5999999999999999E-3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209791</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5" zoomScaleNormal="95" zoomScaleSheetLayoutView="85" workbookViewId="0">
      <selection activeCell="B57" sqref="B57"/>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95868</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1999</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12840</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856</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1">
      <c r="A6" s="510" t="s">
        <v>522</v>
      </c>
      <c r="B6" s="511"/>
      <c r="C6" s="3783" t="s">
        <v>523</v>
      </c>
      <c r="D6" s="3784"/>
      <c r="E6" s="3783" t="s">
        <v>524</v>
      </c>
      <c r="F6" s="3784"/>
      <c r="G6" s="3783" t="s">
        <v>525</v>
      </c>
      <c r="H6" s="3784"/>
      <c r="I6" s="3783" t="s">
        <v>526</v>
      </c>
      <c r="J6" s="3784"/>
      <c r="K6" s="512" t="s">
        <v>527</v>
      </c>
      <c r="L6" s="2125"/>
      <c r="M6" s="2124"/>
      <c r="N6" s="2124"/>
      <c r="O6" s="2126"/>
      <c r="P6" s="3785" t="s">
        <v>528</v>
      </c>
      <c r="Q6" s="3786"/>
      <c r="R6" s="3771" t="s">
        <v>524</v>
      </c>
      <c r="S6" s="3772"/>
      <c r="T6" s="3771" t="s">
        <v>525</v>
      </c>
      <c r="U6" s="3772"/>
      <c r="V6" s="3791" t="s">
        <v>526</v>
      </c>
      <c r="W6" s="3791"/>
      <c r="X6" s="1559"/>
      <c r="Y6" s="3771" t="s">
        <v>528</v>
      </c>
      <c r="Z6" s="3772"/>
      <c r="AA6" s="3766" t="s">
        <v>524</v>
      </c>
      <c r="AB6" s="3767" t="s">
        <v>525</v>
      </c>
      <c r="AC6" s="3766" t="s">
        <v>526</v>
      </c>
    </row>
    <row r="7" spans="1:30" ht="21">
      <c r="A7" s="513"/>
      <c r="B7" s="514"/>
      <c r="C7" s="3794" t="s">
        <v>2929</v>
      </c>
      <c r="D7" s="3795"/>
      <c r="E7" s="3794" t="str">
        <f>Sheet1!A52</f>
        <v>新吴区兴昌路东侧、金城路南侧</v>
      </c>
      <c r="F7" s="3795"/>
      <c r="G7" s="3794" t="str">
        <f>Sheet1!I227</f>
        <v>经开区吴都路与清舒道交叉口西南侧</v>
      </c>
      <c r="H7" s="3795"/>
      <c r="I7" s="3794" t="str">
        <f>Sheet1!A61</f>
        <v>梁溪区锡沪路与江海东路交叉口东北侧</v>
      </c>
      <c r="J7" s="3795"/>
      <c r="K7" s="512"/>
      <c r="L7" s="2125"/>
      <c r="M7" s="2124"/>
      <c r="N7" s="2124"/>
      <c r="O7" s="2126"/>
      <c r="P7" s="3787"/>
      <c r="Q7" s="3788"/>
      <c r="R7" s="3773"/>
      <c r="S7" s="3774"/>
      <c r="T7" s="3773"/>
      <c r="U7" s="3774"/>
      <c r="V7" s="3791"/>
      <c r="W7" s="3791"/>
      <c r="X7" s="1559"/>
      <c r="Y7" s="3773"/>
      <c r="Z7" s="3774"/>
      <c r="AA7" s="3767"/>
      <c r="AB7" s="3767"/>
      <c r="AC7" s="3767"/>
    </row>
    <row r="8" spans="1:30" ht="21.6" thickBot="1">
      <c r="A8" s="513"/>
      <c r="B8" s="514"/>
      <c r="C8" s="3796" t="s">
        <v>2933</v>
      </c>
      <c r="D8" s="3797"/>
      <c r="E8" s="3796" t="s">
        <v>2933</v>
      </c>
      <c r="F8" s="3797"/>
      <c r="G8" s="3792" t="s">
        <v>2933</v>
      </c>
      <c r="H8" s="3793"/>
      <c r="I8" s="3792" t="s">
        <v>2933</v>
      </c>
      <c r="J8" s="3793"/>
      <c r="K8" s="512" t="s">
        <v>529</v>
      </c>
      <c r="L8" s="2125"/>
      <c r="M8" s="2124"/>
      <c r="N8" s="2124"/>
      <c r="O8" s="2126"/>
      <c r="P8" s="3789"/>
      <c r="Q8" s="3790"/>
      <c r="R8" s="3773"/>
      <c r="S8" s="3774"/>
      <c r="T8" s="3775"/>
      <c r="U8" s="3776"/>
      <c r="V8" s="3791"/>
      <c r="W8" s="3791"/>
      <c r="X8" s="1559"/>
      <c r="Y8" s="3775"/>
      <c r="Z8" s="3776"/>
      <c r="AA8" s="3768"/>
      <c r="AB8" s="3768"/>
      <c r="AC8" s="3768"/>
    </row>
    <row r="9" spans="1:30" s="1213" customFormat="1" ht="21.6" thickBot="1">
      <c r="A9" s="2928"/>
      <c r="B9" s="2935" t="s">
        <v>530</v>
      </c>
      <c r="C9" s="2927">
        <f>'数据-取费表'!B2</f>
        <v>43924</v>
      </c>
      <c r="D9" s="518">
        <v>100</v>
      </c>
      <c r="E9" s="519">
        <f>Sheet1!H52</f>
        <v>43712</v>
      </c>
      <c r="F9" s="520">
        <f>SUMIF(72:72,YEAR(E9)&amp;"-"&amp;INT((MONTH(E9)+2)/3),73:73)</f>
        <v>98.5</v>
      </c>
      <c r="G9" s="521">
        <v>43921</v>
      </c>
      <c r="H9" s="518">
        <f>SUMIF(72:72,YEAR(G9)&amp;"-"&amp;INT((MONTH(G9)+2)/3),73:73)</f>
        <v>99.5</v>
      </c>
      <c r="I9" s="521">
        <f>Sheet1!H61</f>
        <v>43663</v>
      </c>
      <c r="J9" s="518">
        <f>SUMIF(72:72,YEAR(I9)&amp;"-"&amp;INT((MONTH(I9)+2)/3),73:73)</f>
        <v>98.5</v>
      </c>
      <c r="K9" s="522"/>
      <c r="L9" s="2127"/>
      <c r="M9" s="2124"/>
      <c r="N9" s="2124"/>
      <c r="O9" s="2128"/>
      <c r="P9" s="3769" t="s">
        <v>531</v>
      </c>
      <c r="Q9" s="3778"/>
      <c r="R9" s="1560" t="s">
        <v>8</v>
      </c>
      <c r="S9" s="1561">
        <f t="shared" ref="S9:S17" si="0">F9</f>
        <v>98.5</v>
      </c>
      <c r="T9" s="1560" t="s">
        <v>8</v>
      </c>
      <c r="U9" s="1561">
        <f t="shared" ref="U9:U17" si="1">H9</f>
        <v>99.5</v>
      </c>
      <c r="V9" s="1560" t="s">
        <v>8</v>
      </c>
      <c r="W9" s="1561">
        <f t="shared" ref="W9:W17" si="2">J9</f>
        <v>98.5</v>
      </c>
      <c r="X9" s="1562"/>
      <c r="Y9" s="3769" t="s">
        <v>531</v>
      </c>
      <c r="Z9" s="3770"/>
      <c r="AA9" s="1563">
        <f>D9/F9</f>
        <v>1.015228426395939</v>
      </c>
      <c r="AB9" s="1563">
        <f>D9/H9</f>
        <v>1.0050251256281406</v>
      </c>
      <c r="AC9" s="1563">
        <f>D9/J9</f>
        <v>1.015228426395939</v>
      </c>
    </row>
    <row r="10" spans="1:30" s="1213" customFormat="1" ht="21.6"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69" t="s">
        <v>534</v>
      </c>
      <c r="Q10" s="3770"/>
      <c r="R10" s="1560" t="s">
        <v>8</v>
      </c>
      <c r="S10" s="1561">
        <f t="shared" si="0"/>
        <v>100</v>
      </c>
      <c r="T10" s="1560" t="s">
        <v>8</v>
      </c>
      <c r="U10" s="1561">
        <f t="shared" si="1"/>
        <v>100</v>
      </c>
      <c r="V10" s="1560" t="s">
        <v>8</v>
      </c>
      <c r="W10" s="1561">
        <f t="shared" si="2"/>
        <v>100</v>
      </c>
      <c r="X10" s="1562"/>
      <c r="Y10" s="3769" t="s">
        <v>534</v>
      </c>
      <c r="Z10" s="3770"/>
      <c r="AA10" s="1563">
        <f t="shared" ref="AA10:AA47" si="3">D10/F10</f>
        <v>1</v>
      </c>
      <c r="AB10" s="1563">
        <f t="shared" ref="AB10:AB47" si="4">D10/H10</f>
        <v>1</v>
      </c>
      <c r="AC10" s="1563">
        <f t="shared" ref="AC10:AC47" si="5">D10/J10</f>
        <v>1</v>
      </c>
    </row>
    <row r="11" spans="1:30" s="1213" customFormat="1" ht="21">
      <c r="A11" s="2930"/>
      <c r="B11" s="2937" t="s">
        <v>2760</v>
      </c>
      <c r="C11" s="3490" t="s">
        <v>3299</v>
      </c>
      <c r="D11" s="252">
        <v>100</v>
      </c>
      <c r="E11" s="3491" t="s">
        <v>3300</v>
      </c>
      <c r="F11" s="252">
        <f>SUMIF(77:77,E11,78:78)-SUMIF(77:77,C11,78:78)+100</f>
        <v>100</v>
      </c>
      <c r="G11" s="3491" t="s">
        <v>3299</v>
      </c>
      <c r="H11" s="252">
        <f>SUMIF(77:77,G11,78:78)-SUMIF(77:77,C11,78:78)+100</f>
        <v>100</v>
      </c>
      <c r="I11" s="3491" t="s">
        <v>3299</v>
      </c>
      <c r="J11" s="252">
        <f>SUMIF(77:77,I11,78:78)-SUMIF(77:77,C11,78:78)+100</f>
        <v>100</v>
      </c>
      <c r="K11" s="522"/>
      <c r="L11" s="2127"/>
      <c r="M11" s="2124"/>
      <c r="N11" s="2124"/>
      <c r="O11" s="2129"/>
      <c r="P11" s="3777" t="s">
        <v>536</v>
      </c>
      <c r="Q11" s="1144" t="str">
        <f t="shared" ref="Q11:Q17" si="6">B11</f>
        <v>用途</v>
      </c>
      <c r="R11" s="1560" t="s">
        <v>8</v>
      </c>
      <c r="S11" s="1561">
        <f t="shared" si="0"/>
        <v>100</v>
      </c>
      <c r="T11" s="1560" t="s">
        <v>8</v>
      </c>
      <c r="U11" s="1561">
        <f t="shared" si="1"/>
        <v>100</v>
      </c>
      <c r="V11" s="1560" t="s">
        <v>8</v>
      </c>
      <c r="W11" s="1561">
        <f t="shared" si="2"/>
        <v>100</v>
      </c>
      <c r="X11" s="1562"/>
      <c r="Y11" s="3734" t="s">
        <v>537</v>
      </c>
      <c r="Z11" s="1143" t="str">
        <f t="shared" ref="Z11:Z17" si="7">Q11</f>
        <v>用途</v>
      </c>
      <c r="AA11" s="1563">
        <f t="shared" si="3"/>
        <v>1</v>
      </c>
      <c r="AB11" s="1563">
        <f t="shared" si="4"/>
        <v>1</v>
      </c>
      <c r="AC11" s="1563">
        <f t="shared" si="5"/>
        <v>1</v>
      </c>
    </row>
    <row r="12" spans="1:30" s="1331" customFormat="1" ht="28.8">
      <c r="A12" s="2931"/>
      <c r="B12" s="2936" t="s">
        <v>2761</v>
      </c>
      <c r="C12" s="903"/>
      <c r="D12" s="253">
        <v>100</v>
      </c>
      <c r="E12" s="527"/>
      <c r="F12" s="253">
        <f>ROUND(100/'数据-取费表'!G16,0)</f>
        <v>105</v>
      </c>
      <c r="G12" s="528"/>
      <c r="H12" s="253">
        <f>ROUND(100/'数据-取费表'!G16,0)</f>
        <v>105</v>
      </c>
      <c r="I12" s="528"/>
      <c r="J12" s="253">
        <f>ROUND(100/'数据-取费表'!G16,0)</f>
        <v>105</v>
      </c>
      <c r="K12" s="529"/>
      <c r="L12" s="2130"/>
      <c r="M12" s="2124"/>
      <c r="N12" s="2124"/>
      <c r="O12" s="2131"/>
      <c r="P12" s="3777"/>
      <c r="Q12" s="1144" t="str">
        <f t="shared" si="6"/>
        <v>土地使用年限（年）</v>
      </c>
      <c r="R12" s="1560" t="s">
        <v>8</v>
      </c>
      <c r="S12" s="1561">
        <f t="shared" si="0"/>
        <v>105</v>
      </c>
      <c r="T12" s="1560" t="s">
        <v>8</v>
      </c>
      <c r="U12" s="1561">
        <f t="shared" si="1"/>
        <v>105</v>
      </c>
      <c r="V12" s="1560" t="s">
        <v>8</v>
      </c>
      <c r="W12" s="1561">
        <f t="shared" si="2"/>
        <v>105</v>
      </c>
      <c r="X12" s="1562"/>
      <c r="Y12" s="3734"/>
      <c r="Z12" s="1143" t="str">
        <f t="shared" si="7"/>
        <v>土地使用年限（年）</v>
      </c>
      <c r="AA12" s="1563">
        <f t="shared" si="3"/>
        <v>0.95238095238095233</v>
      </c>
      <c r="AB12" s="1563">
        <f t="shared" si="4"/>
        <v>0.95238095238095233</v>
      </c>
      <c r="AC12" s="1563">
        <f t="shared" si="5"/>
        <v>0.95238095238095233</v>
      </c>
    </row>
    <row r="13" spans="1:30" ht="21">
      <c r="A13" s="2932"/>
      <c r="B13" s="2936" t="s">
        <v>2762</v>
      </c>
      <c r="C13" s="3562">
        <f>'数据-汇总表'!I7</f>
        <v>4.66</v>
      </c>
      <c r="D13" s="253">
        <v>100</v>
      </c>
      <c r="E13" s="531">
        <v>1</v>
      </c>
      <c r="F13" s="253">
        <f>LOOKUP(E13,82:82,83:83)-LOOKUP(C13,82:82,83:83)+100</f>
        <v>115</v>
      </c>
      <c r="G13" s="532">
        <v>1.2</v>
      </c>
      <c r="H13" s="253">
        <f>LOOKUP(G13,82:82,83:83)-LOOKUP(C13,82:82,83:83)+100</f>
        <v>115</v>
      </c>
      <c r="I13" s="531">
        <v>5.5</v>
      </c>
      <c r="J13" s="253">
        <f>LOOKUP(I13,82:82,83:83)-LOOKUP(C13,82:82,83:83)+100</f>
        <v>95</v>
      </c>
      <c r="K13" s="533">
        <v>5</v>
      </c>
      <c r="L13" s="2132"/>
      <c r="M13" s="2124"/>
      <c r="N13" s="2124"/>
      <c r="O13" s="2133"/>
      <c r="P13" s="3777"/>
      <c r="Q13" s="1144" t="str">
        <f t="shared" si="6"/>
        <v>容积率</v>
      </c>
      <c r="R13" s="1560" t="s">
        <v>8</v>
      </c>
      <c r="S13" s="1561">
        <f t="shared" si="0"/>
        <v>115</v>
      </c>
      <c r="T13" s="1560" t="s">
        <v>8</v>
      </c>
      <c r="U13" s="1561">
        <f t="shared" si="1"/>
        <v>115</v>
      </c>
      <c r="V13" s="1560" t="s">
        <v>8</v>
      </c>
      <c r="W13" s="1561">
        <f t="shared" si="2"/>
        <v>95</v>
      </c>
      <c r="X13" s="1562"/>
      <c r="Y13" s="3734"/>
      <c r="Z13" s="1143" t="str">
        <f t="shared" si="7"/>
        <v>容积率</v>
      </c>
      <c r="AA13" s="1563">
        <f t="shared" si="3"/>
        <v>0.86956521739130432</v>
      </c>
      <c r="AB13" s="1563">
        <f t="shared" si="4"/>
        <v>0.86956521739130432</v>
      </c>
      <c r="AC13" s="1563">
        <f t="shared" si="5"/>
        <v>1.0526315789473684</v>
      </c>
    </row>
    <row r="14" spans="1:30" s="1213" customFormat="1" ht="21">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77"/>
      <c r="Q14" s="1144" t="str">
        <f t="shared" si="6"/>
        <v>配建</v>
      </c>
      <c r="R14" s="1560" t="s">
        <v>8</v>
      </c>
      <c r="S14" s="1561">
        <f t="shared" si="0"/>
        <v>100</v>
      </c>
      <c r="T14" s="1560" t="s">
        <v>8</v>
      </c>
      <c r="U14" s="1561">
        <f t="shared" si="1"/>
        <v>100</v>
      </c>
      <c r="V14" s="1560" t="s">
        <v>8</v>
      </c>
      <c r="W14" s="1561">
        <f t="shared" si="2"/>
        <v>100</v>
      </c>
      <c r="X14" s="1562"/>
      <c r="Y14" s="3734"/>
      <c r="Z14" s="1143" t="str">
        <f t="shared" si="7"/>
        <v>配建</v>
      </c>
      <c r="AA14" s="1563">
        <f>D14/F14</f>
        <v>1</v>
      </c>
      <c r="AB14" s="1563">
        <f>D14/H14</f>
        <v>1</v>
      </c>
      <c r="AC14" s="1563">
        <f>D14/J14</f>
        <v>1</v>
      </c>
    </row>
    <row r="15" spans="1:30" ht="21">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77"/>
      <c r="Q15" s="1144">
        <f t="shared" si="6"/>
        <v>111</v>
      </c>
      <c r="R15" s="1560" t="s">
        <v>8</v>
      </c>
      <c r="S15" s="1561">
        <f t="shared" si="0"/>
        <v>100</v>
      </c>
      <c r="T15" s="1560" t="s">
        <v>8</v>
      </c>
      <c r="U15" s="1561">
        <f t="shared" si="1"/>
        <v>100</v>
      </c>
      <c r="V15" s="1560" t="s">
        <v>8</v>
      </c>
      <c r="W15" s="1561">
        <f t="shared" si="2"/>
        <v>100</v>
      </c>
      <c r="X15" s="1562"/>
      <c r="Y15" s="3734"/>
      <c r="Z15" s="1143">
        <f t="shared" si="7"/>
        <v>111</v>
      </c>
      <c r="AA15" s="1563">
        <f>D15/F15</f>
        <v>1</v>
      </c>
      <c r="AB15" s="1563">
        <f>D15/H15</f>
        <v>1</v>
      </c>
      <c r="AC15" s="1563">
        <f>D15/J15</f>
        <v>1</v>
      </c>
    </row>
    <row r="16" spans="1:30" ht="21.6"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77"/>
      <c r="Q16" s="1144">
        <f t="shared" si="6"/>
        <v>111</v>
      </c>
      <c r="R16" s="1560" t="s">
        <v>8</v>
      </c>
      <c r="S16" s="1561">
        <f t="shared" si="0"/>
        <v>100</v>
      </c>
      <c r="T16" s="1560" t="s">
        <v>8</v>
      </c>
      <c r="U16" s="1561">
        <f t="shared" si="1"/>
        <v>100</v>
      </c>
      <c r="V16" s="1560" t="s">
        <v>8</v>
      </c>
      <c r="W16" s="1561">
        <f t="shared" si="2"/>
        <v>100</v>
      </c>
      <c r="X16" s="1562"/>
      <c r="Y16" s="3734"/>
      <c r="Z16" s="1143">
        <f t="shared" si="7"/>
        <v>111</v>
      </c>
      <c r="AA16" s="1563">
        <f>D16/F16</f>
        <v>1</v>
      </c>
      <c r="AB16" s="1563">
        <f>D16/H16</f>
        <v>1</v>
      </c>
      <c r="AC16" s="1563">
        <f>D16/J16</f>
        <v>1</v>
      </c>
    </row>
    <row r="17" spans="1:29" ht="100.8" hidden="1">
      <c r="A17" s="2926" t="s">
        <v>2758</v>
      </c>
      <c r="B17" s="3544" t="s">
        <v>295</v>
      </c>
      <c r="C17" s="546" t="str">
        <f>估价对象房地状况!C15</f>
        <v>估价对象位于太湖商圈，周边办公楼项目较多（无锡金融中心等），入驻率较高，办公集聚程度较好</v>
      </c>
      <c r="D17" s="549">
        <v>100</v>
      </c>
      <c r="E17" s="3523" t="s">
        <v>3408</v>
      </c>
      <c r="F17" s="547">
        <f>SUMIF(90:90,E18,91:91)-SUMIF(90:90,C18,91:91)+100</f>
        <v>100</v>
      </c>
      <c r="G17" s="3522" t="s">
        <v>3409</v>
      </c>
      <c r="H17" s="547">
        <f>SUMIF(90:90,G18,91:91)-SUMIF(90:90,C18,91:91)+100</f>
        <v>100</v>
      </c>
      <c r="I17" s="3523" t="s">
        <v>3410</v>
      </c>
      <c r="J17" s="547">
        <f>SUMIF(90:90,I18,91:91)-SUMIF(90:90,C18,91:91)+100</f>
        <v>100</v>
      </c>
      <c r="K17" s="533">
        <v>2</v>
      </c>
      <c r="L17" s="2134"/>
      <c r="M17" s="2124"/>
      <c r="N17" s="2124"/>
      <c r="O17" s="2133"/>
      <c r="P17" s="3779" t="s">
        <v>541</v>
      </c>
      <c r="Q17" s="1564" t="str">
        <f t="shared" si="6"/>
        <v>居住社区成熟度</v>
      </c>
      <c r="R17" s="1565" t="s">
        <v>8</v>
      </c>
      <c r="S17" s="1566">
        <f t="shared" si="0"/>
        <v>100</v>
      </c>
      <c r="T17" s="1565" t="s">
        <v>8</v>
      </c>
      <c r="U17" s="1566">
        <f t="shared" si="1"/>
        <v>100</v>
      </c>
      <c r="V17" s="1565" t="s">
        <v>8</v>
      </c>
      <c r="W17" s="1566">
        <f t="shared" si="2"/>
        <v>100</v>
      </c>
      <c r="X17" s="1559"/>
      <c r="Y17" s="3779" t="s">
        <v>541</v>
      </c>
      <c r="Z17" s="1567" t="str">
        <f t="shared" si="7"/>
        <v>居住社区成熟度</v>
      </c>
      <c r="AA17" s="1568">
        <f t="shared" si="3"/>
        <v>1</v>
      </c>
      <c r="AB17" s="1568">
        <f t="shared" si="4"/>
        <v>1</v>
      </c>
      <c r="AC17" s="1568">
        <f t="shared" si="5"/>
        <v>1</v>
      </c>
    </row>
    <row r="18" spans="1:29" ht="21" hidden="1">
      <c r="A18" s="530"/>
      <c r="B18" s="551"/>
      <c r="C18" s="3492" t="s">
        <v>3301</v>
      </c>
      <c r="D18" s="555"/>
      <c r="E18" s="3493" t="s">
        <v>3301</v>
      </c>
      <c r="F18" s="553"/>
      <c r="G18" s="3494" t="s">
        <v>3302</v>
      </c>
      <c r="H18" s="557"/>
      <c r="I18" s="3493" t="s">
        <v>3288</v>
      </c>
      <c r="J18" s="553"/>
      <c r="K18" s="529"/>
      <c r="L18" s="2134"/>
      <c r="M18" s="2124"/>
      <c r="N18" s="2124"/>
      <c r="O18" s="2133"/>
      <c r="P18" s="3780"/>
      <c r="Q18" s="1564"/>
      <c r="R18" s="1565"/>
      <c r="S18" s="1566"/>
      <c r="T18" s="1565"/>
      <c r="U18" s="1566"/>
      <c r="V18" s="1565"/>
      <c r="W18" s="1566"/>
      <c r="X18" s="1559"/>
      <c r="Y18" s="3780"/>
      <c r="Z18" s="1567"/>
      <c r="AA18" s="1568">
        <v>1</v>
      </c>
      <c r="AB18" s="1568">
        <v>1</v>
      </c>
      <c r="AC18" s="1568">
        <v>1</v>
      </c>
    </row>
    <row r="19" spans="1:29" ht="96.6">
      <c r="A19" s="530"/>
      <c r="B19" s="558" t="s">
        <v>542</v>
      </c>
      <c r="C19" s="559" t="str">
        <f>估价对象房地状况!C16</f>
        <v>估价对象位于太湖商圈，周边商业氛围成熟（海岸城1八方汇等），人流量较大大，商业繁华度较好</v>
      </c>
      <c r="D19" s="561">
        <v>100</v>
      </c>
      <c r="E19" s="3527" t="s">
        <v>3413</v>
      </c>
      <c r="F19" s="557">
        <f>SUMIF(92:92,E20,93:93)-SUMIF(92:92,C20,93:93)+100</f>
        <v>100</v>
      </c>
      <c r="G19" s="3526" t="s">
        <v>3406</v>
      </c>
      <c r="H19" s="563">
        <f>SUMIF(92:92,G20,93:93)-SUMIF(92:92,C20,93:93)+100</f>
        <v>100</v>
      </c>
      <c r="I19" s="3527" t="s">
        <v>3413</v>
      </c>
      <c r="J19" s="563">
        <f>SUMIF(92:92,I20,93:93)-SUMIF(92:92,C20,93:93)+100</f>
        <v>100</v>
      </c>
      <c r="K19" s="533">
        <v>2</v>
      </c>
      <c r="L19" s="2134"/>
      <c r="M19" s="2124"/>
      <c r="N19" s="2124"/>
      <c r="O19" s="2133"/>
      <c r="P19" s="3780"/>
      <c r="Q19" s="1564" t="str">
        <f>B19</f>
        <v>商业繁华度</v>
      </c>
      <c r="R19" s="1565" t="s">
        <v>8</v>
      </c>
      <c r="S19" s="1566">
        <f>F19</f>
        <v>100</v>
      </c>
      <c r="T19" s="1565" t="s">
        <v>8</v>
      </c>
      <c r="U19" s="1566">
        <f>H19</f>
        <v>100</v>
      </c>
      <c r="V19" s="1565" t="s">
        <v>8</v>
      </c>
      <c r="W19" s="1566">
        <f>J19</f>
        <v>100</v>
      </c>
      <c r="X19" s="1559"/>
      <c r="Y19" s="3780"/>
      <c r="Z19" s="1567" t="str">
        <f>Q19</f>
        <v>商业繁华度</v>
      </c>
      <c r="AA19" s="1568">
        <f t="shared" si="3"/>
        <v>1</v>
      </c>
      <c r="AB19" s="1568">
        <f t="shared" si="4"/>
        <v>1</v>
      </c>
      <c r="AC19" s="1568">
        <f t="shared" si="5"/>
        <v>1</v>
      </c>
    </row>
    <row r="20" spans="1:29" ht="21">
      <c r="A20" s="530"/>
      <c r="B20" s="564"/>
      <c r="C20" s="3500" t="s">
        <v>3301</v>
      </c>
      <c r="D20" s="561"/>
      <c r="E20" s="566" t="s">
        <v>3288</v>
      </c>
      <c r="F20" s="557"/>
      <c r="G20" s="565" t="s">
        <v>3288</v>
      </c>
      <c r="H20" s="553"/>
      <c r="I20" s="566" t="s">
        <v>3288</v>
      </c>
      <c r="J20" s="553"/>
      <c r="K20" s="529"/>
      <c r="L20" s="2134"/>
      <c r="M20" s="2124"/>
      <c r="N20" s="2124"/>
      <c r="O20" s="2133"/>
      <c r="P20" s="3780"/>
      <c r="Q20" s="1564"/>
      <c r="R20" s="1565"/>
      <c r="S20" s="1566"/>
      <c r="T20" s="1565"/>
      <c r="U20" s="1566"/>
      <c r="V20" s="1565"/>
      <c r="W20" s="1566"/>
      <c r="X20" s="1559"/>
      <c r="Y20" s="3780"/>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3414</v>
      </c>
      <c r="F21" s="563">
        <f>SUMIF(94:94,E22,95:95)-SUMIF(94:94,C22,95:95)+100</f>
        <v>100</v>
      </c>
      <c r="G21" s="3524" t="s">
        <v>3407</v>
      </c>
      <c r="H21" s="557">
        <f>SUMIF(94:94,G22,95:95)-SUMIF(94:94,C22,95:95)+100</f>
        <v>100</v>
      </c>
      <c r="I21" s="3525" t="s">
        <v>3450</v>
      </c>
      <c r="J21" s="557">
        <f>SUMIF(94:94,I22,95:95)-SUMIF(94:94,C22,95:95)+100</f>
        <v>100</v>
      </c>
      <c r="K21" s="533">
        <v>2</v>
      </c>
      <c r="L21" s="2134"/>
      <c r="M21" s="2124"/>
      <c r="N21" s="2124"/>
      <c r="O21" s="2133"/>
      <c r="P21" s="3780"/>
      <c r="Q21" s="1564" t="str">
        <f>B21</f>
        <v>办公集聚程度</v>
      </c>
      <c r="R21" s="1565" t="s">
        <v>8</v>
      </c>
      <c r="S21" s="1566">
        <f>F21</f>
        <v>100</v>
      </c>
      <c r="T21" s="1565" t="s">
        <v>8</v>
      </c>
      <c r="U21" s="1566">
        <f>H21</f>
        <v>100</v>
      </c>
      <c r="V21" s="1565" t="s">
        <v>8</v>
      </c>
      <c r="W21" s="1566">
        <f>J21</f>
        <v>100</v>
      </c>
      <c r="X21" s="1559"/>
      <c r="Y21" s="3780"/>
      <c r="Z21" s="1567" t="str">
        <f>Q21</f>
        <v>办公集聚程度</v>
      </c>
      <c r="AA21" s="1568">
        <f t="shared" si="3"/>
        <v>1</v>
      </c>
      <c r="AB21" s="1568">
        <f t="shared" si="4"/>
        <v>1</v>
      </c>
      <c r="AC21" s="1568">
        <f t="shared" si="5"/>
        <v>1</v>
      </c>
    </row>
    <row r="22" spans="1:29" ht="21">
      <c r="A22" s="530"/>
      <c r="B22" s="564"/>
      <c r="C22" s="3492" t="s">
        <v>3301</v>
      </c>
      <c r="D22" s="555"/>
      <c r="E22" s="3493" t="s">
        <v>3301</v>
      </c>
      <c r="F22" s="553"/>
      <c r="G22" s="3494" t="s">
        <v>3301</v>
      </c>
      <c r="H22" s="553"/>
      <c r="I22" s="3493" t="s">
        <v>3301</v>
      </c>
      <c r="J22" s="553"/>
      <c r="K22" s="529"/>
      <c r="L22" s="2134"/>
      <c r="M22" s="2124"/>
      <c r="N22" s="2124"/>
      <c r="O22" s="2133"/>
      <c r="P22" s="3780"/>
      <c r="Q22" s="1564"/>
      <c r="R22" s="1565"/>
      <c r="S22" s="1566"/>
      <c r="T22" s="1565"/>
      <c r="U22" s="1566"/>
      <c r="V22" s="1565"/>
      <c r="W22" s="1566"/>
      <c r="X22" s="1559"/>
      <c r="Y22" s="3780"/>
      <c r="Z22" s="1567"/>
      <c r="AA22" s="1568">
        <v>1</v>
      </c>
      <c r="AB22" s="1568">
        <v>1</v>
      </c>
      <c r="AC22" s="1568">
        <v>1</v>
      </c>
    </row>
    <row r="23" spans="1:29" ht="129.6">
      <c r="A23" s="530"/>
      <c r="B23" s="558" t="s">
        <v>544</v>
      </c>
      <c r="C23" s="570" t="str">
        <f>估价对象房地状况!C18</f>
        <v>估价对象临立信大道、公共交通线路较多（135路、156路等）及地铁1号线、停车便捷度较高，综合评价交通便捷度较好</v>
      </c>
      <c r="D23" s="561">
        <v>100</v>
      </c>
      <c r="E23" s="562" t="s">
        <v>3415</v>
      </c>
      <c r="F23" s="563">
        <f>SUMIF(96:96,E24,97:97)-SUMIF(96:96,C24,97:97)+100</f>
        <v>100</v>
      </c>
      <c r="G23" s="560" t="s">
        <v>3416</v>
      </c>
      <c r="H23" s="557">
        <f>SUMIF(96:96,G24,97:97)-SUMIF(96:96,C24,97:97)+100</f>
        <v>100</v>
      </c>
      <c r="I23" s="562" t="s">
        <v>3417</v>
      </c>
      <c r="J23" s="557">
        <f>SUMIF(96:96,I24,97:97)-SUMIF(96:96,C24,97:97)+100</f>
        <v>100</v>
      </c>
      <c r="K23" s="533">
        <v>2</v>
      </c>
      <c r="L23" s="2134"/>
      <c r="M23" s="2124"/>
      <c r="N23" s="2124"/>
      <c r="O23" s="2133"/>
      <c r="P23" s="3780"/>
      <c r="Q23" s="1564" t="str">
        <f>B23</f>
        <v>交通便捷度</v>
      </c>
      <c r="R23" s="1565" t="s">
        <v>8</v>
      </c>
      <c r="S23" s="1566">
        <f>F23</f>
        <v>100</v>
      </c>
      <c r="T23" s="1565" t="s">
        <v>8</v>
      </c>
      <c r="U23" s="1566">
        <f>H23</f>
        <v>100</v>
      </c>
      <c r="V23" s="1565" t="s">
        <v>8</v>
      </c>
      <c r="W23" s="1566">
        <f>J23</f>
        <v>100</v>
      </c>
      <c r="X23" s="1559"/>
      <c r="Y23" s="3780"/>
      <c r="Z23" s="1567" t="str">
        <f>Q23</f>
        <v>交通便捷度</v>
      </c>
      <c r="AA23" s="1568">
        <f t="shared" si="3"/>
        <v>1</v>
      </c>
      <c r="AB23" s="1568">
        <f t="shared" si="4"/>
        <v>1</v>
      </c>
      <c r="AC23" s="1568">
        <f t="shared" si="5"/>
        <v>1</v>
      </c>
    </row>
    <row r="24" spans="1:29" ht="21">
      <c r="A24" s="530"/>
      <c r="B24" s="575"/>
      <c r="C24" s="3492" t="s">
        <v>3301</v>
      </c>
      <c r="D24" s="555"/>
      <c r="E24" s="3493" t="s">
        <v>3301</v>
      </c>
      <c r="F24" s="553"/>
      <c r="G24" s="3494" t="s">
        <v>3301</v>
      </c>
      <c r="H24" s="553"/>
      <c r="I24" s="3493" t="s">
        <v>3301</v>
      </c>
      <c r="J24" s="553"/>
      <c r="K24" s="529"/>
      <c r="L24" s="2134"/>
      <c r="M24" s="2124"/>
      <c r="N24" s="2124"/>
      <c r="O24" s="2133"/>
      <c r="P24" s="3780"/>
      <c r="Q24" s="1564"/>
      <c r="R24" s="1565"/>
      <c r="S24" s="1566"/>
      <c r="T24" s="1565"/>
      <c r="U24" s="1566"/>
      <c r="V24" s="1565"/>
      <c r="W24" s="1566"/>
      <c r="X24" s="1559"/>
      <c r="Y24" s="3780"/>
      <c r="Z24" s="1567"/>
      <c r="AA24" s="1568">
        <v>1</v>
      </c>
      <c r="AB24" s="1568">
        <v>1</v>
      </c>
      <c r="AC24" s="1568">
        <v>1</v>
      </c>
    </row>
    <row r="25" spans="1:29" ht="28.8">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80"/>
      <c r="Q25" s="1564" t="str">
        <f t="shared" ref="Q25:Q39" si="8">B25</f>
        <v>区域土地利用方向</v>
      </c>
      <c r="R25" s="1565" t="s">
        <v>8</v>
      </c>
      <c r="S25" s="1566">
        <f>F25</f>
        <v>100</v>
      </c>
      <c r="T25" s="1565" t="s">
        <v>8</v>
      </c>
      <c r="U25" s="1566">
        <f>H25</f>
        <v>100</v>
      </c>
      <c r="V25" s="1565" t="s">
        <v>8</v>
      </c>
      <c r="W25" s="1566">
        <f>J25</f>
        <v>100</v>
      </c>
      <c r="X25" s="1559"/>
      <c r="Y25" s="3780"/>
      <c r="Z25" s="1567" t="str">
        <f>Q25</f>
        <v>区域土地利用方向</v>
      </c>
      <c r="AA25" s="1568">
        <f t="shared" si="3"/>
        <v>1</v>
      </c>
      <c r="AB25" s="1568">
        <f t="shared" si="4"/>
        <v>1</v>
      </c>
      <c r="AC25" s="1568">
        <f t="shared" si="5"/>
        <v>1</v>
      </c>
    </row>
    <row r="26" spans="1:29" ht="21">
      <c r="A26" s="513"/>
      <c r="B26" s="1000"/>
      <c r="C26" s="3492" t="s">
        <v>3301</v>
      </c>
      <c r="D26" s="555"/>
      <c r="E26" s="3493" t="s">
        <v>3301</v>
      </c>
      <c r="F26" s="553"/>
      <c r="G26" s="3494" t="s">
        <v>3301</v>
      </c>
      <c r="H26" s="553"/>
      <c r="I26" s="3493" t="s">
        <v>3301</v>
      </c>
      <c r="J26" s="553"/>
      <c r="K26" s="529"/>
      <c r="L26" s="2134"/>
      <c r="M26" s="2124"/>
      <c r="N26" s="2124"/>
      <c r="O26" s="2133"/>
      <c r="P26" s="3780"/>
      <c r="Q26" s="1564"/>
      <c r="R26" s="1565"/>
      <c r="S26" s="1566"/>
      <c r="T26" s="1565"/>
      <c r="U26" s="1566"/>
      <c r="V26" s="1565"/>
      <c r="W26" s="1566"/>
      <c r="X26" s="1559"/>
      <c r="Y26" s="3780"/>
      <c r="Z26" s="1567"/>
      <c r="AA26" s="1568"/>
      <c r="AB26" s="1568"/>
      <c r="AC26" s="1568"/>
    </row>
    <row r="27" spans="1:29" ht="100.8">
      <c r="A27" s="513"/>
      <c r="B27" s="575" t="s">
        <v>546</v>
      </c>
      <c r="C27" s="559" t="str">
        <f>估价对象房地状况!C20</f>
        <v>区域内有尚贤河湿地公园，自然环境较好；无大学等人文设施，人文环境较差；综合评价环境状况一般</v>
      </c>
      <c r="D27" s="561">
        <v>100</v>
      </c>
      <c r="E27" s="3527" t="s">
        <v>3418</v>
      </c>
      <c r="F27" s="557">
        <f>SUMIF(100:100,E28,101:101)-SUMIF(100:100,C28,101:101)+100</f>
        <v>100</v>
      </c>
      <c r="G27" s="3526" t="s">
        <v>3419</v>
      </c>
      <c r="H27" s="557">
        <f>SUMIF(100:100,G28,101:101)-SUMIF(100:100,C28,101:101)+100</f>
        <v>100</v>
      </c>
      <c r="I27" s="3527" t="s">
        <v>3420</v>
      </c>
      <c r="J27" s="557">
        <f>SUMIF(100:100,I28,101:101)-SUMIF(100:100,C28,101:101)+100</f>
        <v>100</v>
      </c>
      <c r="K27" s="533">
        <v>2</v>
      </c>
      <c r="L27" s="2134"/>
      <c r="M27" s="2124"/>
      <c r="N27" s="2124"/>
      <c r="O27" s="2133"/>
      <c r="P27" s="3780"/>
      <c r="Q27" s="1564" t="str">
        <f t="shared" si="8"/>
        <v>自然及人文环境状况</v>
      </c>
      <c r="R27" s="1565" t="s">
        <v>8</v>
      </c>
      <c r="S27" s="1566">
        <f>F27</f>
        <v>100</v>
      </c>
      <c r="T27" s="1565" t="s">
        <v>8</v>
      </c>
      <c r="U27" s="1566">
        <f>H27</f>
        <v>100</v>
      </c>
      <c r="V27" s="1565" t="s">
        <v>8</v>
      </c>
      <c r="W27" s="1566">
        <f>J27</f>
        <v>100</v>
      </c>
      <c r="X27" s="1559"/>
      <c r="Y27" s="3780"/>
      <c r="Z27" s="1567" t="str">
        <f>Q27</f>
        <v>自然及人文环境状况</v>
      </c>
      <c r="AA27" s="1568">
        <f t="shared" si="3"/>
        <v>1</v>
      </c>
      <c r="AB27" s="1568">
        <f t="shared" si="4"/>
        <v>1</v>
      </c>
      <c r="AC27" s="1568">
        <f t="shared" si="5"/>
        <v>1</v>
      </c>
    </row>
    <row r="28" spans="1:29" ht="21">
      <c r="A28" s="513"/>
      <c r="B28" s="564"/>
      <c r="C28" s="3492" t="s">
        <v>3287</v>
      </c>
      <c r="D28" s="555"/>
      <c r="E28" s="3499" t="s">
        <v>3306</v>
      </c>
      <c r="F28" s="553"/>
      <c r="G28" s="3492" t="s">
        <v>3287</v>
      </c>
      <c r="H28" s="553"/>
      <c r="I28" s="3499" t="s">
        <v>3287</v>
      </c>
      <c r="J28" s="553"/>
      <c r="K28" s="529"/>
      <c r="L28" s="2134"/>
      <c r="M28" s="2124"/>
      <c r="N28" s="2124"/>
      <c r="O28" s="2133"/>
      <c r="P28" s="3780"/>
      <c r="Q28" s="1564"/>
      <c r="R28" s="1565"/>
      <c r="S28" s="1566"/>
      <c r="T28" s="1565"/>
      <c r="U28" s="1566"/>
      <c r="V28" s="1565"/>
      <c r="W28" s="1566"/>
      <c r="X28" s="1559"/>
      <c r="Y28" s="3780"/>
      <c r="Z28" s="1567"/>
      <c r="AA28" s="1568">
        <v>1</v>
      </c>
      <c r="AB28" s="1568">
        <v>1</v>
      </c>
      <c r="AC28" s="1568">
        <v>1</v>
      </c>
    </row>
    <row r="29" spans="1:29" s="1213" customFormat="1" ht="100.8">
      <c r="A29" s="574"/>
      <c r="B29" s="2607" t="s">
        <v>2552</v>
      </c>
      <c r="C29" s="570" t="str">
        <f>估价对象房地状况!C21</f>
        <v>估价对象所在区域内有农业银行、无锡市第二中医医院、无锡金桥双语实验学校，公共配套设施水平较好</v>
      </c>
      <c r="D29" s="561">
        <v>100</v>
      </c>
      <c r="E29" s="3527" t="s">
        <v>3421</v>
      </c>
      <c r="F29" s="557">
        <f>SUMIF(102:102,E30,103:103)-SUMIF(102:102,C30,103:103)+100</f>
        <v>100</v>
      </c>
      <c r="G29" s="3526" t="s">
        <v>3422</v>
      </c>
      <c r="H29" s="557">
        <f>SUMIF(102:102,G30,103:103)-SUMIF(102:102,C30,103:103)+100</f>
        <v>100</v>
      </c>
      <c r="I29" s="3527" t="s">
        <v>3423</v>
      </c>
      <c r="J29" s="557">
        <f>SUMIF(102:102,I30,103:103)-SUMIF(102:102,C30,103:103)+100</f>
        <v>100</v>
      </c>
      <c r="K29" s="533">
        <v>2</v>
      </c>
      <c r="L29" s="2127"/>
      <c r="M29" s="2124"/>
      <c r="N29" s="2124"/>
      <c r="O29" s="2129"/>
      <c r="P29" s="3780"/>
      <c r="Q29" s="1144" t="str">
        <f t="shared" si="8"/>
        <v>公共配套设施</v>
      </c>
      <c r="R29" s="1560" t="s">
        <v>8</v>
      </c>
      <c r="S29" s="1561">
        <f>F29</f>
        <v>100</v>
      </c>
      <c r="T29" s="1560" t="s">
        <v>8</v>
      </c>
      <c r="U29" s="1561">
        <f>H29</f>
        <v>100</v>
      </c>
      <c r="V29" s="1560" t="s">
        <v>8</v>
      </c>
      <c r="W29" s="1561">
        <f>J29</f>
        <v>100</v>
      </c>
      <c r="X29" s="1562"/>
      <c r="Y29" s="3780"/>
      <c r="Z29" s="1143" t="str">
        <f>Q29</f>
        <v>公共配套设施</v>
      </c>
      <c r="AA29" s="1568">
        <f>D29/F29</f>
        <v>1</v>
      </c>
      <c r="AB29" s="1568">
        <f>D29/H29</f>
        <v>1</v>
      </c>
      <c r="AC29" s="1568">
        <f>D29/J29</f>
        <v>1</v>
      </c>
    </row>
    <row r="30" spans="1:29" s="1213" customFormat="1" ht="21">
      <c r="A30" s="574"/>
      <c r="B30" s="564"/>
      <c r="C30" s="3497" t="s">
        <v>3301</v>
      </c>
      <c r="D30" s="555"/>
      <c r="E30" s="3499" t="s">
        <v>3301</v>
      </c>
      <c r="F30" s="553"/>
      <c r="G30" s="3492" t="s">
        <v>3302</v>
      </c>
      <c r="H30" s="553"/>
      <c r="I30" s="3499" t="s">
        <v>3301</v>
      </c>
      <c r="J30" s="553"/>
      <c r="K30" s="529"/>
      <c r="L30" s="2127"/>
      <c r="M30" s="2124"/>
      <c r="N30" s="2124"/>
      <c r="O30" s="2129"/>
      <c r="P30" s="3780"/>
      <c r="Q30" s="1144"/>
      <c r="R30" s="1560"/>
      <c r="S30" s="1561"/>
      <c r="T30" s="1560"/>
      <c r="U30" s="1561"/>
      <c r="V30" s="1560"/>
      <c r="W30" s="1561"/>
      <c r="X30" s="1562"/>
      <c r="Y30" s="3780"/>
      <c r="Z30" s="1143"/>
      <c r="AA30" s="1568">
        <v>1</v>
      </c>
      <c r="AB30" s="1568">
        <v>1</v>
      </c>
      <c r="AC30" s="1568">
        <v>1</v>
      </c>
    </row>
    <row r="31" spans="1:29" s="1213" customFormat="1" ht="41.4">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80"/>
      <c r="Q31" s="2594" t="str">
        <f t="shared" ref="Q31" si="9">B31</f>
        <v>基础设施水平</v>
      </c>
      <c r="R31" s="1560" t="s">
        <v>8</v>
      </c>
      <c r="S31" s="1561">
        <f>F31</f>
        <v>100</v>
      </c>
      <c r="T31" s="1560" t="s">
        <v>8</v>
      </c>
      <c r="U31" s="1561">
        <f>H31</f>
        <v>100</v>
      </c>
      <c r="V31" s="1560" t="s">
        <v>8</v>
      </c>
      <c r="W31" s="1561">
        <f>J31</f>
        <v>100</v>
      </c>
      <c r="X31" s="1562"/>
      <c r="Y31" s="3780"/>
      <c r="Z31" s="2591" t="str">
        <f>Q31</f>
        <v>基础设施水平</v>
      </c>
      <c r="AA31" s="1568">
        <f>D31/F31</f>
        <v>1</v>
      </c>
      <c r="AB31" s="1568">
        <f>D31/H31</f>
        <v>1</v>
      </c>
      <c r="AC31" s="1568">
        <f>D31/J31</f>
        <v>1</v>
      </c>
    </row>
    <row r="32" spans="1:29" s="1213" customFormat="1" ht="21">
      <c r="A32" s="574"/>
      <c r="B32" s="564"/>
      <c r="C32" s="3497" t="s">
        <v>3305</v>
      </c>
      <c r="D32" s="555"/>
      <c r="E32" s="3498" t="s">
        <v>3305</v>
      </c>
      <c r="F32" s="553"/>
      <c r="G32" s="3497" t="s">
        <v>3305</v>
      </c>
      <c r="H32" s="553"/>
      <c r="I32" s="3497" t="s">
        <v>3305</v>
      </c>
      <c r="J32" s="553"/>
      <c r="K32" s="529"/>
      <c r="L32" s="2127"/>
      <c r="M32" s="2124"/>
      <c r="N32" s="2124"/>
      <c r="O32" s="2129"/>
      <c r="P32" s="3780"/>
      <c r="Q32" s="2594"/>
      <c r="R32" s="1560"/>
      <c r="S32" s="1561"/>
      <c r="T32" s="1560"/>
      <c r="U32" s="1561"/>
      <c r="V32" s="1560"/>
      <c r="W32" s="1561"/>
      <c r="X32" s="1562"/>
      <c r="Y32" s="3780"/>
      <c r="Z32" s="2591"/>
      <c r="AA32" s="1568">
        <v>1</v>
      </c>
      <c r="AB32" s="1568">
        <v>1</v>
      </c>
      <c r="AC32" s="1568">
        <v>1</v>
      </c>
    </row>
    <row r="33" spans="1:29" ht="21">
      <c r="A33" s="530"/>
      <c r="B33" s="564" t="s">
        <v>548</v>
      </c>
      <c r="C33" s="577"/>
      <c r="D33" s="572">
        <v>100</v>
      </c>
      <c r="E33" s="580"/>
      <c r="F33" s="538">
        <f>SUMIF(106:106,E33,107:107)-SUMIF(106:106,C33,107:107)+100</f>
        <v>100</v>
      </c>
      <c r="G33" s="577"/>
      <c r="H33" s="538">
        <f>SUMIF(106:106,G33,107:107)-SUMIF(106:106,C33,107:107)+100</f>
        <v>100</v>
      </c>
      <c r="I33" s="577"/>
      <c r="J33" s="538">
        <f>SUMIF(106:106,I33,107:107)-SUMIF(106:106,C33,107:107)+100</f>
        <v>100</v>
      </c>
      <c r="K33" s="533">
        <v>2</v>
      </c>
      <c r="L33" s="2134"/>
      <c r="M33" s="2124"/>
      <c r="N33" s="2124"/>
      <c r="O33" s="2133"/>
      <c r="P33" s="3780"/>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80"/>
      <c r="Z33" s="1567" t="str">
        <f t="shared" ref="Z33:Z47" si="13">Q33</f>
        <v>临街状况</v>
      </c>
      <c r="AA33" s="1568">
        <f t="shared" si="3"/>
        <v>1</v>
      </c>
      <c r="AB33" s="1568">
        <f t="shared" si="4"/>
        <v>1</v>
      </c>
      <c r="AC33" s="1568">
        <f t="shared" si="5"/>
        <v>1</v>
      </c>
    </row>
    <row r="34" spans="1:29" ht="28.8">
      <c r="A34" s="530"/>
      <c r="B34" s="575"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34"/>
      <c r="M34" s="2124"/>
      <c r="N34" s="2124"/>
      <c r="O34" s="2133"/>
      <c r="P34" s="3780"/>
      <c r="Q34" s="1564" t="str">
        <f t="shared" si="8"/>
        <v>毗邻道路的类型与等级</v>
      </c>
      <c r="R34" s="1565" t="s">
        <v>8</v>
      </c>
      <c r="S34" s="1566">
        <f t="shared" si="10"/>
        <v>100</v>
      </c>
      <c r="T34" s="1565" t="s">
        <v>8</v>
      </c>
      <c r="U34" s="1566">
        <f t="shared" si="11"/>
        <v>100</v>
      </c>
      <c r="V34" s="1565" t="s">
        <v>8</v>
      </c>
      <c r="W34" s="1566">
        <f t="shared" si="12"/>
        <v>100</v>
      </c>
      <c r="X34" s="1559"/>
      <c r="Y34" s="3780"/>
      <c r="Z34" s="1567" t="str">
        <f t="shared" si="13"/>
        <v>毗邻道路的类型与等级</v>
      </c>
      <c r="AA34" s="1568">
        <f t="shared" si="3"/>
        <v>1</v>
      </c>
      <c r="AB34" s="1568">
        <f t="shared" si="4"/>
        <v>1</v>
      </c>
      <c r="AC34" s="1568">
        <f t="shared" si="5"/>
        <v>1</v>
      </c>
    </row>
    <row r="35" spans="1:29" ht="21">
      <c r="A35" s="530"/>
      <c r="B35" s="564"/>
      <c r="C35" s="3492"/>
      <c r="D35" s="555"/>
      <c r="E35" s="573"/>
      <c r="F35" s="553"/>
      <c r="G35" s="552"/>
      <c r="H35" s="553"/>
      <c r="I35" s="573"/>
      <c r="J35" s="553"/>
      <c r="K35" s="578"/>
      <c r="L35" s="2134"/>
      <c r="M35" s="2124"/>
      <c r="N35" s="2124"/>
      <c r="O35" s="2133"/>
      <c r="P35" s="3780"/>
      <c r="Q35" s="1564"/>
      <c r="R35" s="1565"/>
      <c r="S35" s="1566"/>
      <c r="T35" s="1565"/>
      <c r="U35" s="1566"/>
      <c r="V35" s="1565"/>
      <c r="W35" s="1566"/>
      <c r="X35" s="1559"/>
      <c r="Y35" s="3780"/>
      <c r="Z35" s="1567"/>
      <c r="AA35" s="1568">
        <v>1</v>
      </c>
      <c r="AB35" s="1568">
        <v>1</v>
      </c>
      <c r="AC35" s="1568">
        <v>1</v>
      </c>
    </row>
    <row r="36" spans="1:29" ht="21">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80"/>
      <c r="Q36" s="1564" t="str">
        <f t="shared" si="8"/>
        <v>土地级别</v>
      </c>
      <c r="R36" s="1565" t="s">
        <v>8</v>
      </c>
      <c r="S36" s="1566">
        <f t="shared" si="10"/>
        <v>100</v>
      </c>
      <c r="T36" s="1565" t="s">
        <v>8</v>
      </c>
      <c r="U36" s="1566">
        <f t="shared" si="11"/>
        <v>100</v>
      </c>
      <c r="V36" s="1565" t="s">
        <v>8</v>
      </c>
      <c r="W36" s="1566">
        <f t="shared" si="12"/>
        <v>100</v>
      </c>
      <c r="X36" s="1559"/>
      <c r="Y36" s="3780"/>
      <c r="Z36" s="1567" t="str">
        <f t="shared" si="13"/>
        <v>土地级别</v>
      </c>
      <c r="AA36" s="1568">
        <f t="shared" si="3"/>
        <v>1</v>
      </c>
      <c r="AB36" s="1568">
        <f t="shared" si="4"/>
        <v>1</v>
      </c>
      <c r="AC36" s="1568">
        <f t="shared" si="5"/>
        <v>1</v>
      </c>
    </row>
    <row r="37" spans="1:29" ht="21">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80"/>
      <c r="Q37" s="1564">
        <f t="shared" si="8"/>
        <v>111</v>
      </c>
      <c r="R37" s="1565" t="s">
        <v>8</v>
      </c>
      <c r="S37" s="1566">
        <f t="shared" si="10"/>
        <v>100</v>
      </c>
      <c r="T37" s="1565" t="s">
        <v>8</v>
      </c>
      <c r="U37" s="1566">
        <f t="shared" si="11"/>
        <v>100</v>
      </c>
      <c r="V37" s="1565" t="s">
        <v>8</v>
      </c>
      <c r="W37" s="1566">
        <f t="shared" si="12"/>
        <v>100</v>
      </c>
      <c r="X37" s="1559"/>
      <c r="Y37" s="3780"/>
      <c r="Z37" s="1567">
        <f t="shared" si="13"/>
        <v>111</v>
      </c>
      <c r="AA37" s="1568">
        <f t="shared" si="3"/>
        <v>1</v>
      </c>
      <c r="AB37" s="1568">
        <f t="shared" si="4"/>
        <v>1</v>
      </c>
      <c r="AC37" s="1568">
        <f t="shared" si="5"/>
        <v>1</v>
      </c>
    </row>
    <row r="38" spans="1:29" ht="21">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781" t="s">
        <v>551</v>
      </c>
      <c r="Q38" s="1564">
        <f t="shared" si="8"/>
        <v>111</v>
      </c>
      <c r="R38" s="1565" t="s">
        <v>8</v>
      </c>
      <c r="S38" s="1566">
        <f t="shared" si="10"/>
        <v>100</v>
      </c>
      <c r="T38" s="1565" t="s">
        <v>8</v>
      </c>
      <c r="U38" s="1566">
        <f t="shared" si="11"/>
        <v>100</v>
      </c>
      <c r="V38" s="1565" t="s">
        <v>8</v>
      </c>
      <c r="W38" s="1566">
        <f t="shared" si="12"/>
        <v>100</v>
      </c>
      <c r="X38" s="1559"/>
      <c r="Y38" s="3782" t="s">
        <v>551</v>
      </c>
      <c r="Z38" s="1567">
        <f t="shared" si="13"/>
        <v>111</v>
      </c>
      <c r="AA38" s="1568">
        <f t="shared" si="3"/>
        <v>1</v>
      </c>
      <c r="AB38" s="1568">
        <f t="shared" si="4"/>
        <v>1</v>
      </c>
      <c r="AC38" s="1568">
        <f t="shared" si="5"/>
        <v>1</v>
      </c>
    </row>
    <row r="39" spans="1:29" s="1332" customFormat="1" ht="21.6"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782"/>
      <c r="Q39" s="1564">
        <f t="shared" si="8"/>
        <v>111</v>
      </c>
      <c r="R39" s="1569" t="s">
        <v>8</v>
      </c>
      <c r="S39" s="1570">
        <f t="shared" si="10"/>
        <v>100</v>
      </c>
      <c r="T39" s="1569" t="s">
        <v>8</v>
      </c>
      <c r="U39" s="1570">
        <f t="shared" si="11"/>
        <v>100</v>
      </c>
      <c r="V39" s="1569" t="s">
        <v>8</v>
      </c>
      <c r="W39" s="1570">
        <f t="shared" si="12"/>
        <v>100</v>
      </c>
      <c r="X39" s="1571"/>
      <c r="Y39" s="3782"/>
      <c r="Z39" s="1572">
        <f t="shared" si="13"/>
        <v>111</v>
      </c>
      <c r="AA39" s="1568">
        <f t="shared" si="3"/>
        <v>1</v>
      </c>
      <c r="AB39" s="1568">
        <f t="shared" si="4"/>
        <v>1</v>
      </c>
      <c r="AC39" s="1568">
        <f t="shared" si="5"/>
        <v>1</v>
      </c>
    </row>
    <row r="40" spans="1:29" ht="21">
      <c r="A40" s="2924" t="s">
        <v>2759</v>
      </c>
      <c r="B40" s="592" t="s">
        <v>553</v>
      </c>
      <c r="C40" s="593">
        <f>'数据-基础表'!A3</f>
        <v>74665.899999999994</v>
      </c>
      <c r="D40" s="594">
        <v>100</v>
      </c>
      <c r="E40" s="593">
        <f>Sheet1!D52</f>
        <v>8114.3</v>
      </c>
      <c r="F40" s="594">
        <f>LOOKUP(E40,119:119,120:120)-LOOKUP(C40,119:119,120:120)+100</f>
        <v>97</v>
      </c>
      <c r="G40" s="593">
        <v>113531</v>
      </c>
      <c r="H40" s="594">
        <f>LOOKUP(G40,119:119,120:120)-LOOKUP(C40,119:119,120:120)+100</f>
        <v>102</v>
      </c>
      <c r="I40" s="595">
        <f>Sheet1!D61</f>
        <v>20470.900000000001</v>
      </c>
      <c r="J40" s="594">
        <f>LOOKUP(I40,119:119,120:120)-LOOKUP(C40,119:119,120:120)+100</f>
        <v>98</v>
      </c>
      <c r="K40" s="578"/>
      <c r="L40" s="2134"/>
      <c r="M40" s="2124"/>
      <c r="N40" s="2124"/>
      <c r="O40" s="2133"/>
      <c r="P40" s="3782"/>
      <c r="Q40" s="1564" t="str">
        <f>B40</f>
        <v>宗地面积</v>
      </c>
      <c r="R40" s="1565" t="s">
        <v>8</v>
      </c>
      <c r="S40" s="1566">
        <f t="shared" si="10"/>
        <v>97</v>
      </c>
      <c r="T40" s="1565" t="s">
        <v>8</v>
      </c>
      <c r="U40" s="1566">
        <f t="shared" si="11"/>
        <v>102</v>
      </c>
      <c r="V40" s="1565" t="s">
        <v>8</v>
      </c>
      <c r="W40" s="1566">
        <f t="shared" si="12"/>
        <v>98</v>
      </c>
      <c r="X40" s="1559"/>
      <c r="Y40" s="3782"/>
      <c r="Z40" s="1567" t="str">
        <f t="shared" si="13"/>
        <v>宗地面积</v>
      </c>
      <c r="AA40" s="1568">
        <f t="shared" si="3"/>
        <v>1.0309278350515463</v>
      </c>
      <c r="AB40" s="1568">
        <f t="shared" si="4"/>
        <v>0.98039215686274506</v>
      </c>
      <c r="AC40" s="1568">
        <f t="shared" si="5"/>
        <v>1.0204081632653061</v>
      </c>
    </row>
    <row r="41" spans="1:29" ht="21">
      <c r="A41" s="591"/>
      <c r="B41" s="525" t="s">
        <v>554</v>
      </c>
      <c r="C41" s="3549" t="s">
        <v>3304</v>
      </c>
      <c r="D41" s="538">
        <v>100</v>
      </c>
      <c r="E41" s="3495" t="s">
        <v>3304</v>
      </c>
      <c r="F41" s="538">
        <f>SUMIF(121:121,E41,122:122)-SUMIF(121:121,C41,122:122)+100</f>
        <v>100</v>
      </c>
      <c r="G41" s="3495" t="s">
        <v>3304</v>
      </c>
      <c r="H41" s="538">
        <f>SUMIF(121:121,G41,122:122)-SUMIF(121:121,C41,122:122)+100</f>
        <v>100</v>
      </c>
      <c r="I41" s="3495" t="s">
        <v>3304</v>
      </c>
      <c r="J41" s="538">
        <f>SUMIF(121:121,I41,122:122)-SUMIF(121:121,C41,122:122)+100</f>
        <v>100</v>
      </c>
      <c r="K41" s="581"/>
      <c r="L41" s="2134"/>
      <c r="M41" s="2124"/>
      <c r="N41" s="2124"/>
      <c r="O41" s="2133"/>
      <c r="P41" s="3782"/>
      <c r="Q41" s="1564" t="str">
        <f t="shared" ref="Q41:Q47" si="14">B41</f>
        <v>宗地形状</v>
      </c>
      <c r="R41" s="1565" t="s">
        <v>8</v>
      </c>
      <c r="S41" s="1566">
        <f t="shared" si="10"/>
        <v>100</v>
      </c>
      <c r="T41" s="1565" t="s">
        <v>8</v>
      </c>
      <c r="U41" s="1566">
        <f t="shared" si="11"/>
        <v>100</v>
      </c>
      <c r="V41" s="1565" t="s">
        <v>8</v>
      </c>
      <c r="W41" s="1566">
        <f t="shared" si="12"/>
        <v>100</v>
      </c>
      <c r="X41" s="1559"/>
      <c r="Y41" s="3782"/>
      <c r="Z41" s="1567" t="str">
        <f t="shared" si="13"/>
        <v>宗地形状</v>
      </c>
      <c r="AA41" s="1568">
        <f t="shared" si="3"/>
        <v>1</v>
      </c>
      <c r="AB41" s="1568">
        <f t="shared" si="4"/>
        <v>1</v>
      </c>
      <c r="AC41" s="1568">
        <f t="shared" si="5"/>
        <v>1</v>
      </c>
    </row>
    <row r="42" spans="1:29" ht="21">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782"/>
      <c r="Q42" s="1564" t="str">
        <f t="shared" si="14"/>
        <v>临街宽度及深度</v>
      </c>
      <c r="R42" s="1565" t="s">
        <v>8</v>
      </c>
      <c r="S42" s="1566">
        <f t="shared" si="10"/>
        <v>100</v>
      </c>
      <c r="T42" s="1565" t="s">
        <v>8</v>
      </c>
      <c r="U42" s="1566">
        <f t="shared" si="11"/>
        <v>100</v>
      </c>
      <c r="V42" s="1565" t="s">
        <v>8</v>
      </c>
      <c r="W42" s="1566">
        <f t="shared" si="12"/>
        <v>100</v>
      </c>
      <c r="X42" s="1559"/>
      <c r="Y42" s="3782"/>
      <c r="Z42" s="1567" t="str">
        <f t="shared" si="13"/>
        <v>临街宽度及深度</v>
      </c>
      <c r="AA42" s="1568">
        <f t="shared" si="3"/>
        <v>1</v>
      </c>
      <c r="AB42" s="1568">
        <f t="shared" si="4"/>
        <v>1</v>
      </c>
      <c r="AC42" s="1568">
        <f t="shared" si="5"/>
        <v>1</v>
      </c>
    </row>
    <row r="43" spans="1:29" s="1213" customFormat="1" ht="21">
      <c r="A43" s="597"/>
      <c r="B43" s="1887" t="s">
        <v>2426</v>
      </c>
      <c r="C43" s="3496" t="s">
        <v>3303</v>
      </c>
      <c r="D43" s="253">
        <v>100</v>
      </c>
      <c r="E43" s="3496" t="s">
        <v>3303</v>
      </c>
      <c r="F43" s="538">
        <f>SUMIF(125:125,E43,126:126)-SUMIF(125:125,C43,126:126)+100</f>
        <v>100</v>
      </c>
      <c r="G43" s="3496" t="s">
        <v>3303</v>
      </c>
      <c r="H43" s="538">
        <f>SUMIF(125:125,G43,126:126)-SUMIF(125:125,C43,126:126)+100</f>
        <v>100</v>
      </c>
      <c r="I43" s="3496" t="s">
        <v>3303</v>
      </c>
      <c r="J43" s="538">
        <f>SUMIF(125:125,I43,126:126)-SUMIF(125:125,C43,126:126)+100</f>
        <v>100</v>
      </c>
      <c r="K43" s="581"/>
      <c r="L43" s="2127"/>
      <c r="M43" s="2124"/>
      <c r="N43" s="2124"/>
      <c r="O43" s="2129"/>
      <c r="P43" s="3782"/>
      <c r="Q43" s="1564" t="str">
        <f t="shared" si="14"/>
        <v>宗地开发程度</v>
      </c>
      <c r="R43" s="1560" t="s">
        <v>8</v>
      </c>
      <c r="S43" s="1561">
        <f t="shared" si="10"/>
        <v>100</v>
      </c>
      <c r="T43" s="1560" t="s">
        <v>8</v>
      </c>
      <c r="U43" s="1561">
        <f t="shared" si="11"/>
        <v>100</v>
      </c>
      <c r="V43" s="1560" t="s">
        <v>8</v>
      </c>
      <c r="W43" s="1561">
        <f t="shared" si="12"/>
        <v>100</v>
      </c>
      <c r="X43" s="1562"/>
      <c r="Y43" s="3782"/>
      <c r="Z43" s="1143" t="str">
        <f t="shared" si="13"/>
        <v>宗地开发程度</v>
      </c>
      <c r="AA43" s="1563">
        <f t="shared" si="3"/>
        <v>1</v>
      </c>
      <c r="AB43" s="1563">
        <f t="shared" si="4"/>
        <v>1</v>
      </c>
      <c r="AC43" s="1563">
        <f t="shared" si="5"/>
        <v>1</v>
      </c>
    </row>
    <row r="44" spans="1:29" ht="21">
      <c r="A44" s="591"/>
      <c r="B44" s="525" t="s">
        <v>556</v>
      </c>
      <c r="C44" s="3495" t="s">
        <v>3301</v>
      </c>
      <c r="D44" s="538">
        <v>100</v>
      </c>
      <c r="E44" s="3495" t="s">
        <v>3301</v>
      </c>
      <c r="F44" s="538">
        <f>SUMIF(127:127,E44,128:128)-SUMIF(127:127,C44,128:128)+100</f>
        <v>100</v>
      </c>
      <c r="G44" s="3495" t="s">
        <v>3302</v>
      </c>
      <c r="H44" s="538">
        <f>SUMIF(127:127,G44,128:128)-SUMIF(127:127,C44,128:128)+100</f>
        <v>100</v>
      </c>
      <c r="I44" s="3495" t="s">
        <v>3301</v>
      </c>
      <c r="J44" s="538">
        <f>SUMIF(127:127,I44,128:128)-SUMIF(127:127,C44,128:128)+100</f>
        <v>100</v>
      </c>
      <c r="K44" s="581"/>
      <c r="L44" s="2134"/>
      <c r="M44" s="2124"/>
      <c r="N44" s="2124"/>
      <c r="O44" s="2133"/>
      <c r="P44" s="3782" t="s">
        <v>551</v>
      </c>
      <c r="Q44" s="1564" t="str">
        <f t="shared" si="14"/>
        <v>工程地质条件</v>
      </c>
      <c r="R44" s="1565" t="s">
        <v>8</v>
      </c>
      <c r="S44" s="1566">
        <f t="shared" si="10"/>
        <v>100</v>
      </c>
      <c r="T44" s="1565" t="s">
        <v>8</v>
      </c>
      <c r="U44" s="1566">
        <f t="shared" si="11"/>
        <v>100</v>
      </c>
      <c r="V44" s="1565" t="s">
        <v>8</v>
      </c>
      <c r="W44" s="1566">
        <f t="shared" si="12"/>
        <v>100</v>
      </c>
      <c r="X44" s="1559"/>
      <c r="Y44" s="3782" t="s">
        <v>551</v>
      </c>
      <c r="Z44" s="1567" t="str">
        <f t="shared" si="13"/>
        <v>工程地质条件</v>
      </c>
      <c r="AA44" s="1568">
        <f t="shared" si="3"/>
        <v>1</v>
      </c>
      <c r="AB44" s="1568">
        <f t="shared" si="4"/>
        <v>1</v>
      </c>
      <c r="AC44" s="1568">
        <f t="shared" si="5"/>
        <v>1</v>
      </c>
    </row>
    <row r="45" spans="1:29" ht="21">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782"/>
      <c r="Q45" s="1564">
        <f t="shared" si="14"/>
        <v>111</v>
      </c>
      <c r="R45" s="1565" t="s">
        <v>8</v>
      </c>
      <c r="S45" s="1566">
        <f t="shared" si="10"/>
        <v>100</v>
      </c>
      <c r="T45" s="1565" t="s">
        <v>8</v>
      </c>
      <c r="U45" s="1566">
        <f t="shared" si="11"/>
        <v>100</v>
      </c>
      <c r="V45" s="1565" t="s">
        <v>8</v>
      </c>
      <c r="W45" s="1566">
        <f t="shared" si="12"/>
        <v>100</v>
      </c>
      <c r="X45" s="1559"/>
      <c r="Y45" s="3782"/>
      <c r="Z45" s="1567">
        <f t="shared" si="13"/>
        <v>111</v>
      </c>
      <c r="AA45" s="1568">
        <f t="shared" si="3"/>
        <v>1</v>
      </c>
      <c r="AB45" s="1568">
        <f t="shared" si="4"/>
        <v>1</v>
      </c>
      <c r="AC45" s="1568">
        <f t="shared" si="5"/>
        <v>1</v>
      </c>
    </row>
    <row r="46" spans="1:29" ht="21">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782"/>
      <c r="Q46" s="1564">
        <f t="shared" si="14"/>
        <v>111</v>
      </c>
      <c r="R46" s="1565" t="s">
        <v>8</v>
      </c>
      <c r="S46" s="1566">
        <f t="shared" si="10"/>
        <v>100</v>
      </c>
      <c r="T46" s="1565" t="s">
        <v>8</v>
      </c>
      <c r="U46" s="1566">
        <f t="shared" si="11"/>
        <v>100</v>
      </c>
      <c r="V46" s="1565" t="s">
        <v>8</v>
      </c>
      <c r="W46" s="1566">
        <f t="shared" si="12"/>
        <v>100</v>
      </c>
      <c r="X46" s="1559"/>
      <c r="Y46" s="3782"/>
      <c r="Z46" s="1567">
        <f t="shared" si="13"/>
        <v>111</v>
      </c>
      <c r="AA46" s="1568">
        <f t="shared" si="3"/>
        <v>1</v>
      </c>
      <c r="AB46" s="1568">
        <f t="shared" si="4"/>
        <v>1</v>
      </c>
      <c r="AC46" s="1568">
        <f t="shared" si="5"/>
        <v>1</v>
      </c>
    </row>
    <row r="47" spans="1:29" s="1332" customFormat="1" ht="21.6"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782"/>
      <c r="Q47" s="1564">
        <f t="shared" si="14"/>
        <v>111</v>
      </c>
      <c r="R47" s="1569" t="s">
        <v>8</v>
      </c>
      <c r="S47" s="1570">
        <f t="shared" si="10"/>
        <v>100</v>
      </c>
      <c r="T47" s="1569" t="s">
        <v>8</v>
      </c>
      <c r="U47" s="1570">
        <f t="shared" si="11"/>
        <v>100</v>
      </c>
      <c r="V47" s="1569" t="s">
        <v>8</v>
      </c>
      <c r="W47" s="1570">
        <f t="shared" si="12"/>
        <v>100</v>
      </c>
      <c r="X47" s="1571"/>
      <c r="Y47" s="3782"/>
      <c r="Z47" s="1572">
        <f t="shared" si="13"/>
        <v>111</v>
      </c>
      <c r="AA47" s="1568">
        <f t="shared" si="3"/>
        <v>1</v>
      </c>
      <c r="AB47" s="1568">
        <f t="shared" si="4"/>
        <v>1</v>
      </c>
      <c r="AC47" s="1568">
        <f t="shared" si="5"/>
        <v>1</v>
      </c>
    </row>
    <row r="48" spans="1:29" ht="21">
      <c r="A48" s="604" t="s">
        <v>557</v>
      </c>
      <c r="B48" s="605" t="s">
        <v>3286</v>
      </c>
      <c r="C48" s="606" t="s">
        <v>1</v>
      </c>
      <c r="D48" s="607"/>
      <c r="E48" s="3548">
        <v>2831</v>
      </c>
      <c r="F48" s="609"/>
      <c r="G48" s="610">
        <v>3130</v>
      </c>
      <c r="H48" s="611"/>
      <c r="I48" s="608">
        <v>3166</v>
      </c>
      <c r="J48" s="611"/>
      <c r="K48" s="1333"/>
      <c r="L48" s="2136"/>
      <c r="M48" s="2124"/>
      <c r="N48" s="2124"/>
      <c r="O48" s="2137"/>
      <c r="P48" s="3777" t="str">
        <f>A48</f>
        <v>成交单价</v>
      </c>
      <c r="Q48" s="3777"/>
      <c r="R48" s="3791">
        <f>E48</f>
        <v>2831</v>
      </c>
      <c r="S48" s="3791"/>
      <c r="T48" s="3791">
        <f>G48</f>
        <v>3130</v>
      </c>
      <c r="U48" s="3791"/>
      <c r="V48" s="3791">
        <f>I48</f>
        <v>3166</v>
      </c>
      <c r="W48" s="3791"/>
      <c r="X48" s="1551"/>
      <c r="Y48" s="1573"/>
      <c r="Z48" s="1551"/>
      <c r="AA48" s="1551"/>
      <c r="AB48" s="1551"/>
      <c r="AC48" s="1551"/>
    </row>
    <row r="49" spans="1:29" ht="21.6" thickBot="1">
      <c r="A49" s="612" t="s">
        <v>2697</v>
      </c>
      <c r="B49" s="613"/>
      <c r="C49" s="614">
        <f>R50</f>
        <v>2765</v>
      </c>
      <c r="D49" s="615"/>
      <c r="E49" s="614">
        <f>R49</f>
        <v>2454</v>
      </c>
      <c r="F49" s="616"/>
      <c r="G49" s="617">
        <f>T49</f>
        <v>2554</v>
      </c>
      <c r="H49" s="615"/>
      <c r="I49" s="614">
        <f>V49</f>
        <v>3288</v>
      </c>
      <c r="J49" s="615"/>
      <c r="K49" s="1334"/>
      <c r="L49" s="2136"/>
      <c r="M49" s="2124"/>
      <c r="N49" s="2124"/>
      <c r="O49" s="2137"/>
      <c r="P49" s="3777" t="str">
        <f>A49</f>
        <v>比较价格（元/平方米）</v>
      </c>
      <c r="Q49" s="3777"/>
      <c r="R49" s="3801">
        <f>ROUND(PRODUCT(R48,AA9:AA47),0)</f>
        <v>2454</v>
      </c>
      <c r="S49" s="3801"/>
      <c r="T49" s="3801">
        <f>ROUND(PRODUCT(T48,AB9:AB47),0)</f>
        <v>2554</v>
      </c>
      <c r="U49" s="3801"/>
      <c r="V49" s="3801">
        <f>ROUND(PRODUCT(V48,AC9:AC47),0)</f>
        <v>3288</v>
      </c>
      <c r="W49" s="3801"/>
      <c r="X49" s="1551"/>
      <c r="Y49" s="1551"/>
      <c r="Z49" s="1551"/>
      <c r="AA49" s="1551"/>
      <c r="AB49" s="1551"/>
      <c r="AC49" s="1551"/>
    </row>
    <row r="50" spans="1:29" ht="21.6" thickBot="1">
      <c r="A50" s="618" t="s">
        <v>2935</v>
      </c>
      <c r="B50" s="619"/>
      <c r="C50" s="620">
        <f>R50</f>
        <v>2765</v>
      </c>
      <c r="D50" s="620"/>
      <c r="E50" s="620"/>
      <c r="F50" s="620"/>
      <c r="G50" s="620"/>
      <c r="H50" s="620"/>
      <c r="I50" s="620"/>
      <c r="J50" s="620"/>
      <c r="K50" s="1335"/>
      <c r="L50" s="2136"/>
      <c r="M50" s="2124"/>
      <c r="N50" s="2124"/>
      <c r="O50" s="2137"/>
      <c r="P50" s="3798" t="str">
        <f>A50</f>
        <v>估价对象XX用房的比较价格（楼面单价，元/平方米）</v>
      </c>
      <c r="Q50" s="3799"/>
      <c r="R50" s="3800">
        <f>ROUND(AVERAGE(R49:V49),0)</f>
        <v>2765</v>
      </c>
      <c r="S50" s="3800"/>
      <c r="T50" s="3800"/>
      <c r="U50" s="3800"/>
      <c r="V50" s="3800"/>
      <c r="W50" s="3800"/>
      <c r="X50" s="1551"/>
      <c r="Y50" s="1551"/>
      <c r="Z50" s="1551"/>
      <c r="AA50" s="1551"/>
      <c r="AB50" s="1551"/>
      <c r="AC50" s="1551"/>
    </row>
    <row r="51" spans="1:29" ht="21">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1">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0.15362673186634068</v>
      </c>
      <c r="F53" s="624" t="str">
        <f>IF(OR(E53&gt;=0.3,E53&lt;=-0.3),"超过30%","")</f>
        <v/>
      </c>
      <c r="G53" s="623">
        <f>IF(G48&lt;G49,G49/G48-1,G48/G49-1)</f>
        <v>0.22552858261550512</v>
      </c>
      <c r="H53" s="624" t="str">
        <f>IF(OR(G53&gt;=0.3,G53&lt;=-0.3),"超过30%","")</f>
        <v/>
      </c>
      <c r="I53" s="623">
        <f>IF(I48&lt;I49,I49/I48-1,I48/I49-1)</f>
        <v>3.8534428300694978E-2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4.0749796251018822E-2</v>
      </c>
      <c r="F54" s="624" t="str">
        <f>IF(OR(E54&gt;=0.2,E54&lt;=-0.2),"超过20%","")</f>
        <v/>
      </c>
      <c r="G54" s="623">
        <f>IF(G49&lt;I49,I49/G49-1,G49/I49-1)</f>
        <v>0.28739232576350826</v>
      </c>
      <c r="H54" s="624" t="str">
        <f>IF(OR(G54&gt;=0.2,G54&lt;=-0.2),"超过20%","")</f>
        <v>超过20%</v>
      </c>
      <c r="I54" s="623">
        <f>IF(I49&lt;E49,E49/I49-1,I49/E49-1)</f>
        <v>0.33985330073349629</v>
      </c>
      <c r="J54" s="624" t="str">
        <f>IF(OR(I54&gt;=0.2,I54&lt;=-0.2),"超过20%","")</f>
        <v>超过20%</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0.10561638996820921</v>
      </c>
      <c r="F55" s="624" t="str">
        <f>IF(OR(E55&gt;=0.3,E55&lt;=-0.3),"超过30%","")</f>
        <v/>
      </c>
      <c r="G55" s="623">
        <f>IF(G48&lt;I48,I48/G48-1,G48/I48-1)</f>
        <v>1.1501597444089517E-2</v>
      </c>
      <c r="H55" s="624" t="str">
        <f>IF(OR(G55&gt;=0.3,G55&lt;=-0.3),"超过30%","")</f>
        <v/>
      </c>
      <c r="I55" s="623">
        <f>IF(I48&lt;E48,E48/I48-1,I48/E48-1)</f>
        <v>0.11833274461321097</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6"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61" t="s">
        <v>2282</v>
      </c>
      <c r="H57" s="3762"/>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3.2">
      <c r="A58" s="630" t="s">
        <v>565</v>
      </c>
      <c r="B58" s="631">
        <f>C50</f>
        <v>2765</v>
      </c>
      <c r="C58" s="632">
        <v>1</v>
      </c>
      <c r="D58" s="2220">
        <v>1</v>
      </c>
      <c r="E58" s="632">
        <f>'数据-汇总表'!E8+'数据-汇总表'!E9</f>
        <v>346718</v>
      </c>
      <c r="F58" s="633">
        <f t="shared" ref="F58:F67" si="15">ROUND(B58*E58/10000,0)</f>
        <v>95868</v>
      </c>
      <c r="G58" s="3763"/>
      <c r="H58" s="3764"/>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3.2">
      <c r="A59" s="634" t="s">
        <v>566</v>
      </c>
      <c r="B59" s="635">
        <f>ROUND($C$50*C59*D59,0)</f>
        <v>0</v>
      </c>
      <c r="C59" s="376">
        <f t="shared" ref="C59:C67" si="16">IF($C$57="北京市系数",I59,J59)</f>
        <v>0</v>
      </c>
      <c r="D59" s="2221">
        <v>0.25</v>
      </c>
      <c r="E59" s="636">
        <v>0</v>
      </c>
      <c r="F59" s="633">
        <f t="shared" si="15"/>
        <v>0</v>
      </c>
      <c r="G59" s="3765"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3.2">
      <c r="A60" s="634" t="s">
        <v>567</v>
      </c>
      <c r="B60" s="635">
        <f t="shared" ref="B60:B67" si="17">ROUND($C$50*C60*D60,0)</f>
        <v>0</v>
      </c>
      <c r="C60" s="376">
        <f t="shared" si="16"/>
        <v>0</v>
      </c>
      <c r="D60" s="2221">
        <v>0.25</v>
      </c>
      <c r="E60" s="636">
        <v>0</v>
      </c>
      <c r="F60" s="633">
        <f t="shared" si="15"/>
        <v>0</v>
      </c>
      <c r="G60" s="3765"/>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3.2">
      <c r="A61" s="634" t="s">
        <v>568</v>
      </c>
      <c r="B61" s="635">
        <f t="shared" si="17"/>
        <v>0</v>
      </c>
      <c r="C61" s="376">
        <f t="shared" si="16"/>
        <v>0</v>
      </c>
      <c r="D61" s="2221">
        <v>0.25</v>
      </c>
      <c r="E61" s="636">
        <v>0</v>
      </c>
      <c r="F61" s="633">
        <f t="shared" si="15"/>
        <v>0</v>
      </c>
      <c r="G61" s="3765"/>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2">
      <c r="A62" s="634" t="s">
        <v>569</v>
      </c>
      <c r="B62" s="635">
        <f t="shared" si="17"/>
        <v>0</v>
      </c>
      <c r="C62" s="376">
        <f t="shared" si="16"/>
        <v>0</v>
      </c>
      <c r="D62" s="2221">
        <v>0.25</v>
      </c>
      <c r="E62" s="636">
        <v>0</v>
      </c>
      <c r="F62" s="633">
        <f t="shared" si="15"/>
        <v>0</v>
      </c>
      <c r="G62" s="3765"/>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2">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3.2">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3.2">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3.2">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thickBot="1">
      <c r="A68" s="639" t="s">
        <v>574</v>
      </c>
      <c r="B68" s="640" t="s">
        <v>17</v>
      </c>
      <c r="C68" s="640" t="s">
        <v>18</v>
      </c>
      <c r="D68" s="640" t="s">
        <v>2295</v>
      </c>
      <c r="E68" s="640">
        <f>IF(B48="楼面地价",SUM(E58:E67),'数据-汇总表'!D3)</f>
        <v>444713</v>
      </c>
      <c r="F68" s="641">
        <f>IF(B48="楼面地价",SUM(F58:F67),ROUND(C50*E68/10000,0))</f>
        <v>95868</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2020-4-1</v>
      </c>
      <c r="D70" s="2816">
        <f>EDATE(C70,-3)</f>
        <v>43831</v>
      </c>
      <c r="E70" s="2816">
        <f t="shared" ref="E70:N70" si="18">EDATE(D70,-3)</f>
        <v>43739</v>
      </c>
      <c r="F70" s="2816">
        <f t="shared" si="18"/>
        <v>43647</v>
      </c>
      <c r="G70" s="2816">
        <f t="shared" si="18"/>
        <v>43556</v>
      </c>
      <c r="H70" s="2816">
        <f t="shared" si="18"/>
        <v>43466</v>
      </c>
      <c r="I70" s="2816">
        <f t="shared" si="18"/>
        <v>43374</v>
      </c>
      <c r="J70" s="2816">
        <f t="shared" si="18"/>
        <v>43282</v>
      </c>
      <c r="K70" s="2816">
        <f t="shared" si="18"/>
        <v>43191</v>
      </c>
      <c r="L70" s="2816">
        <f t="shared" si="18"/>
        <v>43101</v>
      </c>
      <c r="M70" s="2816">
        <f t="shared" si="18"/>
        <v>43009</v>
      </c>
      <c r="N70" s="2816">
        <f t="shared" si="18"/>
        <v>42917</v>
      </c>
      <c r="O70" s="2137"/>
      <c r="P70" s="2137"/>
      <c r="Q70" s="2137"/>
      <c r="R70" s="2137"/>
      <c r="S70" s="2137"/>
      <c r="T70" s="2137"/>
      <c r="U70" s="2137"/>
      <c r="V70" s="2137"/>
      <c r="W70" s="2137"/>
      <c r="X70" s="2137"/>
      <c r="Y70" s="2137"/>
      <c r="Z70" s="2137"/>
      <c r="AA70" s="2137"/>
      <c r="AB70" s="2137"/>
      <c r="AC70" s="2137"/>
    </row>
    <row r="71" spans="1:29" ht="22.2"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4.4">
      <c r="A72" s="2584" t="s">
        <v>2536</v>
      </c>
      <c r="B72" s="2585"/>
      <c r="C72" s="2811" t="str">
        <f>YEAR(C70)&amp;"-"&amp;ROUNDUP(MONTH(C70)/3,0)</f>
        <v>2020-2</v>
      </c>
      <c r="D72" s="2818" t="str">
        <f>YEAR(D70)&amp;"-"&amp;ROUNDUP(MONTH(D70)/3,0)</f>
        <v>2020-1</v>
      </c>
      <c r="E72" s="2818" t="str">
        <f t="shared" ref="E72:N72" si="19">YEAR(E70)&amp;"-"&amp;ROUNDUP(MONTH(E70)/3,0)</f>
        <v>2019-4</v>
      </c>
      <c r="F72" s="2818" t="str">
        <f t="shared" si="19"/>
        <v>2019-3</v>
      </c>
      <c r="G72" s="2818" t="str">
        <f t="shared" si="19"/>
        <v>2019-2</v>
      </c>
      <c r="H72" s="2818" t="str">
        <f t="shared" si="19"/>
        <v>2019-1</v>
      </c>
      <c r="I72" s="2818" t="str">
        <f t="shared" si="19"/>
        <v>2018-4</v>
      </c>
      <c r="J72" s="2818" t="str">
        <f t="shared" si="19"/>
        <v>2018-3</v>
      </c>
      <c r="K72" s="2818" t="str">
        <f t="shared" si="19"/>
        <v>2018-2</v>
      </c>
      <c r="L72" s="2818" t="str">
        <f t="shared" si="19"/>
        <v>2018-1</v>
      </c>
      <c r="M72" s="2818" t="str">
        <f t="shared" si="19"/>
        <v>2017-4</v>
      </c>
      <c r="N72" s="2818" t="str">
        <f t="shared" si="19"/>
        <v>2017-3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v>99.5</v>
      </c>
      <c r="E73" s="3481">
        <v>99</v>
      </c>
      <c r="F73" s="3481">
        <v>98.5</v>
      </c>
      <c r="G73" s="3481">
        <v>98</v>
      </c>
      <c r="H73" s="3481">
        <v>97.5</v>
      </c>
      <c r="I73" s="3481">
        <v>97</v>
      </c>
      <c r="J73" s="3481">
        <v>96.5</v>
      </c>
      <c r="K73" s="3481">
        <v>96</v>
      </c>
      <c r="L73" s="3481">
        <v>95.5</v>
      </c>
      <c r="M73" s="3481">
        <v>95</v>
      </c>
      <c r="N73" s="3481">
        <v>94.5</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4.4">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4.4"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ht="14.4">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4.4"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9.4"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4.4"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4.4"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2" customFormat="1" ht="1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4.4"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4.4"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4.4"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4.4"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4.4"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ht="14.4">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4.4"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4.4"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4.4"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4.4"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9.4"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4.4"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9.4"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4.4"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4.4"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4.4"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4.4"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9.4" thickTop="1">
      <c r="A108" s="666"/>
      <c r="B108" s="670" t="s">
        <v>549</v>
      </c>
      <c r="C108" s="3482" t="s">
        <v>3291</v>
      </c>
      <c r="D108" s="3482" t="s">
        <v>3292</v>
      </c>
      <c r="E108" s="3482" t="s">
        <v>3289</v>
      </c>
      <c r="F108" s="3482" t="s">
        <v>3290</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4.4"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4.4"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8"/>
      <c r="O111" s="2158"/>
      <c r="P111" s="2157"/>
      <c r="Q111" s="2150"/>
      <c r="R111" s="2137"/>
      <c r="S111" s="2137"/>
      <c r="T111" s="2137"/>
      <c r="U111" s="2137"/>
      <c r="V111" s="2137"/>
      <c r="W111" s="2137"/>
      <c r="X111" s="2137"/>
      <c r="Y111" s="2137"/>
      <c r="Z111" s="2137"/>
      <c r="AA111" s="2137"/>
      <c r="AB111" s="2137"/>
      <c r="AC111" s="2137"/>
    </row>
    <row r="112" spans="1:29" ht="14.4"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4.4"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4.4"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4.4"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4.4"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4.4"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7.6">
      <c r="A118" s="661" t="s">
        <v>552</v>
      </c>
      <c r="B118" s="662" t="s">
        <v>594</v>
      </c>
      <c r="C118" s="701" t="str">
        <f t="shared" ref="C118:L118" si="25">C119&amp;"(含)"&amp;"-"&amp;D119</f>
        <v>0(含)-20000</v>
      </c>
      <c r="D118" s="701" t="str">
        <f t="shared" si="25"/>
        <v>20000(含)-40000</v>
      </c>
      <c r="E118" s="701" t="str">
        <f t="shared" si="25"/>
        <v>40000(含)-60000</v>
      </c>
      <c r="F118" s="701" t="str">
        <f t="shared" si="25"/>
        <v>60000(含)-80000</v>
      </c>
      <c r="G118" s="701" t="str">
        <f t="shared" si="25"/>
        <v>80000(含)-100000</v>
      </c>
      <c r="H118" s="701" t="str">
        <f t="shared" si="25"/>
        <v>100000(含)-120000</v>
      </c>
      <c r="I118" s="701" t="str">
        <f t="shared" si="25"/>
        <v>120000(含)-</v>
      </c>
      <c r="J118" s="3105" t="str">
        <f t="shared" si="25"/>
        <v>(含)-</v>
      </c>
      <c r="K118" s="3105" t="str">
        <f t="shared" si="25"/>
        <v>(含)-</v>
      </c>
      <c r="L118" s="3106" t="str">
        <f t="shared" si="25"/>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c r="A119" s="666"/>
      <c r="B119" s="678"/>
      <c r="C119" s="727">
        <v>0</v>
      </c>
      <c r="D119" s="727">
        <v>20000</v>
      </c>
      <c r="E119" s="727">
        <v>40000</v>
      </c>
      <c r="F119" s="727">
        <v>60000</v>
      </c>
      <c r="G119" s="727">
        <v>80000</v>
      </c>
      <c r="H119" s="727">
        <v>100000</v>
      </c>
      <c r="I119" s="727">
        <v>120000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4.4" thickBot="1">
      <c r="A120" s="666"/>
      <c r="B120" s="675"/>
      <c r="C120" s="697">
        <v>100</v>
      </c>
      <c r="D120" s="723">
        <v>101</v>
      </c>
      <c r="E120" s="723">
        <v>102</v>
      </c>
      <c r="F120" s="723">
        <v>103</v>
      </c>
      <c r="G120" s="723">
        <v>104</v>
      </c>
      <c r="H120" s="723">
        <v>105</v>
      </c>
      <c r="I120" s="723">
        <v>106</v>
      </c>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4.4"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4.4"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4.4"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4.4"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58"/>
      <c r="O128" s="2158"/>
      <c r="P128" s="2157"/>
      <c r="Q128" s="2150"/>
      <c r="R128" s="2137"/>
      <c r="S128" s="2137"/>
      <c r="T128" s="2137"/>
      <c r="U128" s="2137"/>
      <c r="V128" s="2137"/>
      <c r="W128" s="2137"/>
      <c r="X128" s="2137"/>
      <c r="Y128" s="2137"/>
      <c r="Z128" s="2137"/>
      <c r="AA128" s="2137"/>
      <c r="AB128" s="2137"/>
      <c r="AC128" s="2137"/>
    </row>
    <row r="129" spans="1:29" ht="14.4"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4.4"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4.4"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4.4"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4.4"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4.4"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3" sqref="G33"/>
    </sheetView>
  </sheetViews>
  <sheetFormatPr defaultColWidth="9" defaultRowHeight="10.8"/>
  <cols>
    <col min="1" max="1" width="16" style="3470" customWidth="1"/>
    <col min="2" max="2" width="9" style="3470"/>
    <col min="3" max="3" width="12.21875" style="3470" customWidth="1"/>
    <col min="4" max="13" width="9" style="3470"/>
    <col min="14" max="14" width="31.21875" style="3470" customWidth="1"/>
    <col min="15" max="16384" width="9" style="3470"/>
  </cols>
  <sheetData>
    <row r="1" spans="1:15" ht="36" customHeight="1">
      <c r="A1" s="3802" t="s">
        <v>3259</v>
      </c>
      <c r="B1" s="3802"/>
      <c r="C1" s="3802"/>
      <c r="D1" s="3802"/>
      <c r="E1" s="3802"/>
      <c r="F1" s="3802"/>
      <c r="G1" s="3802"/>
      <c r="H1" s="3802"/>
      <c r="I1" s="3802"/>
      <c r="J1" s="3802"/>
      <c r="K1" s="3802"/>
      <c r="L1" s="3802"/>
      <c r="M1" s="3802"/>
      <c r="N1" s="3802"/>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3.2">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8.8"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8.8"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8.8">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8.8"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8.8">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8.8">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8.8">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8.8">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8.8">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8.8">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8.8">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8.8">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4.4">
      <c r="A6" s="510" t="s">
        <v>522</v>
      </c>
      <c r="B6" s="511"/>
      <c r="C6" s="3783" t="s">
        <v>523</v>
      </c>
      <c r="D6" s="3784"/>
      <c r="E6" s="3808" t="s">
        <v>524</v>
      </c>
      <c r="F6" s="3809"/>
      <c r="G6" s="3783" t="s">
        <v>525</v>
      </c>
      <c r="H6" s="3784"/>
      <c r="I6" s="3783" t="s">
        <v>526</v>
      </c>
      <c r="J6" s="3784"/>
      <c r="K6" s="512" t="s">
        <v>527</v>
      </c>
      <c r="L6" s="2125"/>
      <c r="M6" s="2126"/>
      <c r="N6" s="2126"/>
      <c r="O6" s="2126"/>
      <c r="P6" s="3785" t="s">
        <v>528</v>
      </c>
      <c r="Q6" s="3786"/>
      <c r="R6" s="3771" t="s">
        <v>524</v>
      </c>
      <c r="S6" s="3772"/>
      <c r="T6" s="3771" t="s">
        <v>525</v>
      </c>
      <c r="U6" s="3772"/>
      <c r="V6" s="3791" t="s">
        <v>526</v>
      </c>
      <c r="W6" s="3791"/>
      <c r="X6" s="1559"/>
      <c r="Y6" s="3771" t="s">
        <v>528</v>
      </c>
      <c r="Z6" s="3772"/>
      <c r="AA6" s="3766" t="s">
        <v>524</v>
      </c>
      <c r="AB6" s="3767" t="s">
        <v>525</v>
      </c>
      <c r="AC6" s="3766" t="s">
        <v>526</v>
      </c>
    </row>
    <row r="7" spans="1:29">
      <c r="A7" s="513"/>
      <c r="B7" s="514"/>
      <c r="C7" s="3794" t="s">
        <v>2929</v>
      </c>
      <c r="D7" s="3795"/>
      <c r="E7" s="3810" t="s">
        <v>2930</v>
      </c>
      <c r="F7" s="3811"/>
      <c r="G7" s="3794" t="s">
        <v>2931</v>
      </c>
      <c r="H7" s="3795"/>
      <c r="I7" s="3794" t="s">
        <v>2932</v>
      </c>
      <c r="J7" s="3795"/>
      <c r="K7" s="512"/>
      <c r="L7" s="2125"/>
      <c r="M7" s="2126"/>
      <c r="N7" s="2126"/>
      <c r="O7" s="2126"/>
      <c r="P7" s="3787"/>
      <c r="Q7" s="3788"/>
      <c r="R7" s="3773"/>
      <c r="S7" s="3774"/>
      <c r="T7" s="3773"/>
      <c r="U7" s="3774"/>
      <c r="V7" s="3791"/>
      <c r="W7" s="3791"/>
      <c r="X7" s="1559"/>
      <c r="Y7" s="3773"/>
      <c r="Z7" s="3774"/>
      <c r="AA7" s="3767"/>
      <c r="AB7" s="3767"/>
      <c r="AC7" s="3767"/>
    </row>
    <row r="8" spans="1:29" ht="15" thickBot="1">
      <c r="A8" s="515"/>
      <c r="B8" s="516"/>
      <c r="C8" s="3792" t="s">
        <v>2933</v>
      </c>
      <c r="D8" s="3793"/>
      <c r="E8" s="3812" t="s">
        <v>2933</v>
      </c>
      <c r="F8" s="3813"/>
      <c r="G8" s="3792" t="s">
        <v>2933</v>
      </c>
      <c r="H8" s="3793"/>
      <c r="I8" s="3792" t="s">
        <v>2933</v>
      </c>
      <c r="J8" s="3793"/>
      <c r="K8" s="512" t="s">
        <v>529</v>
      </c>
      <c r="L8" s="2125"/>
      <c r="M8" s="2126"/>
      <c r="N8" s="2126"/>
      <c r="O8" s="2126"/>
      <c r="P8" s="3789"/>
      <c r="Q8" s="3790"/>
      <c r="R8" s="3773"/>
      <c r="S8" s="3774"/>
      <c r="T8" s="3775"/>
      <c r="U8" s="3776"/>
      <c r="V8" s="3791"/>
      <c r="W8" s="3791"/>
      <c r="X8" s="1559"/>
      <c r="Y8" s="3775"/>
      <c r="Z8" s="3776"/>
      <c r="AA8" s="3768"/>
      <c r="AB8" s="3768"/>
      <c r="AC8" s="3768"/>
    </row>
    <row r="9" spans="1:29" s="1213" customFormat="1" ht="15" thickBot="1">
      <c r="A9" s="2928"/>
      <c r="B9" s="2935" t="s">
        <v>530</v>
      </c>
      <c r="C9" s="517">
        <f>'数据-取费表'!B2</f>
        <v>43924</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69" t="s">
        <v>531</v>
      </c>
      <c r="Q9" s="3778"/>
      <c r="R9" s="1560" t="s">
        <v>8</v>
      </c>
      <c r="S9" s="1561">
        <f t="shared" ref="S9:S17" si="0">F9</f>
        <v>0</v>
      </c>
      <c r="T9" s="1560" t="s">
        <v>8</v>
      </c>
      <c r="U9" s="1561">
        <f t="shared" ref="U9:U17" si="1">H9</f>
        <v>0</v>
      </c>
      <c r="V9" s="1560" t="s">
        <v>8</v>
      </c>
      <c r="W9" s="1561">
        <f t="shared" ref="W9:W17" si="2">J9</f>
        <v>0</v>
      </c>
      <c r="X9" s="1562"/>
      <c r="Y9" s="3769" t="s">
        <v>531</v>
      </c>
      <c r="Z9" s="3770"/>
      <c r="AA9" s="1563" t="e">
        <f>D9/F9</f>
        <v>#DIV/0!</v>
      </c>
      <c r="AB9" s="1563" t="e">
        <f>D9/H9</f>
        <v>#DIV/0!</v>
      </c>
      <c r="AC9" s="1563" t="e">
        <f>D9/J9</f>
        <v>#DIV/0!</v>
      </c>
    </row>
    <row r="10" spans="1:29" s="1213" customFormat="1" ht="1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69" t="s">
        <v>534</v>
      </c>
      <c r="Q10" s="3770"/>
      <c r="R10" s="1560" t="s">
        <v>8</v>
      </c>
      <c r="S10" s="1561">
        <f t="shared" si="0"/>
        <v>0</v>
      </c>
      <c r="T10" s="1560" t="s">
        <v>8</v>
      </c>
      <c r="U10" s="1561">
        <f t="shared" si="1"/>
        <v>0</v>
      </c>
      <c r="V10" s="1560" t="s">
        <v>8</v>
      </c>
      <c r="W10" s="1561">
        <f t="shared" si="2"/>
        <v>0</v>
      </c>
      <c r="X10" s="1562"/>
      <c r="Y10" s="3769" t="s">
        <v>534</v>
      </c>
      <c r="Z10" s="3770"/>
      <c r="AA10" s="1563" t="e">
        <f t="shared" ref="AA10:AA42" si="3">D10/F10</f>
        <v>#DIV/0!</v>
      </c>
      <c r="AB10" s="1563" t="e">
        <f t="shared" ref="AB10:AB42" si="4">D10/H10</f>
        <v>#DIV/0!</v>
      </c>
      <c r="AC10" s="1563" t="e">
        <f t="shared" ref="AC10:AC42" si="5">D10/J10</f>
        <v>#DIV/0!</v>
      </c>
    </row>
    <row r="11" spans="1:29" s="1213" customFormat="1" ht="14.4">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77" t="s">
        <v>536</v>
      </c>
      <c r="Q11" s="1144" t="str">
        <f t="shared" ref="Q11:Q17" si="6">B11</f>
        <v>用途</v>
      </c>
      <c r="R11" s="1560" t="s">
        <v>8</v>
      </c>
      <c r="S11" s="1561">
        <f t="shared" si="0"/>
        <v>100</v>
      </c>
      <c r="T11" s="1560" t="s">
        <v>8</v>
      </c>
      <c r="U11" s="1561">
        <f t="shared" si="1"/>
        <v>100</v>
      </c>
      <c r="V11" s="1560" t="s">
        <v>8</v>
      </c>
      <c r="W11" s="1561">
        <f t="shared" si="2"/>
        <v>100</v>
      </c>
      <c r="X11" s="1562"/>
      <c r="Y11" s="3734" t="s">
        <v>537</v>
      </c>
      <c r="Z11" s="1143" t="str">
        <f t="shared" ref="Z11:Z17" si="7">Q11</f>
        <v>用途</v>
      </c>
      <c r="AA11" s="1563">
        <f t="shared" si="3"/>
        <v>1</v>
      </c>
      <c r="AB11" s="1563">
        <f t="shared" si="4"/>
        <v>1</v>
      </c>
      <c r="AC11" s="1563">
        <f t="shared" si="5"/>
        <v>1</v>
      </c>
    </row>
    <row r="12" spans="1:29" s="1331" customFormat="1" ht="28.8">
      <c r="A12" s="2931"/>
      <c r="B12" s="2936" t="s">
        <v>2761</v>
      </c>
      <c r="C12" s="526"/>
      <c r="D12" s="253">
        <v>100</v>
      </c>
      <c r="E12" s="526"/>
      <c r="F12" s="253">
        <f>ROUND(100/'数据-取费表'!G16,0)</f>
        <v>105</v>
      </c>
      <c r="G12" s="526"/>
      <c r="H12" s="253">
        <f>ROUND(100/'数据-取费表'!G16,0)</f>
        <v>105</v>
      </c>
      <c r="I12" s="526"/>
      <c r="J12" s="253">
        <f>ROUND(100/'数据-取费表'!G16,0)</f>
        <v>105</v>
      </c>
      <c r="K12" s="529"/>
      <c r="L12" s="2130"/>
      <c r="M12" s="2170"/>
      <c r="N12" s="2170"/>
      <c r="O12" s="2131"/>
      <c r="P12" s="3777"/>
      <c r="Q12" s="1144" t="str">
        <f t="shared" si="6"/>
        <v>土地使用年限（年）</v>
      </c>
      <c r="R12" s="1560" t="s">
        <v>8</v>
      </c>
      <c r="S12" s="1561">
        <f t="shared" si="0"/>
        <v>105</v>
      </c>
      <c r="T12" s="1560" t="s">
        <v>8</v>
      </c>
      <c r="U12" s="1561">
        <f t="shared" si="1"/>
        <v>105</v>
      </c>
      <c r="V12" s="1560" t="s">
        <v>8</v>
      </c>
      <c r="W12" s="1561">
        <f t="shared" si="2"/>
        <v>105</v>
      </c>
      <c r="X12" s="1562"/>
      <c r="Y12" s="3734"/>
      <c r="Z12" s="1143" t="str">
        <f t="shared" si="7"/>
        <v>土地使用年限（年）</v>
      </c>
      <c r="AA12" s="1563">
        <f t="shared" si="3"/>
        <v>0.95238095238095233</v>
      </c>
      <c r="AB12" s="1563">
        <f t="shared" si="4"/>
        <v>0.95238095238095233</v>
      </c>
      <c r="AC12" s="1563">
        <f t="shared" si="5"/>
        <v>0.95238095238095233</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77"/>
      <c r="Q13" s="1144" t="str">
        <f t="shared" si="6"/>
        <v>容积率</v>
      </c>
      <c r="R13" s="1560" t="s">
        <v>8</v>
      </c>
      <c r="S13" s="1561" t="e">
        <f t="shared" si="0"/>
        <v>#N/A</v>
      </c>
      <c r="T13" s="1560" t="s">
        <v>8</v>
      </c>
      <c r="U13" s="1561" t="e">
        <f t="shared" si="1"/>
        <v>#N/A</v>
      </c>
      <c r="V13" s="1560" t="s">
        <v>8</v>
      </c>
      <c r="W13" s="1561" t="e">
        <f t="shared" si="2"/>
        <v>#N/A</v>
      </c>
      <c r="X13" s="1562"/>
      <c r="Y13" s="3734"/>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77"/>
      <c r="Q14" s="1144">
        <f t="shared" si="6"/>
        <v>111</v>
      </c>
      <c r="R14" s="1560" t="s">
        <v>8</v>
      </c>
      <c r="S14" s="1561">
        <f t="shared" si="0"/>
        <v>100</v>
      </c>
      <c r="T14" s="1560" t="s">
        <v>8</v>
      </c>
      <c r="U14" s="1561">
        <f t="shared" si="1"/>
        <v>100</v>
      </c>
      <c r="V14" s="1560" t="s">
        <v>8</v>
      </c>
      <c r="W14" s="1561">
        <f t="shared" si="2"/>
        <v>100</v>
      </c>
      <c r="X14" s="1562"/>
      <c r="Y14" s="3734"/>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77"/>
      <c r="Q15" s="1144">
        <f t="shared" si="6"/>
        <v>111</v>
      </c>
      <c r="R15" s="1560" t="s">
        <v>8</v>
      </c>
      <c r="S15" s="1561">
        <f t="shared" si="0"/>
        <v>100</v>
      </c>
      <c r="T15" s="1560" t="s">
        <v>8</v>
      </c>
      <c r="U15" s="1561">
        <f t="shared" si="1"/>
        <v>100</v>
      </c>
      <c r="V15" s="1560" t="s">
        <v>8</v>
      </c>
      <c r="W15" s="1561">
        <f t="shared" si="2"/>
        <v>100</v>
      </c>
      <c r="X15" s="1562"/>
      <c r="Y15" s="3734"/>
      <c r="Z15" s="1143">
        <f t="shared" si="7"/>
        <v>111</v>
      </c>
      <c r="AA15" s="1563">
        <f t="shared" si="3"/>
        <v>1</v>
      </c>
      <c r="AB15" s="1563">
        <f t="shared" si="4"/>
        <v>1</v>
      </c>
      <c r="AC15" s="1563">
        <f t="shared" si="5"/>
        <v>1</v>
      </c>
    </row>
    <row r="16" spans="1:29" ht="15.6"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77"/>
      <c r="Q16" s="1144">
        <f t="shared" si="6"/>
        <v>111</v>
      </c>
      <c r="R16" s="1560" t="s">
        <v>8</v>
      </c>
      <c r="S16" s="1561">
        <f t="shared" si="0"/>
        <v>100</v>
      </c>
      <c r="T16" s="1560" t="s">
        <v>8</v>
      </c>
      <c r="U16" s="1561">
        <f t="shared" si="1"/>
        <v>100</v>
      </c>
      <c r="V16" s="1560" t="s">
        <v>8</v>
      </c>
      <c r="W16" s="1561">
        <f t="shared" si="2"/>
        <v>100</v>
      </c>
      <c r="X16" s="1562"/>
      <c r="Y16" s="3734"/>
      <c r="Z16" s="1143">
        <f t="shared" si="7"/>
        <v>111</v>
      </c>
      <c r="AA16" s="1563">
        <f t="shared" si="3"/>
        <v>1</v>
      </c>
      <c r="AB16" s="1563">
        <f t="shared" si="4"/>
        <v>1</v>
      </c>
      <c r="AC16" s="1563">
        <f t="shared" si="5"/>
        <v>1</v>
      </c>
    </row>
    <row r="17" spans="1:29" ht="69">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79" t="s">
        <v>541</v>
      </c>
      <c r="Q17" s="1564" t="str">
        <f t="shared" si="6"/>
        <v>产业集聚程度</v>
      </c>
      <c r="R17" s="1565" t="s">
        <v>8</v>
      </c>
      <c r="S17" s="1566">
        <f t="shared" si="0"/>
        <v>100</v>
      </c>
      <c r="T17" s="1565" t="s">
        <v>8</v>
      </c>
      <c r="U17" s="1566">
        <f t="shared" si="1"/>
        <v>100</v>
      </c>
      <c r="V17" s="1565" t="s">
        <v>8</v>
      </c>
      <c r="W17" s="1566">
        <f t="shared" si="2"/>
        <v>100</v>
      </c>
      <c r="X17" s="1559"/>
      <c r="Y17" s="3779"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80"/>
      <c r="Q18" s="1564"/>
      <c r="R18" s="1565"/>
      <c r="S18" s="1566"/>
      <c r="T18" s="1565"/>
      <c r="U18" s="1566"/>
      <c r="V18" s="1565"/>
      <c r="W18" s="1566"/>
      <c r="X18" s="1559"/>
      <c r="Y18" s="3780"/>
      <c r="Z18" s="1567"/>
      <c r="AA18" s="1568">
        <v>1</v>
      </c>
      <c r="AB18" s="1568">
        <v>1</v>
      </c>
      <c r="AC18" s="1568">
        <v>1</v>
      </c>
    </row>
    <row r="19" spans="1:29" ht="96.6">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80"/>
      <c r="Q19" s="1564" t="str">
        <f>B19</f>
        <v>交通便捷度</v>
      </c>
      <c r="R19" s="1565" t="s">
        <v>8</v>
      </c>
      <c r="S19" s="1566">
        <f>F19</f>
        <v>100</v>
      </c>
      <c r="T19" s="1565" t="s">
        <v>8</v>
      </c>
      <c r="U19" s="1566">
        <f>H19</f>
        <v>100</v>
      </c>
      <c r="V19" s="1565" t="s">
        <v>8</v>
      </c>
      <c r="W19" s="1566">
        <f>J19</f>
        <v>100</v>
      </c>
      <c r="X19" s="1559"/>
      <c r="Y19" s="3780"/>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80"/>
      <c r="Q20" s="1564"/>
      <c r="R20" s="1565"/>
      <c r="S20" s="1566"/>
      <c r="T20" s="1565"/>
      <c r="U20" s="1566"/>
      <c r="V20" s="1565"/>
      <c r="W20" s="1566"/>
      <c r="X20" s="1559"/>
      <c r="Y20" s="3780"/>
      <c r="Z20" s="1567"/>
      <c r="AA20" s="1568">
        <v>1</v>
      </c>
      <c r="AB20" s="1568">
        <v>1</v>
      </c>
      <c r="AC20" s="1568">
        <v>1</v>
      </c>
    </row>
    <row r="21" spans="1:29" ht="28.8">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80"/>
      <c r="Q21" s="1564" t="str">
        <f t="shared" ref="Q21:Q35" si="8">B21</f>
        <v>区域土地利用方向</v>
      </c>
      <c r="R21" s="1565" t="s">
        <v>8</v>
      </c>
      <c r="S21" s="1566">
        <f>F21</f>
        <v>100</v>
      </c>
      <c r="T21" s="1565" t="s">
        <v>8</v>
      </c>
      <c r="U21" s="1566">
        <f>H21</f>
        <v>100</v>
      </c>
      <c r="V21" s="1565" t="s">
        <v>8</v>
      </c>
      <c r="W21" s="1566">
        <f>J21</f>
        <v>100</v>
      </c>
      <c r="X21" s="1559"/>
      <c r="Y21" s="3780"/>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80"/>
      <c r="Q22" s="1564"/>
      <c r="R22" s="1565"/>
      <c r="S22" s="1566"/>
      <c r="T22" s="1565"/>
      <c r="U22" s="1566"/>
      <c r="V22" s="1565"/>
      <c r="W22" s="1566"/>
      <c r="X22" s="1559"/>
      <c r="Y22" s="3780"/>
      <c r="Z22" s="1567"/>
      <c r="AA22" s="1568"/>
      <c r="AB22" s="1568"/>
      <c r="AC22" s="1568"/>
    </row>
    <row r="23" spans="1:29" ht="82.8">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80"/>
      <c r="Q23" s="1564" t="str">
        <f t="shared" si="8"/>
        <v>环境状况</v>
      </c>
      <c r="R23" s="1565" t="s">
        <v>8</v>
      </c>
      <c r="S23" s="1566">
        <f>F23</f>
        <v>100</v>
      </c>
      <c r="T23" s="1565" t="s">
        <v>8</v>
      </c>
      <c r="U23" s="1566">
        <f>H23</f>
        <v>100</v>
      </c>
      <c r="V23" s="1565" t="s">
        <v>8</v>
      </c>
      <c r="W23" s="1566">
        <f>J23</f>
        <v>100</v>
      </c>
      <c r="X23" s="1559"/>
      <c r="Y23" s="3780"/>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80"/>
      <c r="Q24" s="1564"/>
      <c r="R24" s="1565"/>
      <c r="S24" s="1566"/>
      <c r="T24" s="1565"/>
      <c r="U24" s="1566"/>
      <c r="V24" s="1565"/>
      <c r="W24" s="1566"/>
      <c r="X24" s="1559"/>
      <c r="Y24" s="3780"/>
      <c r="Z24" s="1567"/>
      <c r="AA24" s="1568">
        <v>1</v>
      </c>
      <c r="AB24" s="1568">
        <v>1</v>
      </c>
      <c r="AC24" s="1568">
        <v>1</v>
      </c>
    </row>
    <row r="25" spans="1:29" s="1213" customFormat="1" ht="41.4">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80"/>
      <c r="Q25" s="1144" t="str">
        <f t="shared" si="8"/>
        <v>公共配套设施</v>
      </c>
      <c r="R25" s="1560" t="s">
        <v>8</v>
      </c>
      <c r="S25" s="1561">
        <f>F25</f>
        <v>100</v>
      </c>
      <c r="T25" s="1560" t="s">
        <v>8</v>
      </c>
      <c r="U25" s="1561">
        <f>H25</f>
        <v>100</v>
      </c>
      <c r="V25" s="1560" t="s">
        <v>8</v>
      </c>
      <c r="W25" s="1561">
        <f>J25</f>
        <v>100</v>
      </c>
      <c r="X25" s="1562"/>
      <c r="Y25" s="3780"/>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80"/>
      <c r="Q26" s="1144"/>
      <c r="R26" s="1560"/>
      <c r="S26" s="1561"/>
      <c r="T26" s="1560"/>
      <c r="U26" s="1561"/>
      <c r="V26" s="1560"/>
      <c r="W26" s="1561"/>
      <c r="X26" s="1562"/>
      <c r="Y26" s="3780"/>
      <c r="Z26" s="1143"/>
      <c r="AA26" s="1563">
        <v>1</v>
      </c>
      <c r="AB26" s="1563">
        <v>1</v>
      </c>
      <c r="AC26" s="1563">
        <v>1</v>
      </c>
    </row>
    <row r="27" spans="1:29" s="1213" customFormat="1" ht="41.4">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80"/>
      <c r="Q27" s="2594" t="str">
        <f t="shared" ref="Q27" si="9">B27</f>
        <v>基础设施水平</v>
      </c>
      <c r="R27" s="1560" t="s">
        <v>8</v>
      </c>
      <c r="S27" s="1561">
        <f>F27</f>
        <v>100</v>
      </c>
      <c r="T27" s="1560" t="s">
        <v>8</v>
      </c>
      <c r="U27" s="1561">
        <f>H27</f>
        <v>100</v>
      </c>
      <c r="V27" s="1560" t="s">
        <v>8</v>
      </c>
      <c r="W27" s="1561">
        <f>J27</f>
        <v>100</v>
      </c>
      <c r="X27" s="1562"/>
      <c r="Y27" s="3780"/>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80"/>
      <c r="Q28" s="2594"/>
      <c r="R28" s="1560"/>
      <c r="S28" s="1561"/>
      <c r="T28" s="1560"/>
      <c r="U28" s="1561"/>
      <c r="V28" s="1560"/>
      <c r="W28" s="1561"/>
      <c r="X28" s="1562"/>
      <c r="Y28" s="3780"/>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80"/>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80"/>
      <c r="Z29" s="1567" t="str">
        <f t="shared" ref="Z29:Z42" si="13">Q29</f>
        <v>临街状况</v>
      </c>
      <c r="AA29" s="1568">
        <f t="shared" si="3"/>
        <v>1</v>
      </c>
      <c r="AB29" s="1568">
        <f t="shared" si="4"/>
        <v>1</v>
      </c>
      <c r="AC29" s="1568">
        <f t="shared" si="5"/>
        <v>1</v>
      </c>
    </row>
    <row r="30" spans="1:29" ht="28.8">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80"/>
      <c r="Q30" s="1564" t="str">
        <f t="shared" si="8"/>
        <v>毗邻道路的类型与等级</v>
      </c>
      <c r="R30" s="1565" t="s">
        <v>8</v>
      </c>
      <c r="S30" s="1566">
        <f t="shared" si="10"/>
        <v>100</v>
      </c>
      <c r="T30" s="1565" t="s">
        <v>8</v>
      </c>
      <c r="U30" s="1566">
        <f t="shared" si="11"/>
        <v>100</v>
      </c>
      <c r="V30" s="1565" t="s">
        <v>8</v>
      </c>
      <c r="W30" s="1566">
        <f t="shared" si="12"/>
        <v>100</v>
      </c>
      <c r="X30" s="1559"/>
      <c r="Y30" s="3780"/>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80"/>
      <c r="Q31" s="1564"/>
      <c r="R31" s="1565"/>
      <c r="S31" s="1566"/>
      <c r="T31" s="1565"/>
      <c r="U31" s="1566"/>
      <c r="V31" s="1565"/>
      <c r="W31" s="1566"/>
      <c r="X31" s="1559"/>
      <c r="Y31" s="3780"/>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80"/>
      <c r="Q32" s="1564" t="str">
        <f t="shared" si="8"/>
        <v>土地级别</v>
      </c>
      <c r="R32" s="1565" t="s">
        <v>8</v>
      </c>
      <c r="S32" s="1566">
        <f t="shared" si="10"/>
        <v>100</v>
      </c>
      <c r="T32" s="1565" t="s">
        <v>8</v>
      </c>
      <c r="U32" s="1566">
        <f t="shared" si="11"/>
        <v>100</v>
      </c>
      <c r="V32" s="1565" t="s">
        <v>8</v>
      </c>
      <c r="W32" s="1566">
        <f t="shared" si="12"/>
        <v>100</v>
      </c>
      <c r="X32" s="1559"/>
      <c r="Y32" s="3780"/>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80"/>
      <c r="Q33" s="1564">
        <f t="shared" si="8"/>
        <v>111</v>
      </c>
      <c r="R33" s="1565" t="s">
        <v>8</v>
      </c>
      <c r="S33" s="1566">
        <f t="shared" si="10"/>
        <v>100</v>
      </c>
      <c r="T33" s="1565" t="s">
        <v>8</v>
      </c>
      <c r="U33" s="1566">
        <f t="shared" si="11"/>
        <v>100</v>
      </c>
      <c r="V33" s="1565" t="s">
        <v>8</v>
      </c>
      <c r="W33" s="1566">
        <f t="shared" si="12"/>
        <v>100</v>
      </c>
      <c r="X33" s="1559"/>
      <c r="Y33" s="3780"/>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781" t="s">
        <v>551</v>
      </c>
      <c r="Q34" s="1564">
        <f t="shared" si="8"/>
        <v>111</v>
      </c>
      <c r="R34" s="1565" t="s">
        <v>8</v>
      </c>
      <c r="S34" s="1566">
        <f t="shared" si="10"/>
        <v>100</v>
      </c>
      <c r="T34" s="1565" t="s">
        <v>8</v>
      </c>
      <c r="U34" s="1566">
        <f t="shared" si="11"/>
        <v>100</v>
      </c>
      <c r="V34" s="1565" t="s">
        <v>8</v>
      </c>
      <c r="W34" s="1566">
        <f t="shared" si="12"/>
        <v>100</v>
      </c>
      <c r="X34" s="1559"/>
      <c r="Y34" s="3782" t="s">
        <v>551</v>
      </c>
      <c r="Z34" s="1567">
        <f t="shared" si="13"/>
        <v>111</v>
      </c>
      <c r="AA34" s="1568">
        <f t="shared" si="3"/>
        <v>1</v>
      </c>
      <c r="AB34" s="1568">
        <f t="shared" si="4"/>
        <v>1</v>
      </c>
      <c r="AC34" s="1568">
        <f t="shared" si="5"/>
        <v>1</v>
      </c>
    </row>
    <row r="35" spans="1:29" s="1332" customFormat="1" ht="15.6"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782"/>
      <c r="Q35" s="1564">
        <f t="shared" si="8"/>
        <v>111</v>
      </c>
      <c r="R35" s="1569" t="s">
        <v>8</v>
      </c>
      <c r="S35" s="1570">
        <f t="shared" si="10"/>
        <v>100</v>
      </c>
      <c r="T35" s="1569" t="s">
        <v>8</v>
      </c>
      <c r="U35" s="1570">
        <f t="shared" si="11"/>
        <v>100</v>
      </c>
      <c r="V35" s="1569" t="s">
        <v>8</v>
      </c>
      <c r="W35" s="1570">
        <f t="shared" si="12"/>
        <v>100</v>
      </c>
      <c r="X35" s="1571"/>
      <c r="Y35" s="3782"/>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82"/>
      <c r="Q36" s="1564" t="str">
        <f>B36</f>
        <v>宗地面积</v>
      </c>
      <c r="R36" s="1565" t="s">
        <v>8</v>
      </c>
      <c r="S36" s="1566" t="e">
        <f t="shared" si="10"/>
        <v>#N/A</v>
      </c>
      <c r="T36" s="1565" t="s">
        <v>8</v>
      </c>
      <c r="U36" s="1566" t="e">
        <f t="shared" si="11"/>
        <v>#N/A</v>
      </c>
      <c r="V36" s="1565" t="s">
        <v>8</v>
      </c>
      <c r="W36" s="1566" t="e">
        <f t="shared" si="12"/>
        <v>#N/A</v>
      </c>
      <c r="X36" s="1559"/>
      <c r="Y36" s="3782"/>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782"/>
      <c r="Q37" s="1564" t="str">
        <f t="shared" ref="Q37:Q42" si="14">B37</f>
        <v>宗地形状</v>
      </c>
      <c r="R37" s="1565" t="s">
        <v>8</v>
      </c>
      <c r="S37" s="1566">
        <f t="shared" si="10"/>
        <v>100</v>
      </c>
      <c r="T37" s="1565" t="s">
        <v>8</v>
      </c>
      <c r="U37" s="1566">
        <f t="shared" si="11"/>
        <v>100</v>
      </c>
      <c r="V37" s="1565" t="s">
        <v>8</v>
      </c>
      <c r="W37" s="1566">
        <f t="shared" si="12"/>
        <v>100</v>
      </c>
      <c r="X37" s="1559"/>
      <c r="Y37" s="3782"/>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782"/>
      <c r="Q38" s="1564" t="str">
        <f t="shared" si="14"/>
        <v>宗地开发程度</v>
      </c>
      <c r="R38" s="1560" t="s">
        <v>8</v>
      </c>
      <c r="S38" s="1561">
        <f t="shared" si="10"/>
        <v>100</v>
      </c>
      <c r="T38" s="1560" t="s">
        <v>8</v>
      </c>
      <c r="U38" s="1561">
        <f t="shared" si="11"/>
        <v>100</v>
      </c>
      <c r="V38" s="1560" t="s">
        <v>8</v>
      </c>
      <c r="W38" s="1561">
        <f t="shared" si="12"/>
        <v>100</v>
      </c>
      <c r="X38" s="1562"/>
      <c r="Y38" s="3782"/>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82" t="s">
        <v>602</v>
      </c>
      <c r="Q39" s="1564" t="str">
        <f t="shared" si="14"/>
        <v>工程地质条件</v>
      </c>
      <c r="R39" s="1565" t="s">
        <v>8</v>
      </c>
      <c r="S39" s="1566">
        <f t="shared" si="10"/>
        <v>100</v>
      </c>
      <c r="T39" s="1565" t="s">
        <v>8</v>
      </c>
      <c r="U39" s="1566">
        <f t="shared" si="11"/>
        <v>100</v>
      </c>
      <c r="V39" s="1565" t="s">
        <v>8</v>
      </c>
      <c r="W39" s="1566">
        <f t="shared" si="12"/>
        <v>100</v>
      </c>
      <c r="X39" s="1559"/>
      <c r="Y39" s="3782"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782"/>
      <c r="Q40" s="1564">
        <f t="shared" si="14"/>
        <v>111</v>
      </c>
      <c r="R40" s="1565" t="s">
        <v>8</v>
      </c>
      <c r="S40" s="1566">
        <f t="shared" si="10"/>
        <v>100</v>
      </c>
      <c r="T40" s="1565" t="s">
        <v>8</v>
      </c>
      <c r="U40" s="1566">
        <f t="shared" si="11"/>
        <v>100</v>
      </c>
      <c r="V40" s="1565" t="s">
        <v>8</v>
      </c>
      <c r="W40" s="1566">
        <f t="shared" si="12"/>
        <v>100</v>
      </c>
      <c r="X40" s="1559"/>
      <c r="Y40" s="3782"/>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782"/>
      <c r="Q41" s="1564">
        <f t="shared" si="14"/>
        <v>111</v>
      </c>
      <c r="R41" s="1565" t="s">
        <v>8</v>
      </c>
      <c r="S41" s="1566">
        <f t="shared" si="10"/>
        <v>100</v>
      </c>
      <c r="T41" s="1565" t="s">
        <v>8</v>
      </c>
      <c r="U41" s="1566">
        <f t="shared" si="11"/>
        <v>100</v>
      </c>
      <c r="V41" s="1565" t="s">
        <v>8</v>
      </c>
      <c r="W41" s="1566">
        <f t="shared" si="12"/>
        <v>100</v>
      </c>
      <c r="X41" s="1559"/>
      <c r="Y41" s="3782"/>
      <c r="Z41" s="1567">
        <f t="shared" si="13"/>
        <v>111</v>
      </c>
      <c r="AA41" s="1568">
        <f t="shared" si="3"/>
        <v>1</v>
      </c>
      <c r="AB41" s="1568">
        <f t="shared" si="4"/>
        <v>1</v>
      </c>
      <c r="AC41" s="1568">
        <f t="shared" si="5"/>
        <v>1</v>
      </c>
    </row>
    <row r="42" spans="1:29" s="1332" customFormat="1" ht="15.6"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782"/>
      <c r="Q42" s="1564">
        <f t="shared" si="14"/>
        <v>111</v>
      </c>
      <c r="R42" s="1569" t="s">
        <v>8</v>
      </c>
      <c r="S42" s="1570">
        <f t="shared" si="10"/>
        <v>100</v>
      </c>
      <c r="T42" s="1569" t="s">
        <v>8</v>
      </c>
      <c r="U42" s="1570">
        <f t="shared" si="11"/>
        <v>100</v>
      </c>
      <c r="V42" s="1569" t="s">
        <v>8</v>
      </c>
      <c r="W42" s="1570">
        <f t="shared" si="12"/>
        <v>100</v>
      </c>
      <c r="X42" s="1571"/>
      <c r="Y42" s="3782"/>
      <c r="Z42" s="1572">
        <f t="shared" si="13"/>
        <v>111</v>
      </c>
      <c r="AA42" s="1568">
        <f t="shared" si="3"/>
        <v>1</v>
      </c>
      <c r="AB42" s="1568">
        <f t="shared" si="4"/>
        <v>1</v>
      </c>
      <c r="AC42" s="1568">
        <f t="shared" si="5"/>
        <v>1</v>
      </c>
    </row>
    <row r="43" spans="1:29" ht="14.4">
      <c r="A43" s="604" t="s">
        <v>557</v>
      </c>
      <c r="B43" s="605" t="s">
        <v>2934</v>
      </c>
      <c r="C43" s="606" t="s">
        <v>1</v>
      </c>
      <c r="D43" s="607"/>
      <c r="E43" s="608"/>
      <c r="F43" s="609"/>
      <c r="G43" s="610"/>
      <c r="H43" s="611"/>
      <c r="I43" s="608"/>
      <c r="J43" s="611"/>
      <c r="K43" s="1333"/>
      <c r="L43" s="2136"/>
      <c r="M43" s="2126"/>
      <c r="N43" s="2126"/>
      <c r="O43" s="2137"/>
      <c r="P43" s="3777" t="str">
        <f>A43</f>
        <v>成交单价</v>
      </c>
      <c r="Q43" s="3777"/>
      <c r="R43" s="3791">
        <f>E43</f>
        <v>0</v>
      </c>
      <c r="S43" s="3791"/>
      <c r="T43" s="3791">
        <f>G43</f>
        <v>0</v>
      </c>
      <c r="U43" s="3791"/>
      <c r="V43" s="3791">
        <f>I43</f>
        <v>0</v>
      </c>
      <c r="W43" s="3791"/>
      <c r="X43" s="1551"/>
      <c r="Y43" s="1573"/>
      <c r="Z43" s="1551"/>
      <c r="AA43" s="1551"/>
      <c r="AB43" s="1551"/>
      <c r="AC43" s="1551"/>
    </row>
    <row r="44" spans="1:29" ht="1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77" t="str">
        <f>A44</f>
        <v>比较价格（元/平方米）</v>
      </c>
      <c r="Q44" s="3777"/>
      <c r="R44" s="3801" t="e">
        <f>ROUND(PRODUCT(R43,AA9:AA42),0)</f>
        <v>#DIV/0!</v>
      </c>
      <c r="S44" s="3801"/>
      <c r="T44" s="3801" t="e">
        <f>ROUND(PRODUCT(T43,AB9:AB42),0)</f>
        <v>#DIV/0!</v>
      </c>
      <c r="U44" s="3801"/>
      <c r="V44" s="3801" t="e">
        <f>ROUND(PRODUCT(V43,AC9:AC42),0)</f>
        <v>#DIV/0!</v>
      </c>
      <c r="W44" s="3801"/>
      <c r="X44" s="1551"/>
      <c r="Y44" s="1551"/>
      <c r="Z44" s="1551"/>
      <c r="AA44" s="1551"/>
      <c r="AB44" s="1551"/>
      <c r="AC44" s="1551"/>
    </row>
    <row r="45" spans="1:29" ht="15" thickBot="1">
      <c r="A45" s="618" t="s">
        <v>2935</v>
      </c>
      <c r="B45" s="619"/>
      <c r="C45" s="620" t="e">
        <f>R45</f>
        <v>#DIV/0!</v>
      </c>
      <c r="D45" s="620"/>
      <c r="E45" s="620"/>
      <c r="F45" s="620"/>
      <c r="G45" s="620"/>
      <c r="H45" s="620"/>
      <c r="I45" s="620"/>
      <c r="J45" s="620"/>
      <c r="K45" s="1335"/>
      <c r="L45" s="2136"/>
      <c r="M45" s="2126"/>
      <c r="N45" s="2126"/>
      <c r="O45" s="2137"/>
      <c r="P45" s="3798" t="str">
        <f>A45</f>
        <v>估价对象XX用房的比较价格（楼面单价，元/平方米）</v>
      </c>
      <c r="Q45" s="3799"/>
      <c r="R45" s="3800" t="e">
        <f>ROUND(AVERAGE(R44:V44),0)</f>
        <v>#DIV/0!</v>
      </c>
      <c r="S45" s="3800"/>
      <c r="T45" s="3800"/>
      <c r="U45" s="3800"/>
      <c r="V45" s="3800"/>
      <c r="W45" s="3800"/>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4.4"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8.8">
      <c r="A52" s="626" t="s">
        <v>561</v>
      </c>
      <c r="B52" s="627" t="s">
        <v>562</v>
      </c>
      <c r="C52" s="1552" t="s">
        <v>1723</v>
      </c>
      <c r="D52" s="2219" t="s">
        <v>2294</v>
      </c>
      <c r="E52" s="628" t="s">
        <v>563</v>
      </c>
      <c r="F52" s="1943" t="s">
        <v>564</v>
      </c>
      <c r="G52" s="3803" t="s">
        <v>2285</v>
      </c>
      <c r="H52" s="3804"/>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3.2">
      <c r="A53" s="630" t="s">
        <v>565</v>
      </c>
      <c r="B53" s="631" t="e">
        <f>C45</f>
        <v>#DIV/0!</v>
      </c>
      <c r="C53" s="632">
        <v>1</v>
      </c>
      <c r="D53" s="2220">
        <v>1</v>
      </c>
      <c r="E53" s="632">
        <f>'数据-汇总表'!E8+'数据-汇总表'!E9</f>
        <v>346718</v>
      </c>
      <c r="F53" s="1942" t="e">
        <f t="shared" ref="F53:F62" si="15">ROUND(B53*E53/10000,0)</f>
        <v>#DIV/0!</v>
      </c>
      <c r="G53" s="3805"/>
      <c r="H53" s="3806"/>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3.2">
      <c r="A54" s="634" t="s">
        <v>566</v>
      </c>
      <c r="B54" s="635" t="e">
        <f>ROUND($C$45*C54*D54,0)</f>
        <v>#DIV/0!</v>
      </c>
      <c r="C54" s="376">
        <f t="shared" ref="C54:C62" si="16">IF($C$52="北京市系数",I54,J54)</f>
        <v>0</v>
      </c>
      <c r="D54" s="2221">
        <v>0.25</v>
      </c>
      <c r="E54" s="636"/>
      <c r="F54" s="1942" t="e">
        <f t="shared" si="15"/>
        <v>#DIV/0!</v>
      </c>
      <c r="G54" s="3807"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3.2">
      <c r="A55" s="634" t="s">
        <v>567</v>
      </c>
      <c r="B55" s="635" t="e">
        <f t="shared" ref="B55:B62" si="17">ROUND($C$45*C55*D55,0)</f>
        <v>#DIV/0!</v>
      </c>
      <c r="C55" s="376">
        <f t="shared" si="16"/>
        <v>0</v>
      </c>
      <c r="D55" s="2221">
        <v>0.25</v>
      </c>
      <c r="E55" s="636"/>
      <c r="F55" s="1942" t="e">
        <f t="shared" si="15"/>
        <v>#DIV/0!</v>
      </c>
      <c r="G55" s="3807"/>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3.2">
      <c r="A56" s="634" t="s">
        <v>568</v>
      </c>
      <c r="B56" s="635" t="e">
        <f t="shared" si="17"/>
        <v>#DIV/0!</v>
      </c>
      <c r="C56" s="376">
        <f t="shared" si="16"/>
        <v>0</v>
      </c>
      <c r="D56" s="2221">
        <v>0.25</v>
      </c>
      <c r="E56" s="636"/>
      <c r="F56" s="1942" t="e">
        <f t="shared" si="15"/>
        <v>#DIV/0!</v>
      </c>
      <c r="G56" s="3807"/>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3.2">
      <c r="A57" s="634" t="s">
        <v>569</v>
      </c>
      <c r="B57" s="635" t="e">
        <f t="shared" si="17"/>
        <v>#DIV/0!</v>
      </c>
      <c r="C57" s="376">
        <f t="shared" si="16"/>
        <v>0</v>
      </c>
      <c r="D57" s="2221">
        <v>0.25</v>
      </c>
      <c r="E57" s="636"/>
      <c r="F57" s="1942" t="e">
        <f t="shared" si="15"/>
        <v>#DIV/0!</v>
      </c>
      <c r="G57" s="3807"/>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3.2">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3.2">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3.2">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3.2">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2020-4-1</v>
      </c>
      <c r="D65" s="2816">
        <f>EDATE(C65,-3)</f>
        <v>43831</v>
      </c>
      <c r="E65" s="2816">
        <f t="shared" ref="E65:N65" si="18">EDATE(D65,-3)</f>
        <v>43739</v>
      </c>
      <c r="F65" s="2816">
        <f t="shared" si="18"/>
        <v>43647</v>
      </c>
      <c r="G65" s="2816">
        <f t="shared" si="18"/>
        <v>43556</v>
      </c>
      <c r="H65" s="2816">
        <f t="shared" si="18"/>
        <v>43466</v>
      </c>
      <c r="I65" s="2816">
        <f t="shared" si="18"/>
        <v>43374</v>
      </c>
      <c r="J65" s="2816">
        <f t="shared" si="18"/>
        <v>43282</v>
      </c>
      <c r="K65" s="2816">
        <f t="shared" si="18"/>
        <v>43191</v>
      </c>
      <c r="L65" s="2816">
        <f t="shared" si="18"/>
        <v>43101</v>
      </c>
      <c r="M65" s="2816">
        <f t="shared" si="18"/>
        <v>43009</v>
      </c>
      <c r="N65" s="2816">
        <f t="shared" si="18"/>
        <v>42917</v>
      </c>
      <c r="O65" s="2137"/>
      <c r="P65" s="2137"/>
      <c r="Q65" s="2137"/>
      <c r="R65" s="2137"/>
      <c r="S65" s="2137"/>
      <c r="T65" s="2137"/>
      <c r="U65" s="2137"/>
      <c r="V65" s="2137"/>
      <c r="W65" s="2137"/>
      <c r="X65" s="2137"/>
      <c r="Y65" s="2137"/>
      <c r="Z65" s="2137"/>
      <c r="AA65" s="2137"/>
      <c r="AB65" s="2137"/>
      <c r="AC65" s="2137"/>
    </row>
    <row r="66" spans="1:29" ht="22.2"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4.4">
      <c r="A67" s="2584" t="s">
        <v>2537</v>
      </c>
      <c r="B67" s="643"/>
      <c r="C67" s="2811" t="str">
        <f>YEAR(C65)&amp;"-"&amp;ROUNDUP(MONTH(C65)/3,0)</f>
        <v>2020-2</v>
      </c>
      <c r="D67" s="2818" t="str">
        <f t="shared" ref="D67:N67" si="19">YEAR(D65)&amp;"-"&amp;ROUNDUP(MONTH(D65)/3,0)</f>
        <v>2020-1</v>
      </c>
      <c r="E67" s="2818" t="str">
        <f t="shared" si="19"/>
        <v>2019-4</v>
      </c>
      <c r="F67" s="2818" t="str">
        <f t="shared" si="19"/>
        <v>2019-3</v>
      </c>
      <c r="G67" s="2818" t="str">
        <f t="shared" si="19"/>
        <v>2019-2</v>
      </c>
      <c r="H67" s="2818" t="str">
        <f t="shared" si="19"/>
        <v>2019-1</v>
      </c>
      <c r="I67" s="2818" t="str">
        <f t="shared" si="19"/>
        <v>2018-4</v>
      </c>
      <c r="J67" s="2818" t="str">
        <f t="shared" si="19"/>
        <v>2018-3</v>
      </c>
      <c r="K67" s="2818" t="str">
        <f t="shared" si="19"/>
        <v>2018-2</v>
      </c>
      <c r="L67" s="2818" t="str">
        <f t="shared" si="19"/>
        <v>2018-1</v>
      </c>
      <c r="M67" s="2818" t="str">
        <f t="shared" si="19"/>
        <v>2017-4</v>
      </c>
      <c r="N67" s="2818" t="str">
        <f t="shared" si="19"/>
        <v>2017-3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4.4">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4.4"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ht="14.4">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4.4"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9.4"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4.4"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4.4"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4.4"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4.4"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4.4"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4.4"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4.4"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ht="14.4">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9.4"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4.4"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9.4"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4.4"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4.4"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4.4"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9.4"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4.4"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4.4"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4.4"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4.4"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4.4"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4.4"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ht="14.4">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4.4"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4.4"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4.4"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4.4"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4.4"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4.4"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4.4"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7734375" style="1396" customWidth="1"/>
    <col min="2" max="2" width="19.21875" style="1520" customWidth="1"/>
    <col min="3" max="4" width="12" style="1397"/>
    <col min="5" max="5" width="14.6640625" style="1397" customWidth="1"/>
    <col min="6" max="8" width="12" style="1397"/>
    <col min="9" max="9" width="12.21875" style="1397" bestFit="1" customWidth="1"/>
    <col min="10" max="10" width="12" style="1397"/>
    <col min="11" max="11" width="9.6640625" style="1394" customWidth="1"/>
    <col min="12" max="12" width="12" style="1397"/>
    <col min="13" max="14" width="10.6640625" style="1397" customWidth="1"/>
    <col min="15" max="17" width="12" style="1397"/>
    <col min="18" max="18" width="12" style="1396"/>
    <col min="19" max="22" width="15.44140625" style="1396" customWidth="1"/>
    <col min="23" max="28" width="12" style="1397"/>
    <col min="29" max="29" width="9.33203125" style="1396" customWidth="1"/>
    <col min="30" max="35" width="9.33203125" style="1395" customWidth="1"/>
    <col min="36" max="39" width="9.33203125" style="1396" customWidth="1"/>
    <col min="40" max="41" width="9.33203125" style="1397" customWidth="1"/>
    <col min="42" max="16384" width="12" style="1397"/>
  </cols>
  <sheetData>
    <row r="1" spans="1:39" ht="20.399999999999999">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6">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6">
      <c r="A3" s="1403" t="s">
        <v>1686</v>
      </c>
      <c r="B3" s="1031" t="e">
        <f ca="1">ROUND(B2*10000/D1,0)</f>
        <v>#DIV/0!</v>
      </c>
      <c r="C3" s="1399" t="s">
        <v>927</v>
      </c>
      <c r="D3" s="1400" t="s">
        <v>928</v>
      </c>
      <c r="E3" s="1404" t="s">
        <v>3441</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31.2">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6"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6"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15"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6.4">
      <c r="A8" s="3816"/>
      <c r="B8" s="1406" t="s">
        <v>934</v>
      </c>
      <c r="C8" s="1521" t="s">
        <v>3442</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25" t="s">
        <v>2787</v>
      </c>
      <c r="X8" s="3826"/>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16"/>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24"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16"/>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2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16"/>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24"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8" thickBot="1">
      <c r="A12" s="3815"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24"/>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17"/>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24"/>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17"/>
      <c r="B14" s="1443"/>
      <c r="C14" s="1444" t="s">
        <v>3443</v>
      </c>
      <c r="D14" s="1445" t="s">
        <v>3443</v>
      </c>
      <c r="E14" s="1445" t="s">
        <v>3443</v>
      </c>
      <c r="F14" s="1446" t="s">
        <v>3444</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18"/>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15" t="s">
        <v>1837</v>
      </c>
      <c r="B16" s="1419" t="s">
        <v>950</v>
      </c>
      <c r="C16" s="1047" t="e">
        <f>ROUND(SUM(G17:J17)/C17,0)</f>
        <v>#DIV/0!</v>
      </c>
      <c r="D16" s="1452" t="s">
        <v>951</v>
      </c>
      <c r="E16" s="1453" t="s">
        <v>3445</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24.6" thickBot="1">
      <c r="A17" s="3816"/>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9.4"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43924</v>
      </c>
      <c r="H19" s="1467" t="s">
        <v>2937</v>
      </c>
      <c r="I19" s="2801" t="str">
        <f>IF(H19="季度增幅（自定义）",SUMIF(N21:N24,E2,O21:O24),"")</f>
        <v/>
      </c>
      <c r="J19" s="1463"/>
      <c r="K19" s="1473"/>
      <c r="L19" s="3055" t="s">
        <v>2845</v>
      </c>
      <c r="M19" s="3056">
        <f>ROUND(SUMIF(地价!B2:F2,E2,地价!B21:F21),0)</f>
        <v>230</v>
      </c>
      <c r="N19" s="2803" t="s">
        <v>1677</v>
      </c>
      <c r="O19" s="2802">
        <f>ROUNDDOWN(DATEDIF(E19,G19,"M")/3,0)</f>
        <v>25</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9.4"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4">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4">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9.4"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4">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4">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6"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36">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3.2">
      <c r="A33" s="3821"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3.2">
      <c r="A34" s="3822"/>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3.2">
      <c r="A35" s="3822"/>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8" thickBot="1">
      <c r="A36" s="3823"/>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3.2">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3.2">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8"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4.4">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60">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72">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48">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36">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72">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72.599999999999994"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4.4">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60">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72">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48">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36">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72">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72.599999999999994"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4.4">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60">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72">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3.8">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72">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36">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72">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36.6"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4.4">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60">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3.8">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36">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48.6"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19" t="s">
        <v>1634</v>
      </c>
      <c r="B90" s="3819"/>
      <c r="C90" s="3819"/>
      <c r="D90" s="3819"/>
      <c r="E90" s="3819"/>
      <c r="F90" s="3819"/>
      <c r="G90" s="3819"/>
      <c r="H90" s="3819"/>
      <c r="I90" s="3819"/>
      <c r="J90" s="3819"/>
      <c r="K90" s="2466"/>
      <c r="L90" s="2466"/>
      <c r="M90" s="2466"/>
      <c r="N90" s="2466"/>
    </row>
    <row r="91" spans="1:40">
      <c r="A91" s="3820" t="s">
        <v>1444</v>
      </c>
      <c r="B91" s="3820" t="s">
        <v>1635</v>
      </c>
      <c r="C91" s="1133" t="s">
        <v>1636</v>
      </c>
      <c r="D91" s="1134"/>
      <c r="E91" s="1134"/>
      <c r="F91" s="1134"/>
      <c r="G91" s="1134"/>
      <c r="H91" s="1134"/>
      <c r="I91" s="1134"/>
      <c r="J91" s="1135"/>
      <c r="K91" s="1127"/>
      <c r="L91" s="1127"/>
      <c r="M91" s="1127"/>
      <c r="N91" s="1127"/>
    </row>
    <row r="92" spans="1:40">
      <c r="A92" s="3820"/>
      <c r="B92" s="3820"/>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27"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2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2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2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2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2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28"/>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29"/>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27"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28"/>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28"/>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28"/>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28"/>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28"/>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28"/>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28"/>
      <c r="B108" s="3830"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29"/>
      <c r="B109" s="3831"/>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14" t="s">
        <v>1640</v>
      </c>
      <c r="B110" s="3814"/>
      <c r="C110" s="3814"/>
      <c r="D110" s="3814"/>
      <c r="E110" s="3814"/>
      <c r="F110" s="3814"/>
      <c r="G110" s="3814"/>
      <c r="H110" s="3814"/>
      <c r="I110" s="3814"/>
      <c r="J110" s="3814"/>
      <c r="K110" s="2464"/>
      <c r="L110" s="2464"/>
      <c r="M110" s="2464"/>
      <c r="N110" s="2464"/>
    </row>
    <row r="112" spans="1:14" ht="12.6" thickBot="1"/>
    <row r="113" spans="1:13" ht="25.8"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3.2">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3.2">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3.2">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3.2">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8"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20" t="s">
        <v>1008</v>
      </c>
      <c r="B18" s="1147" t="s">
        <v>1447</v>
      </c>
      <c r="C18" s="1124" t="s">
        <v>1448</v>
      </c>
      <c r="D18" s="1125"/>
      <c r="E18" s="1147">
        <v>1</v>
      </c>
      <c r="F18" s="1126" t="s">
        <v>1449</v>
      </c>
      <c r="G18" s="1127"/>
      <c r="H18" s="1098"/>
      <c r="I18" s="1098"/>
    </row>
    <row r="19" spans="1:9" s="1591" customFormat="1" ht="19.5" customHeight="1">
      <c r="A19" s="3820"/>
      <c r="B19" s="3820" t="s">
        <v>1450</v>
      </c>
      <c r="C19" s="1124" t="s">
        <v>1451</v>
      </c>
      <c r="D19" s="1125"/>
      <c r="E19" s="1147">
        <v>0.9</v>
      </c>
      <c r="F19" s="1126" t="s">
        <v>1452</v>
      </c>
      <c r="G19" s="1127"/>
      <c r="H19" s="1098"/>
      <c r="I19" s="1098"/>
    </row>
    <row r="20" spans="1:9" s="1591" customFormat="1" ht="19.5" customHeight="1">
      <c r="A20" s="3820"/>
      <c r="B20" s="3820"/>
      <c r="C20" s="1124" t="s">
        <v>1453</v>
      </c>
      <c r="D20" s="1125"/>
      <c r="E20" s="1147">
        <v>1.1000000000000001</v>
      </c>
      <c r="F20" s="1126" t="s">
        <v>1454</v>
      </c>
      <c r="G20" s="1127"/>
      <c r="H20" s="1098"/>
      <c r="I20" s="1098"/>
    </row>
    <row r="21" spans="1:9" s="1591" customFormat="1" ht="19.5" customHeight="1">
      <c r="A21" s="3820"/>
      <c r="B21" s="3820"/>
      <c r="C21" s="1124" t="s">
        <v>1455</v>
      </c>
      <c r="D21" s="1125"/>
      <c r="E21" s="1147">
        <v>0.8</v>
      </c>
      <c r="F21" s="1126" t="s">
        <v>1456</v>
      </c>
      <c r="G21" s="1127"/>
      <c r="H21" s="1098"/>
      <c r="I21" s="1098"/>
    </row>
    <row r="22" spans="1:9" s="1591" customFormat="1" ht="19.5" customHeight="1">
      <c r="A22" s="3820"/>
      <c r="B22" s="3820"/>
      <c r="C22" s="1124" t="s">
        <v>1457</v>
      </c>
      <c r="D22" s="1125"/>
      <c r="E22" s="1147">
        <v>0.5</v>
      </c>
      <c r="F22" s="1126"/>
      <c r="G22" s="1127"/>
      <c r="H22" s="1098"/>
      <c r="I22" s="1098"/>
    </row>
    <row r="23" spans="1:9" s="1591" customFormat="1" ht="19.5" customHeight="1">
      <c r="A23" s="3820" t="s">
        <v>1030</v>
      </c>
      <c r="B23" s="1147" t="s">
        <v>1447</v>
      </c>
      <c r="C23" s="1124" t="s">
        <v>1458</v>
      </c>
      <c r="D23" s="1125"/>
      <c r="E23" s="1147">
        <v>1</v>
      </c>
      <c r="F23" s="1126" t="s">
        <v>1459</v>
      </c>
      <c r="G23" s="1127"/>
      <c r="H23" s="1098"/>
      <c r="I23" s="1098"/>
    </row>
    <row r="24" spans="1:9" s="1591" customFormat="1" ht="19.5" customHeight="1">
      <c r="A24" s="3820"/>
      <c r="B24" s="3820" t="s">
        <v>1450</v>
      </c>
      <c r="C24" s="1124" t="s">
        <v>1460</v>
      </c>
      <c r="D24" s="1125"/>
      <c r="E24" s="1147">
        <v>0.5</v>
      </c>
      <c r="F24" s="1126"/>
      <c r="G24" s="1127"/>
      <c r="H24" s="1098"/>
      <c r="I24" s="1098"/>
    </row>
    <row r="25" spans="1:9" s="1591" customFormat="1" ht="19.5" customHeight="1">
      <c r="A25" s="3820"/>
      <c r="B25" s="3820"/>
      <c r="C25" s="1124" t="s">
        <v>1461</v>
      </c>
      <c r="D25" s="1125"/>
      <c r="E25" s="1147">
        <v>1.1000000000000001</v>
      </c>
      <c r="F25" s="1126"/>
      <c r="G25" s="1127"/>
      <c r="H25" s="1098"/>
      <c r="I25" s="1098"/>
    </row>
    <row r="26" spans="1:9" s="1591" customFormat="1" ht="19.5" customHeight="1">
      <c r="A26" s="3820"/>
      <c r="B26" s="3820"/>
      <c r="C26" s="1124" t="s">
        <v>1462</v>
      </c>
      <c r="D26" s="1125"/>
      <c r="E26" s="1147">
        <v>1.1000000000000001</v>
      </c>
      <c r="F26" s="1126"/>
      <c r="G26" s="1127"/>
      <c r="H26" s="1098"/>
      <c r="I26" s="1098"/>
    </row>
    <row r="27" spans="1:9" s="1591" customFormat="1" ht="19.5" customHeight="1">
      <c r="A27" s="3820"/>
      <c r="B27" s="3820"/>
      <c r="C27" s="1124" t="s">
        <v>1463</v>
      </c>
      <c r="D27" s="1125"/>
      <c r="E27" s="1147">
        <v>0.9</v>
      </c>
      <c r="F27" s="1126" t="s">
        <v>1464</v>
      </c>
      <c r="G27" s="1127"/>
      <c r="H27" s="1098"/>
      <c r="I27" s="1098"/>
    </row>
    <row r="28" spans="1:9" s="1591" customFormat="1" ht="19.5" customHeight="1">
      <c r="A28" s="3820"/>
      <c r="B28" s="3820"/>
      <c r="C28" s="1124" t="s">
        <v>1465</v>
      </c>
      <c r="D28" s="1125"/>
      <c r="E28" s="1147">
        <v>0.9</v>
      </c>
      <c r="F28" s="1126" t="s">
        <v>1466</v>
      </c>
      <c r="G28" s="1127"/>
      <c r="H28" s="1098"/>
      <c r="I28" s="1098"/>
    </row>
    <row r="29" spans="1:9" s="1591" customFormat="1" ht="19.5" customHeight="1">
      <c r="A29" s="3820"/>
      <c r="B29" s="3820"/>
      <c r="C29" s="1124" t="s">
        <v>1467</v>
      </c>
      <c r="D29" s="1125"/>
      <c r="E29" s="1147">
        <v>0.9</v>
      </c>
      <c r="F29" s="1126" t="s">
        <v>1468</v>
      </c>
      <c r="G29" s="1127"/>
      <c r="H29" s="1098"/>
      <c r="I29" s="1098"/>
    </row>
    <row r="30" spans="1:9" s="1591" customFormat="1" ht="19.5" customHeight="1">
      <c r="A30" s="3820"/>
      <c r="B30" s="3820"/>
      <c r="C30" s="1124" t="s">
        <v>1469</v>
      </c>
      <c r="D30" s="1125"/>
      <c r="E30" s="1147">
        <v>0.9</v>
      </c>
      <c r="F30" s="1126" t="s">
        <v>1470</v>
      </c>
      <c r="G30" s="1127"/>
      <c r="H30" s="1098"/>
      <c r="I30" s="1098"/>
    </row>
    <row r="31" spans="1:9" s="1591" customFormat="1" ht="19.5" customHeight="1">
      <c r="A31" s="3820"/>
      <c r="B31" s="3820"/>
      <c r="C31" s="1124" t="s">
        <v>1471</v>
      </c>
      <c r="D31" s="1125"/>
      <c r="E31" s="1147">
        <v>0.8</v>
      </c>
      <c r="F31" s="1126" t="s">
        <v>1472</v>
      </c>
      <c r="G31" s="1127"/>
      <c r="H31" s="1098"/>
      <c r="I31" s="1098"/>
    </row>
    <row r="32" spans="1:9" s="1591" customFormat="1" ht="19.5" customHeight="1">
      <c r="A32" s="3820"/>
      <c r="B32" s="3820"/>
      <c r="C32" s="1124" t="s">
        <v>1473</v>
      </c>
      <c r="D32" s="1125"/>
      <c r="E32" s="1147">
        <v>0.8</v>
      </c>
      <c r="F32" s="1126" t="s">
        <v>1474</v>
      </c>
      <c r="G32" s="1127"/>
      <c r="H32" s="1098"/>
      <c r="I32" s="1098"/>
    </row>
    <row r="33" spans="1:9" s="1591" customFormat="1" ht="19.5" customHeight="1">
      <c r="A33" s="3820" t="s">
        <v>1475</v>
      </c>
      <c r="B33" s="1147" t="s">
        <v>1447</v>
      </c>
      <c r="C33" s="1124" t="s">
        <v>1476</v>
      </c>
      <c r="D33" s="1125"/>
      <c r="E33" s="1147">
        <v>1</v>
      </c>
      <c r="F33" s="1126" t="s">
        <v>1477</v>
      </c>
      <c r="G33" s="1127"/>
      <c r="H33" s="1098"/>
      <c r="I33" s="1098"/>
    </row>
    <row r="34" spans="1:9" s="1591" customFormat="1" ht="19.5" customHeight="1">
      <c r="A34" s="3820"/>
      <c r="B34" s="1147" t="s">
        <v>1450</v>
      </c>
      <c r="C34" s="1124" t="s">
        <v>1478</v>
      </c>
      <c r="D34" s="1125"/>
      <c r="E34" s="1147">
        <v>1.5</v>
      </c>
      <c r="F34" s="1126" t="s">
        <v>1479</v>
      </c>
      <c r="G34" s="1127"/>
      <c r="H34" s="1098"/>
      <c r="I34" s="1098"/>
    </row>
    <row r="35" spans="1:9" s="1591" customFormat="1" ht="19.5" customHeight="1">
      <c r="A35" s="3820" t="s">
        <v>1433</v>
      </c>
      <c r="B35" s="1147" t="s">
        <v>1447</v>
      </c>
      <c r="C35" s="1124" t="s">
        <v>1480</v>
      </c>
      <c r="D35" s="1125"/>
      <c r="E35" s="1147">
        <v>1</v>
      </c>
      <c r="F35" s="1126" t="s">
        <v>1481</v>
      </c>
      <c r="G35" s="1127"/>
      <c r="H35" s="1098"/>
      <c r="I35" s="1098"/>
    </row>
    <row r="36" spans="1:9" s="1591" customFormat="1" ht="19.5" customHeight="1">
      <c r="A36" s="3820"/>
      <c r="B36" s="3820" t="s">
        <v>1450</v>
      </c>
      <c r="C36" s="1124" t="s">
        <v>1482</v>
      </c>
      <c r="D36" s="1125"/>
      <c r="E36" s="1147">
        <v>1</v>
      </c>
      <c r="F36" s="1126" t="s">
        <v>1483</v>
      </c>
      <c r="G36" s="1127"/>
      <c r="H36" s="1098"/>
      <c r="I36" s="1098"/>
    </row>
    <row r="37" spans="1:9" s="1591" customFormat="1" ht="19.5" customHeight="1">
      <c r="A37" s="3820"/>
      <c r="B37" s="3820"/>
      <c r="C37" s="1124" t="s">
        <v>1484</v>
      </c>
      <c r="D37" s="1125"/>
      <c r="E37" s="1147">
        <v>1.5</v>
      </c>
      <c r="F37" s="1126" t="s">
        <v>1485</v>
      </c>
      <c r="G37" s="1127"/>
      <c r="H37" s="1098"/>
      <c r="I37" s="1098"/>
    </row>
    <row r="38" spans="1:9" s="1591" customFormat="1" ht="19.5" customHeight="1">
      <c r="A38" s="3820"/>
      <c r="B38" s="3820"/>
      <c r="C38" s="1124" t="s">
        <v>1486</v>
      </c>
      <c r="D38" s="1125"/>
      <c r="E38" s="1147">
        <v>1</v>
      </c>
      <c r="F38" s="1126" t="s">
        <v>1487</v>
      </c>
      <c r="G38" s="1127"/>
      <c r="H38" s="1098"/>
      <c r="I38" s="1098"/>
    </row>
    <row r="39" spans="1:9" s="1591" customFormat="1" ht="19.5" customHeight="1">
      <c r="A39" s="3820"/>
      <c r="B39" s="3820"/>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36">
      <c r="A61" s="1147">
        <v>1</v>
      </c>
      <c r="B61" s="3820" t="s">
        <v>1502</v>
      </c>
      <c r="C61" s="1061" t="s">
        <v>1503</v>
      </c>
      <c r="D61" s="1061" t="s">
        <v>1504</v>
      </c>
      <c r="E61" s="1132">
        <v>0.5</v>
      </c>
      <c r="F61" s="1147">
        <v>80</v>
      </c>
      <c r="H61" s="1098">
        <f>SUMIF(C59:C119,基准地价!C8,E59:E119)</f>
        <v>0</v>
      </c>
    </row>
    <row r="62" spans="1:8" s="1098" customFormat="1" ht="36">
      <c r="A62" s="1147">
        <v>2</v>
      </c>
      <c r="B62" s="3820"/>
      <c r="C62" s="1061" t="s">
        <v>1505</v>
      </c>
      <c r="D62" s="1061" t="s">
        <v>1506</v>
      </c>
      <c r="E62" s="1132">
        <v>0.5</v>
      </c>
      <c r="F62" s="1147">
        <v>80</v>
      </c>
    </row>
    <row r="63" spans="1:8" s="1098" customFormat="1" ht="48">
      <c r="A63" s="1147">
        <v>3</v>
      </c>
      <c r="B63" s="3820"/>
      <c r="C63" s="1061" t="s">
        <v>1507</v>
      </c>
      <c r="D63" s="1061" t="s">
        <v>1508</v>
      </c>
      <c r="E63" s="1132">
        <v>0.5</v>
      </c>
      <c r="F63" s="1147">
        <v>80</v>
      </c>
    </row>
    <row r="64" spans="1:8" s="1098" customFormat="1" ht="48">
      <c r="A64" s="1147">
        <v>4</v>
      </c>
      <c r="B64" s="3820"/>
      <c r="C64" s="1061" t="s">
        <v>1509</v>
      </c>
      <c r="D64" s="1061" t="s">
        <v>1510</v>
      </c>
      <c r="E64" s="1132">
        <v>0.4</v>
      </c>
      <c r="F64" s="1147">
        <v>60</v>
      </c>
    </row>
    <row r="65" spans="1:6" s="1098" customFormat="1" ht="48">
      <c r="A65" s="1147">
        <v>5</v>
      </c>
      <c r="B65" s="3820"/>
      <c r="C65" s="1061" t="s">
        <v>1511</v>
      </c>
      <c r="D65" s="1061" t="s">
        <v>1512</v>
      </c>
      <c r="E65" s="1132">
        <v>0.2</v>
      </c>
      <c r="F65" s="1147">
        <v>30</v>
      </c>
    </row>
    <row r="66" spans="1:6" s="1098" customFormat="1" ht="48">
      <c r="A66" s="1147">
        <v>6</v>
      </c>
      <c r="B66" s="3820"/>
      <c r="C66" s="1061" t="s">
        <v>1513</v>
      </c>
      <c r="D66" s="1061" t="s">
        <v>1514</v>
      </c>
      <c r="E66" s="1132">
        <v>0.3</v>
      </c>
      <c r="F66" s="1147">
        <v>50</v>
      </c>
    </row>
    <row r="67" spans="1:6" s="1098" customFormat="1" ht="48">
      <c r="A67" s="1147">
        <v>7</v>
      </c>
      <c r="B67" s="3820"/>
      <c r="C67" s="1061" t="s">
        <v>1515</v>
      </c>
      <c r="D67" s="1061" t="s">
        <v>1516</v>
      </c>
      <c r="E67" s="1132">
        <v>0.2</v>
      </c>
      <c r="F67" s="1147">
        <v>30</v>
      </c>
    </row>
    <row r="68" spans="1:6" s="1098" customFormat="1" ht="48">
      <c r="A68" s="1147">
        <v>8</v>
      </c>
      <c r="B68" s="3820"/>
      <c r="C68" s="1061" t="s">
        <v>1517</v>
      </c>
      <c r="D68" s="1061" t="s">
        <v>1518</v>
      </c>
      <c r="E68" s="1132">
        <v>0.2</v>
      </c>
      <c r="F68" s="1147">
        <v>30</v>
      </c>
    </row>
    <row r="69" spans="1:6" s="1098" customFormat="1" ht="48">
      <c r="A69" s="1147">
        <v>9</v>
      </c>
      <c r="B69" s="3820"/>
      <c r="C69" s="1061" t="s">
        <v>1519</v>
      </c>
      <c r="D69" s="1061" t="s">
        <v>1520</v>
      </c>
      <c r="E69" s="1132">
        <v>0.2</v>
      </c>
      <c r="F69" s="1147">
        <v>30</v>
      </c>
    </row>
    <row r="70" spans="1:6" s="1098" customFormat="1" ht="60">
      <c r="A70" s="1147">
        <v>10</v>
      </c>
      <c r="B70" s="3820"/>
      <c r="C70" s="1061" t="s">
        <v>1521</v>
      </c>
      <c r="D70" s="1061" t="s">
        <v>1522</v>
      </c>
      <c r="E70" s="1132">
        <v>0.2</v>
      </c>
      <c r="F70" s="1147">
        <v>30</v>
      </c>
    </row>
    <row r="71" spans="1:6" s="1098" customFormat="1" ht="60">
      <c r="A71" s="1147">
        <v>11</v>
      </c>
      <c r="B71" s="3820"/>
      <c r="C71" s="1061" t="s">
        <v>1523</v>
      </c>
      <c r="D71" s="1061" t="s">
        <v>1524</v>
      </c>
      <c r="E71" s="1132">
        <v>0.2</v>
      </c>
      <c r="F71" s="1147">
        <v>30</v>
      </c>
    </row>
    <row r="72" spans="1:6" s="1098" customFormat="1" ht="36">
      <c r="A72" s="1147">
        <v>12</v>
      </c>
      <c r="B72" s="3820"/>
      <c r="C72" s="1061" t="s">
        <v>1525</v>
      </c>
      <c r="D72" s="1061" t="s">
        <v>1526</v>
      </c>
      <c r="E72" s="1132">
        <v>0.5</v>
      </c>
      <c r="F72" s="1147">
        <v>80</v>
      </c>
    </row>
    <row r="73" spans="1:6" s="1098" customFormat="1" ht="36">
      <c r="A73" s="1147">
        <v>13</v>
      </c>
      <c r="B73" s="3820"/>
      <c r="C73" s="1061" t="s">
        <v>1527</v>
      </c>
      <c r="D73" s="1061" t="s">
        <v>1528</v>
      </c>
      <c r="E73" s="1132">
        <v>0.4</v>
      </c>
      <c r="F73" s="1147">
        <v>60</v>
      </c>
    </row>
    <row r="74" spans="1:6" s="1098" customFormat="1" ht="36">
      <c r="A74" s="1147">
        <v>14</v>
      </c>
      <c r="B74" s="3820"/>
      <c r="C74" s="1061" t="s">
        <v>1529</v>
      </c>
      <c r="D74" s="1061" t="s">
        <v>1530</v>
      </c>
      <c r="E74" s="1132">
        <v>0.2</v>
      </c>
      <c r="F74" s="1147">
        <v>30</v>
      </c>
    </row>
    <row r="75" spans="1:6" s="1098" customFormat="1" ht="36">
      <c r="A75" s="1147">
        <v>15</v>
      </c>
      <c r="B75" s="3820"/>
      <c r="C75" s="1061" t="s">
        <v>1531</v>
      </c>
      <c r="D75" s="1061" t="s">
        <v>1532</v>
      </c>
      <c r="E75" s="1132">
        <v>0.2</v>
      </c>
      <c r="F75" s="1147">
        <v>30</v>
      </c>
    </row>
    <row r="76" spans="1:6" s="1098" customFormat="1" ht="36">
      <c r="A76" s="1147">
        <v>16</v>
      </c>
      <c r="B76" s="3820" t="s">
        <v>1533</v>
      </c>
      <c r="C76" s="1061" t="s">
        <v>1534</v>
      </c>
      <c r="D76" s="1061" t="s">
        <v>1535</v>
      </c>
      <c r="E76" s="1132">
        <v>0.5</v>
      </c>
      <c r="F76" s="1147">
        <v>80</v>
      </c>
    </row>
    <row r="77" spans="1:6" s="1098" customFormat="1" ht="36">
      <c r="A77" s="1147">
        <v>17</v>
      </c>
      <c r="B77" s="3820"/>
      <c r="C77" s="1061" t="s">
        <v>1536</v>
      </c>
      <c r="D77" s="1061" t="s">
        <v>1537</v>
      </c>
      <c r="E77" s="1132">
        <v>0.5</v>
      </c>
      <c r="F77" s="1147">
        <v>80</v>
      </c>
    </row>
    <row r="78" spans="1:6" s="1098" customFormat="1" ht="36">
      <c r="A78" s="1147">
        <v>18</v>
      </c>
      <c r="B78" s="3820"/>
      <c r="C78" s="1061" t="s">
        <v>1538</v>
      </c>
      <c r="D78" s="1061" t="s">
        <v>1539</v>
      </c>
      <c r="E78" s="1132">
        <v>0.2</v>
      </c>
      <c r="F78" s="1147">
        <v>30</v>
      </c>
    </row>
    <row r="79" spans="1:6" s="1098" customFormat="1" ht="36">
      <c r="A79" s="1147">
        <v>19</v>
      </c>
      <c r="B79" s="3820"/>
      <c r="C79" s="1061" t="s">
        <v>1540</v>
      </c>
      <c r="D79" s="1061" t="s">
        <v>1541</v>
      </c>
      <c r="E79" s="1132">
        <v>0.5</v>
      </c>
      <c r="F79" s="1147">
        <v>80</v>
      </c>
    </row>
    <row r="80" spans="1:6" s="1098" customFormat="1" ht="36">
      <c r="A80" s="1147">
        <v>20</v>
      </c>
      <c r="B80" s="3820"/>
      <c r="C80" s="1061" t="s">
        <v>1542</v>
      </c>
      <c r="D80" s="1061" t="s">
        <v>1543</v>
      </c>
      <c r="E80" s="1132">
        <v>0.2</v>
      </c>
      <c r="F80" s="1147">
        <v>30</v>
      </c>
    </row>
    <row r="81" spans="1:6" s="1098" customFormat="1" ht="36">
      <c r="A81" s="1147">
        <v>21</v>
      </c>
      <c r="B81" s="3820"/>
      <c r="C81" s="1061" t="s">
        <v>1544</v>
      </c>
      <c r="D81" s="1061" t="s">
        <v>1545</v>
      </c>
      <c r="E81" s="1132">
        <v>0.2</v>
      </c>
      <c r="F81" s="1147">
        <v>30</v>
      </c>
    </row>
    <row r="82" spans="1:6" s="1098" customFormat="1" ht="60">
      <c r="A82" s="1147">
        <v>22</v>
      </c>
      <c r="B82" s="3820"/>
      <c r="C82" s="1061" t="s">
        <v>1546</v>
      </c>
      <c r="D82" s="1061" t="s">
        <v>1547</v>
      </c>
      <c r="E82" s="1132">
        <v>0.2</v>
      </c>
      <c r="F82" s="1147">
        <v>30</v>
      </c>
    </row>
    <row r="83" spans="1:6" s="1098" customFormat="1" ht="60">
      <c r="A83" s="1147">
        <v>23</v>
      </c>
      <c r="B83" s="3820"/>
      <c r="C83" s="1061" t="s">
        <v>1548</v>
      </c>
      <c r="D83" s="1061" t="s">
        <v>1549</v>
      </c>
      <c r="E83" s="1132">
        <v>0.2</v>
      </c>
      <c r="F83" s="1147">
        <v>30</v>
      </c>
    </row>
    <row r="84" spans="1:6" s="1098" customFormat="1" ht="48">
      <c r="A84" s="1147">
        <v>24</v>
      </c>
      <c r="B84" s="3820"/>
      <c r="C84" s="1061" t="s">
        <v>1550</v>
      </c>
      <c r="D84" s="1061" t="s">
        <v>1551</v>
      </c>
      <c r="E84" s="1132">
        <v>0.2</v>
      </c>
      <c r="F84" s="1147">
        <v>30</v>
      </c>
    </row>
    <row r="85" spans="1:6" s="1098" customFormat="1" ht="36">
      <c r="A85" s="1147">
        <v>25</v>
      </c>
      <c r="B85" s="3820"/>
      <c r="C85" s="1061" t="s">
        <v>1552</v>
      </c>
      <c r="D85" s="1061" t="s">
        <v>1553</v>
      </c>
      <c r="E85" s="1132">
        <v>0.5</v>
      </c>
      <c r="F85" s="1147">
        <v>80</v>
      </c>
    </row>
    <row r="86" spans="1:6" s="1098" customFormat="1" ht="36">
      <c r="A86" s="1147">
        <v>26</v>
      </c>
      <c r="B86" s="3820"/>
      <c r="C86" s="1061" t="s">
        <v>1554</v>
      </c>
      <c r="D86" s="1061" t="s">
        <v>1555</v>
      </c>
      <c r="E86" s="1132">
        <v>0.2</v>
      </c>
      <c r="F86" s="1147">
        <v>30</v>
      </c>
    </row>
    <row r="87" spans="1:6" s="1098" customFormat="1" ht="36">
      <c r="A87" s="1147">
        <v>27</v>
      </c>
      <c r="B87" s="3820"/>
      <c r="C87" s="1061" t="s">
        <v>1556</v>
      </c>
      <c r="D87" s="1061" t="s">
        <v>1557</v>
      </c>
      <c r="E87" s="1132">
        <v>0.2</v>
      </c>
      <c r="F87" s="1147">
        <v>30</v>
      </c>
    </row>
    <row r="88" spans="1:6" s="1098" customFormat="1" ht="36">
      <c r="A88" s="1147">
        <v>28</v>
      </c>
      <c r="B88" s="3820"/>
      <c r="C88" s="1061" t="s">
        <v>1558</v>
      </c>
      <c r="D88" s="1061" t="s">
        <v>1559</v>
      </c>
      <c r="E88" s="1132">
        <v>0.2</v>
      </c>
      <c r="F88" s="1147">
        <v>30</v>
      </c>
    </row>
    <row r="89" spans="1:6" s="1098" customFormat="1" ht="36">
      <c r="A89" s="1147">
        <v>29</v>
      </c>
      <c r="B89" s="3820"/>
      <c r="C89" s="1061" t="s">
        <v>1560</v>
      </c>
      <c r="D89" s="1061" t="s">
        <v>1561</v>
      </c>
      <c r="E89" s="1132">
        <v>0.2</v>
      </c>
      <c r="F89" s="1147">
        <v>30</v>
      </c>
    </row>
    <row r="90" spans="1:6" s="1098" customFormat="1" ht="36">
      <c r="A90" s="1147">
        <v>30</v>
      </c>
      <c r="B90" s="3820"/>
      <c r="C90" s="1061" t="s">
        <v>1562</v>
      </c>
      <c r="D90" s="1061" t="s">
        <v>1563</v>
      </c>
      <c r="E90" s="1132">
        <v>0.2</v>
      </c>
      <c r="F90" s="1147">
        <v>30</v>
      </c>
    </row>
    <row r="91" spans="1:6" s="1098" customFormat="1" ht="48">
      <c r="A91" s="1147">
        <v>31</v>
      </c>
      <c r="B91" s="3820"/>
      <c r="C91" s="1061" t="s">
        <v>1564</v>
      </c>
      <c r="D91" s="1061" t="s">
        <v>1565</v>
      </c>
      <c r="E91" s="1132">
        <v>0.2</v>
      </c>
      <c r="F91" s="1147">
        <v>30</v>
      </c>
    </row>
    <row r="92" spans="1:6" s="1098" customFormat="1" ht="36">
      <c r="A92" s="1147">
        <v>32</v>
      </c>
      <c r="B92" s="3820" t="s">
        <v>1566</v>
      </c>
      <c r="C92" s="1147" t="s">
        <v>1567</v>
      </c>
      <c r="D92" s="1061" t="s">
        <v>1568</v>
      </c>
      <c r="E92" s="1132">
        <v>0.2</v>
      </c>
      <c r="F92" s="1147">
        <v>30</v>
      </c>
    </row>
    <row r="93" spans="1:6" s="1098" customFormat="1" ht="36">
      <c r="A93" s="1147">
        <v>33</v>
      </c>
      <c r="B93" s="3820"/>
      <c r="C93" s="1147" t="s">
        <v>1569</v>
      </c>
      <c r="D93" s="1061" t="s">
        <v>1570</v>
      </c>
      <c r="E93" s="1132">
        <v>0.2</v>
      </c>
      <c r="F93" s="1147">
        <v>30</v>
      </c>
    </row>
    <row r="94" spans="1:6" s="1098" customFormat="1" ht="60">
      <c r="A94" s="1147">
        <v>34</v>
      </c>
      <c r="B94" s="3820"/>
      <c r="C94" s="1147" t="s">
        <v>1571</v>
      </c>
      <c r="D94" s="1061" t="s">
        <v>1572</v>
      </c>
      <c r="E94" s="1132">
        <v>0.2</v>
      </c>
      <c r="F94" s="1147">
        <v>30</v>
      </c>
    </row>
    <row r="95" spans="1:6" s="1098" customFormat="1" ht="48">
      <c r="A95" s="1147">
        <v>35</v>
      </c>
      <c r="B95" s="3820"/>
      <c r="C95" s="1147" t="s">
        <v>1573</v>
      </c>
      <c r="D95" s="1061" t="s">
        <v>1574</v>
      </c>
      <c r="E95" s="1132">
        <v>0.2</v>
      </c>
      <c r="F95" s="1147">
        <v>30</v>
      </c>
    </row>
    <row r="96" spans="1:6" s="1098" customFormat="1" ht="72">
      <c r="A96" s="1147">
        <v>36</v>
      </c>
      <c r="B96" s="3820"/>
      <c r="C96" s="1061" t="s">
        <v>1575</v>
      </c>
      <c r="D96" s="1061" t="s">
        <v>1576</v>
      </c>
      <c r="E96" s="1132">
        <v>0.2</v>
      </c>
      <c r="F96" s="1147">
        <v>30</v>
      </c>
    </row>
    <row r="97" spans="1:6" s="1098" customFormat="1" ht="36">
      <c r="A97" s="1147">
        <v>37</v>
      </c>
      <c r="B97" s="3820"/>
      <c r="C97" s="1147" t="s">
        <v>1577</v>
      </c>
      <c r="D97" s="1061" t="s">
        <v>1578</v>
      </c>
      <c r="E97" s="1132">
        <v>0.2</v>
      </c>
      <c r="F97" s="1147">
        <v>30</v>
      </c>
    </row>
    <row r="98" spans="1:6" s="1098" customFormat="1" ht="36">
      <c r="A98" s="1147">
        <v>38</v>
      </c>
      <c r="B98" s="3820"/>
      <c r="C98" s="1147" t="s">
        <v>1579</v>
      </c>
      <c r="D98" s="1061" t="s">
        <v>1580</v>
      </c>
      <c r="E98" s="1132">
        <v>0.2</v>
      </c>
      <c r="F98" s="1147">
        <v>30</v>
      </c>
    </row>
    <row r="99" spans="1:6" s="1098" customFormat="1" ht="36">
      <c r="A99" s="1147">
        <v>39</v>
      </c>
      <c r="B99" s="3820" t="s">
        <v>1581</v>
      </c>
      <c r="C99" s="1147" t="s">
        <v>1582</v>
      </c>
      <c r="D99" s="1061" t="s">
        <v>1583</v>
      </c>
      <c r="E99" s="1132">
        <v>0.3</v>
      </c>
      <c r="F99" s="1147">
        <v>50</v>
      </c>
    </row>
    <row r="100" spans="1:6" s="1098" customFormat="1" ht="36">
      <c r="A100" s="1147">
        <v>40</v>
      </c>
      <c r="B100" s="3820"/>
      <c r="C100" s="1147" t="s">
        <v>1584</v>
      </c>
      <c r="D100" s="1061" t="s">
        <v>1585</v>
      </c>
      <c r="E100" s="1132">
        <v>0.2</v>
      </c>
      <c r="F100" s="1147">
        <v>30</v>
      </c>
    </row>
    <row r="101" spans="1:6" s="1098" customFormat="1" ht="36">
      <c r="A101" s="1147">
        <v>41</v>
      </c>
      <c r="B101" s="3820"/>
      <c r="C101" s="1147" t="s">
        <v>1586</v>
      </c>
      <c r="D101" s="1061" t="s">
        <v>1583</v>
      </c>
      <c r="E101" s="1132">
        <v>0.2</v>
      </c>
      <c r="F101" s="1147">
        <v>30</v>
      </c>
    </row>
    <row r="102" spans="1:6" s="1098" customFormat="1" ht="72">
      <c r="A102" s="1147">
        <v>42</v>
      </c>
      <c r="B102" s="1147" t="s">
        <v>1587</v>
      </c>
      <c r="C102" s="1061" t="s">
        <v>1588</v>
      </c>
      <c r="D102" s="1061" t="s">
        <v>1589</v>
      </c>
      <c r="E102" s="1132">
        <v>0.2</v>
      </c>
      <c r="F102" s="1147">
        <v>30</v>
      </c>
    </row>
    <row r="103" spans="1:6" s="1098" customFormat="1" ht="36">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48">
      <c r="A105" s="1147">
        <v>45</v>
      </c>
      <c r="B105" s="3820" t="s">
        <v>1596</v>
      </c>
      <c r="C105" s="1147" t="s">
        <v>1597</v>
      </c>
      <c r="D105" s="1061" t="s">
        <v>1598</v>
      </c>
      <c r="E105" s="1132">
        <v>0.2</v>
      </c>
      <c r="F105" s="1147">
        <v>30</v>
      </c>
    </row>
    <row r="106" spans="1:6" s="1098" customFormat="1" ht="48">
      <c r="A106" s="1147">
        <v>46</v>
      </c>
      <c r="B106" s="3820"/>
      <c r="C106" s="1147" t="s">
        <v>1599</v>
      </c>
      <c r="D106" s="1061" t="s">
        <v>1600</v>
      </c>
      <c r="E106" s="1132">
        <v>0.2</v>
      </c>
      <c r="F106" s="1147">
        <v>30</v>
      </c>
    </row>
    <row r="107" spans="1:6" s="1098" customFormat="1" ht="36">
      <c r="A107" s="1147">
        <v>47</v>
      </c>
      <c r="B107" s="3820" t="s">
        <v>1601</v>
      </c>
      <c r="C107" s="1147" t="s">
        <v>1602</v>
      </c>
      <c r="D107" s="1061" t="s">
        <v>1603</v>
      </c>
      <c r="E107" s="1132">
        <v>0.3</v>
      </c>
      <c r="F107" s="1147">
        <v>50</v>
      </c>
    </row>
    <row r="108" spans="1:6" s="1098" customFormat="1" ht="48">
      <c r="A108" s="1147">
        <v>48</v>
      </c>
      <c r="B108" s="3820"/>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48">
      <c r="A110" s="1147">
        <v>50</v>
      </c>
      <c r="B110" s="1147" t="s">
        <v>1609</v>
      </c>
      <c r="C110" s="1147" t="s">
        <v>1610</v>
      </c>
      <c r="D110" s="1061" t="s">
        <v>1611</v>
      </c>
      <c r="E110" s="1132">
        <v>0.2</v>
      </c>
      <c r="F110" s="1147">
        <v>30</v>
      </c>
    </row>
    <row r="111" spans="1:6" s="1098" customFormat="1" ht="48">
      <c r="A111" s="1147">
        <v>51</v>
      </c>
      <c r="B111" s="3820" t="s">
        <v>1612</v>
      </c>
      <c r="C111" s="1147" t="s">
        <v>1613</v>
      </c>
      <c r="D111" s="1061" t="s">
        <v>1614</v>
      </c>
      <c r="E111" s="1132">
        <v>0.2</v>
      </c>
      <c r="F111" s="1147">
        <v>30</v>
      </c>
    </row>
    <row r="112" spans="1:6" s="1098" customFormat="1" ht="36">
      <c r="A112" s="1147">
        <v>52</v>
      </c>
      <c r="B112" s="3820"/>
      <c r="C112" s="1147" t="s">
        <v>1615</v>
      </c>
      <c r="D112" s="1061" t="s">
        <v>1616</v>
      </c>
      <c r="E112" s="1132">
        <v>0.2</v>
      </c>
      <c r="F112" s="1147">
        <v>30</v>
      </c>
    </row>
    <row r="113" spans="1:14" s="1098" customFormat="1" ht="36">
      <c r="A113" s="1147">
        <v>53</v>
      </c>
      <c r="B113" s="3820"/>
      <c r="C113" s="1147" t="s">
        <v>1617</v>
      </c>
      <c r="D113" s="1061" t="s">
        <v>1618</v>
      </c>
      <c r="E113" s="1132">
        <v>0.2</v>
      </c>
      <c r="F113" s="1147">
        <v>30</v>
      </c>
    </row>
    <row r="114" spans="1:14" ht="48">
      <c r="A114" s="1147">
        <v>54</v>
      </c>
      <c r="B114" s="1147" t="s">
        <v>1619</v>
      </c>
      <c r="C114" s="1147" t="s">
        <v>1620</v>
      </c>
      <c r="D114" s="1061" t="s">
        <v>1621</v>
      </c>
      <c r="E114" s="1132">
        <v>0.2</v>
      </c>
      <c r="F114" s="1147">
        <v>30</v>
      </c>
    </row>
    <row r="115" spans="1:14" ht="36">
      <c r="A115" s="1147">
        <v>55</v>
      </c>
      <c r="B115" s="1147" t="s">
        <v>1622</v>
      </c>
      <c r="C115" s="1147" t="s">
        <v>1623</v>
      </c>
      <c r="D115" s="1061" t="s">
        <v>1624</v>
      </c>
      <c r="E115" s="1132">
        <v>0.2</v>
      </c>
      <c r="F115" s="1147">
        <v>30</v>
      </c>
    </row>
    <row r="116" spans="1:14" ht="36">
      <c r="A116" s="1147">
        <v>56</v>
      </c>
      <c r="B116" s="3820" t="s">
        <v>1625</v>
      </c>
      <c r="C116" s="1147" t="s">
        <v>1626</v>
      </c>
      <c r="D116" s="1061" t="s">
        <v>1627</v>
      </c>
      <c r="E116" s="1132">
        <v>0.2</v>
      </c>
      <c r="F116" s="1147">
        <v>30</v>
      </c>
    </row>
    <row r="117" spans="1:14" ht="36">
      <c r="A117" s="1147">
        <v>57</v>
      </c>
      <c r="B117" s="3820"/>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4.4">
      <c r="A119" s="1147"/>
      <c r="B119" s="1147"/>
      <c r="C119" s="1147"/>
      <c r="D119" s="1147"/>
      <c r="E119" s="1132"/>
      <c r="F119" s="1147"/>
    </row>
    <row r="121" spans="1:14" ht="19.5" customHeight="1">
      <c r="A121" s="3819" t="s">
        <v>1634</v>
      </c>
      <c r="B121" s="3819"/>
      <c r="C121" s="3819"/>
      <c r="D121" s="3819"/>
      <c r="E121" s="3819"/>
      <c r="F121" s="3819"/>
      <c r="G121" s="3819"/>
      <c r="H121" s="3819"/>
      <c r="I121" s="3819"/>
      <c r="J121" s="3819"/>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832" t="s">
        <v>1040</v>
      </c>
      <c r="B1" s="3832"/>
      <c r="C1" s="3832"/>
      <c r="D1" s="3832"/>
      <c r="E1" s="3832"/>
      <c r="F1" s="3832"/>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5" thickBot="1">
      <c r="A2" s="3833" t="s">
        <v>1053</v>
      </c>
      <c r="B2" s="3833"/>
      <c r="C2" s="3833"/>
      <c r="D2" s="3833"/>
      <c r="E2" s="3833"/>
      <c r="F2" s="3833"/>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34"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35"/>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0"/>
    <col min="2" max="16384" width="9" style="1004"/>
  </cols>
  <sheetData>
    <row r="1" spans="1:14" ht="15.6">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5.6">
      <c r="A103" s="1002" t="s">
        <v>904</v>
      </c>
      <c r="B103" s="1003"/>
      <c r="C103" s="1003"/>
      <c r="D103" s="1003"/>
      <c r="E103" s="1003"/>
      <c r="F103" s="1003"/>
      <c r="G103" s="1003"/>
      <c r="H103" s="1003"/>
      <c r="I103" s="1003"/>
      <c r="J103" s="1003"/>
      <c r="K103" s="1003"/>
      <c r="L103" s="1003"/>
      <c r="M103" s="1003"/>
      <c r="N103" s="1003"/>
    </row>
    <row r="104" spans="1:14" ht="15.6">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5.6">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5.6">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2" customWidth="1"/>
    <col min="2" max="2" width="10.21875" style="1873" customWidth="1"/>
  </cols>
  <sheetData>
    <row r="1" spans="1:6">
      <c r="A1" s="3836" t="s">
        <v>2080</v>
      </c>
      <c r="B1" s="3836"/>
    </row>
    <row r="2" spans="1:6" ht="15" thickBot="1">
      <c r="A2" s="1843"/>
      <c r="B2" s="1843"/>
    </row>
    <row r="3" spans="1:6" ht="15" thickBot="1">
      <c r="A3" s="1843"/>
      <c r="B3" s="1843"/>
      <c r="C3" s="1844" t="s">
        <v>2081</v>
      </c>
      <c r="D3" s="1844" t="s">
        <v>2082</v>
      </c>
      <c r="E3" s="1844" t="s">
        <v>2083</v>
      </c>
      <c r="F3" s="1844" t="s">
        <v>2084</v>
      </c>
    </row>
    <row r="4" spans="1:6" ht="15" thickBot="1">
      <c r="A4" s="1845" t="s">
        <v>2085</v>
      </c>
      <c r="B4" s="1846" t="s">
        <v>2086</v>
      </c>
      <c r="C4" s="1844"/>
      <c r="D4" s="1844"/>
      <c r="E4" s="1844"/>
      <c r="F4" s="1844"/>
    </row>
    <row r="5" spans="1:6" ht="15" thickBot="1">
      <c r="A5" s="1847" t="s">
        <v>2087</v>
      </c>
      <c r="B5" s="1848" t="s">
        <v>2088</v>
      </c>
      <c r="C5" s="1849">
        <v>8.8999999999999996E-2</v>
      </c>
      <c r="D5" s="1849">
        <v>7.3999999999999996E-2</v>
      </c>
      <c r="E5" s="1849">
        <v>7.4999999999999997E-2</v>
      </c>
      <c r="F5" s="1850">
        <v>0.1</v>
      </c>
    </row>
    <row r="6" spans="1:6" ht="15" thickBot="1">
      <c r="A6" s="1847" t="s">
        <v>1097</v>
      </c>
      <c r="B6" s="1851" t="s">
        <v>2089</v>
      </c>
      <c r="C6" s="1852">
        <v>0.1</v>
      </c>
      <c r="D6" s="1852">
        <v>9.0999999999999998E-2</v>
      </c>
      <c r="E6" s="1852">
        <v>9.0999999999999998E-2</v>
      </c>
      <c r="F6" s="1853">
        <v>0.1</v>
      </c>
    </row>
    <row r="7" spans="1:6" ht="15" thickBot="1">
      <c r="A7" s="1847" t="s">
        <v>1097</v>
      </c>
      <c r="B7" s="1854" t="s">
        <v>1085</v>
      </c>
      <c r="C7" s="1852">
        <v>8.5999999999999993E-2</v>
      </c>
      <c r="D7" s="1852">
        <v>9.6000000000000002E-2</v>
      </c>
      <c r="E7" s="1852">
        <v>7.5999999999999998E-2</v>
      </c>
      <c r="F7" s="1853">
        <v>0.1</v>
      </c>
    </row>
    <row r="8" spans="1:6" ht="15" thickBot="1">
      <c r="A8" s="1847" t="s">
        <v>1097</v>
      </c>
      <c r="B8" s="1851" t="s">
        <v>1098</v>
      </c>
      <c r="C8" s="1852">
        <v>9.9000000000000005E-2</v>
      </c>
      <c r="D8" s="1852">
        <v>9.8000000000000004E-2</v>
      </c>
      <c r="E8" s="1852">
        <v>9.8000000000000004E-2</v>
      </c>
      <c r="F8" s="1853">
        <v>0.1</v>
      </c>
    </row>
    <row r="9" spans="1:6" ht="15" thickBot="1">
      <c r="A9" s="1855" t="s">
        <v>1097</v>
      </c>
      <c r="B9" s="1856" t="s">
        <v>1112</v>
      </c>
      <c r="C9" s="1857">
        <v>0.05</v>
      </c>
      <c r="D9" s="1858"/>
      <c r="E9" s="1858"/>
      <c r="F9" s="1859"/>
    </row>
    <row r="10" spans="1:6" ht="15" thickBot="1">
      <c r="A10" s="1847" t="s">
        <v>1156</v>
      </c>
      <c r="B10" s="1848" t="s">
        <v>2090</v>
      </c>
      <c r="C10" s="1849">
        <v>8.8999999999999996E-2</v>
      </c>
      <c r="D10" s="1849">
        <v>7.2999999999999995E-2</v>
      </c>
      <c r="E10" s="1849">
        <v>8.2000000000000003E-2</v>
      </c>
      <c r="F10" s="1850">
        <v>0.1</v>
      </c>
    </row>
    <row r="11" spans="1:6" ht="15" thickBot="1">
      <c r="A11" s="1847" t="s">
        <v>1156</v>
      </c>
      <c r="B11" s="1854" t="s">
        <v>1072</v>
      </c>
      <c r="C11" s="1852">
        <v>8.8999999999999996E-2</v>
      </c>
      <c r="D11" s="1852">
        <v>7.2999999999999995E-2</v>
      </c>
      <c r="E11" s="1852">
        <v>8.2000000000000003E-2</v>
      </c>
      <c r="F11" s="1853">
        <v>0.1</v>
      </c>
    </row>
    <row r="12" spans="1:6" ht="15" thickBot="1">
      <c r="A12" s="1847" t="s">
        <v>1156</v>
      </c>
      <c r="B12" s="1854" t="s">
        <v>1086</v>
      </c>
      <c r="C12" s="1852">
        <v>6.0999999999999999E-2</v>
      </c>
      <c r="D12" s="1852">
        <v>7.0999999999999994E-2</v>
      </c>
      <c r="E12" s="1852">
        <v>9.6000000000000002E-2</v>
      </c>
      <c r="F12" s="1853">
        <v>0.1</v>
      </c>
    </row>
    <row r="13" spans="1:6" ht="15" thickBot="1">
      <c r="A13" s="1847" t="s">
        <v>1156</v>
      </c>
      <c r="B13" s="1854" t="s">
        <v>1099</v>
      </c>
      <c r="C13" s="1852">
        <v>6.9000000000000006E-2</v>
      </c>
      <c r="D13" s="1852">
        <v>6.5000000000000002E-2</v>
      </c>
      <c r="E13" s="1852">
        <v>6.6000000000000003E-2</v>
      </c>
      <c r="F13" s="1853">
        <v>0.1</v>
      </c>
    </row>
    <row r="14" spans="1:6" ht="15" thickBot="1">
      <c r="A14" s="1847" t="s">
        <v>1156</v>
      </c>
      <c r="B14" s="1854" t="s">
        <v>1113</v>
      </c>
      <c r="C14" s="1852">
        <v>0.1</v>
      </c>
      <c r="D14" s="1852">
        <v>6.5000000000000002E-2</v>
      </c>
      <c r="E14" s="1852">
        <v>7.0000000000000007E-2</v>
      </c>
      <c r="F14" s="1853">
        <v>0.1</v>
      </c>
    </row>
    <row r="15" spans="1:6" ht="15" thickBot="1">
      <c r="A15" s="1847" t="s">
        <v>1156</v>
      </c>
      <c r="B15" s="1854" t="s">
        <v>1124</v>
      </c>
      <c r="C15" s="1852">
        <v>9.8000000000000004E-2</v>
      </c>
      <c r="D15" s="1852">
        <v>8.8999999999999996E-2</v>
      </c>
      <c r="E15" s="1852">
        <v>8.8999999999999996E-2</v>
      </c>
      <c r="F15" s="1853">
        <v>0.1</v>
      </c>
    </row>
    <row r="16" spans="1:6" ht="15" thickBot="1">
      <c r="A16" s="1847" t="s">
        <v>1156</v>
      </c>
      <c r="B16" s="1854" t="s">
        <v>1135</v>
      </c>
      <c r="C16" s="1852">
        <v>7.0000000000000007E-2</v>
      </c>
      <c r="D16" s="1852">
        <v>9.2999999999999999E-2</v>
      </c>
      <c r="E16" s="1852">
        <v>9.6000000000000002E-2</v>
      </c>
      <c r="F16" s="1853">
        <v>0.1</v>
      </c>
    </row>
    <row r="17" spans="1:6" ht="15" thickBot="1">
      <c r="A17" s="1847" t="s">
        <v>1156</v>
      </c>
      <c r="B17" s="1854" t="s">
        <v>1146</v>
      </c>
      <c r="C17" s="1852">
        <v>9.5000000000000001E-2</v>
      </c>
      <c r="D17" s="1852">
        <v>0.1</v>
      </c>
      <c r="E17" s="1852">
        <v>0.1</v>
      </c>
      <c r="F17" s="1860"/>
    </row>
    <row r="18" spans="1:6" ht="15" thickBot="1">
      <c r="A18" s="1847" t="s">
        <v>1156</v>
      </c>
      <c r="B18" s="1854" t="s">
        <v>1158</v>
      </c>
      <c r="C18" s="1852">
        <v>7.3999999999999996E-2</v>
      </c>
      <c r="D18" s="1852">
        <v>9.9000000000000005E-2</v>
      </c>
      <c r="E18" s="1852">
        <v>0.1</v>
      </c>
      <c r="F18" s="1860"/>
    </row>
    <row r="19" spans="1:6" ht="15" thickBot="1">
      <c r="A19" s="1847" t="s">
        <v>1156</v>
      </c>
      <c r="B19" s="1854" t="s">
        <v>1168</v>
      </c>
      <c r="C19" s="1852">
        <v>9.9000000000000005E-2</v>
      </c>
      <c r="D19" s="1852">
        <v>7.5999999999999998E-2</v>
      </c>
      <c r="E19" s="1852">
        <v>8.6999999999999994E-2</v>
      </c>
      <c r="F19" s="1860"/>
    </row>
    <row r="20" spans="1:6" ht="15" thickBot="1">
      <c r="A20" s="1847" t="s">
        <v>1156</v>
      </c>
      <c r="B20" s="1854" t="s">
        <v>1178</v>
      </c>
      <c r="C20" s="1852">
        <v>9.8000000000000004E-2</v>
      </c>
      <c r="D20" s="1852">
        <v>8.5000000000000006E-2</v>
      </c>
      <c r="E20" s="1852">
        <v>8.2000000000000003E-2</v>
      </c>
      <c r="F20" s="1860"/>
    </row>
    <row r="21" spans="1:6" ht="15" thickBot="1">
      <c r="A21" s="1847" t="s">
        <v>1156</v>
      </c>
      <c r="B21" s="1854" t="s">
        <v>1188</v>
      </c>
      <c r="C21" s="1852">
        <v>6.6000000000000003E-2</v>
      </c>
      <c r="D21" s="1852">
        <v>6.4000000000000001E-2</v>
      </c>
      <c r="E21" s="1852">
        <v>6.5000000000000002E-2</v>
      </c>
      <c r="F21" s="1860"/>
    </row>
    <row r="22" spans="1:6" ht="15" thickBot="1">
      <c r="A22" s="1847" t="s">
        <v>1156</v>
      </c>
      <c r="B22" s="1854" t="s">
        <v>2091</v>
      </c>
      <c r="C22" s="1852">
        <v>0.08</v>
      </c>
      <c r="D22" s="1852">
        <v>9.8000000000000004E-2</v>
      </c>
      <c r="E22" s="1852">
        <v>9.8000000000000004E-2</v>
      </c>
      <c r="F22" s="1860"/>
    </row>
    <row r="23" spans="1:6" ht="15" thickBot="1">
      <c r="A23" s="1847" t="s">
        <v>1156</v>
      </c>
      <c r="B23" s="1854" t="s">
        <v>1208</v>
      </c>
      <c r="C23" s="1852">
        <v>9.9000000000000005E-2</v>
      </c>
      <c r="D23" s="1852">
        <v>9.8000000000000004E-2</v>
      </c>
      <c r="E23" s="1852">
        <v>9.0999999999999998E-2</v>
      </c>
      <c r="F23" s="1860"/>
    </row>
    <row r="24" spans="1:6" ht="15" thickBot="1">
      <c r="A24" s="1847" t="s">
        <v>1156</v>
      </c>
      <c r="B24" s="1854" t="s">
        <v>1218</v>
      </c>
      <c r="C24" s="1852">
        <v>8.8999999999999996E-2</v>
      </c>
      <c r="D24" s="1852">
        <v>9.7000000000000003E-2</v>
      </c>
      <c r="E24" s="1852">
        <v>7.0000000000000007E-2</v>
      </c>
      <c r="F24" s="1860"/>
    </row>
    <row r="25" spans="1:6" ht="15" thickBot="1">
      <c r="A25" s="1847" t="s">
        <v>1156</v>
      </c>
      <c r="B25" s="1854" t="s">
        <v>1228</v>
      </c>
      <c r="C25" s="1852">
        <v>8.8999999999999996E-2</v>
      </c>
      <c r="D25" s="1852">
        <v>0.1</v>
      </c>
      <c r="E25" s="1852">
        <v>8.1000000000000003E-2</v>
      </c>
      <c r="F25" s="1860"/>
    </row>
    <row r="26" spans="1:6" ht="15" thickBot="1">
      <c r="A26" s="1847" t="s">
        <v>1156</v>
      </c>
      <c r="B26" s="1854" t="s">
        <v>1238</v>
      </c>
      <c r="C26" s="1861"/>
      <c r="D26" s="1852">
        <v>9.6000000000000002E-2</v>
      </c>
      <c r="E26" s="1852">
        <v>9.2999999999999999E-2</v>
      </c>
      <c r="F26" s="1860"/>
    </row>
    <row r="27" spans="1:6" ht="15" thickBot="1">
      <c r="A27" s="1847" t="s">
        <v>1156</v>
      </c>
      <c r="B27" s="1854" t="s">
        <v>1248</v>
      </c>
      <c r="C27" s="1861"/>
      <c r="D27" s="1852">
        <v>7.5999999999999998E-2</v>
      </c>
      <c r="E27" s="1852">
        <v>9.1999999999999998E-2</v>
      </c>
      <c r="F27" s="1860"/>
    </row>
    <row r="28" spans="1:6" ht="15" thickBot="1">
      <c r="A28" s="1855" t="s">
        <v>1156</v>
      </c>
      <c r="B28" s="1856" t="s">
        <v>1258</v>
      </c>
      <c r="C28" s="1858"/>
      <c r="D28" s="1857">
        <v>7.5999999999999998E-2</v>
      </c>
      <c r="E28" s="1857">
        <v>9.1999999999999998E-2</v>
      </c>
      <c r="F28" s="1859"/>
    </row>
    <row r="29" spans="1:6" ht="15" thickBot="1">
      <c r="A29" s="1847" t="s">
        <v>1327</v>
      </c>
      <c r="B29" s="1848" t="s">
        <v>2092</v>
      </c>
      <c r="C29" s="1849">
        <v>6.4000000000000001E-2</v>
      </c>
      <c r="D29" s="1849">
        <v>6.5000000000000002E-2</v>
      </c>
      <c r="E29" s="1849">
        <v>6.9000000000000006E-2</v>
      </c>
      <c r="F29" s="1850">
        <v>0.1</v>
      </c>
    </row>
    <row r="30" spans="1:6" ht="15" thickBot="1">
      <c r="A30" s="1847" t="s">
        <v>1327</v>
      </c>
      <c r="B30" s="1854" t="s">
        <v>1073</v>
      </c>
      <c r="C30" s="1852">
        <v>6.4000000000000001E-2</v>
      </c>
      <c r="D30" s="1852">
        <v>9.9000000000000005E-2</v>
      </c>
      <c r="E30" s="1852">
        <v>0.1</v>
      </c>
      <c r="F30" s="1853">
        <v>0.1</v>
      </c>
    </row>
    <row r="31" spans="1:6" ht="15" thickBot="1">
      <c r="A31" s="1847" t="s">
        <v>1327</v>
      </c>
      <c r="B31" s="1854" t="s">
        <v>1087</v>
      </c>
      <c r="C31" s="1852">
        <v>0.1</v>
      </c>
      <c r="D31" s="1852">
        <v>9.5000000000000001E-2</v>
      </c>
      <c r="E31" s="1852">
        <v>8.8999999999999996E-2</v>
      </c>
      <c r="F31" s="1853">
        <v>0.1</v>
      </c>
    </row>
    <row r="32" spans="1:6" ht="15" thickBot="1">
      <c r="A32" s="1847" t="s">
        <v>1327</v>
      </c>
      <c r="B32" s="1854" t="s">
        <v>1100</v>
      </c>
      <c r="C32" s="1852">
        <v>0.05</v>
      </c>
      <c r="D32" s="1852">
        <v>0.05</v>
      </c>
      <c r="E32" s="1852">
        <v>8.7999999999999995E-2</v>
      </c>
      <c r="F32" s="1853">
        <v>0.1</v>
      </c>
    </row>
    <row r="33" spans="1:6" ht="15" thickBot="1">
      <c r="A33" s="1847" t="s">
        <v>1327</v>
      </c>
      <c r="B33" s="1854" t="s">
        <v>1114</v>
      </c>
      <c r="C33" s="1852">
        <v>7.4999999999999997E-2</v>
      </c>
      <c r="D33" s="1852">
        <v>9.4E-2</v>
      </c>
      <c r="E33" s="1852">
        <v>9.7000000000000003E-2</v>
      </c>
      <c r="F33" s="1853">
        <v>0.1</v>
      </c>
    </row>
    <row r="34" spans="1:6" ht="15" thickBot="1">
      <c r="A34" s="1847" t="s">
        <v>1327</v>
      </c>
      <c r="B34" s="1854" t="s">
        <v>1125</v>
      </c>
      <c r="C34" s="1852">
        <v>9.8000000000000004E-2</v>
      </c>
      <c r="D34" s="1852">
        <v>8.5999999999999993E-2</v>
      </c>
      <c r="E34" s="1852">
        <v>9.7000000000000003E-2</v>
      </c>
      <c r="F34" s="1853">
        <v>0.1</v>
      </c>
    </row>
    <row r="35" spans="1:6" ht="15" thickBot="1">
      <c r="A35" s="1847" t="s">
        <v>1327</v>
      </c>
      <c r="B35" s="1854" t="s">
        <v>1136</v>
      </c>
      <c r="C35" s="1852">
        <v>5.8999999999999997E-2</v>
      </c>
      <c r="D35" s="1852">
        <v>6.5000000000000002E-2</v>
      </c>
      <c r="E35" s="1852">
        <v>7.0000000000000007E-2</v>
      </c>
      <c r="F35" s="1853">
        <v>0.1</v>
      </c>
    </row>
    <row r="36" spans="1:6" ht="15" thickBot="1">
      <c r="A36" s="1847" t="s">
        <v>1327</v>
      </c>
      <c r="B36" s="1854" t="s">
        <v>1147</v>
      </c>
      <c r="C36" s="1852">
        <v>6.3E-2</v>
      </c>
      <c r="D36" s="1852">
        <v>0.1</v>
      </c>
      <c r="E36" s="1852">
        <v>0.1</v>
      </c>
      <c r="F36" s="1853">
        <v>0.1</v>
      </c>
    </row>
    <row r="37" spans="1:6" ht="15" thickBot="1">
      <c r="A37" s="1847" t="s">
        <v>1327</v>
      </c>
      <c r="B37" s="1854" t="s">
        <v>1159</v>
      </c>
      <c r="C37" s="1852">
        <v>7.3999999999999996E-2</v>
      </c>
      <c r="D37" s="1852">
        <v>0.1</v>
      </c>
      <c r="E37" s="1852">
        <v>0.1</v>
      </c>
      <c r="F37" s="1853">
        <v>0.1</v>
      </c>
    </row>
    <row r="38" spans="1:6" ht="15" thickBot="1">
      <c r="A38" s="1847" t="s">
        <v>1327</v>
      </c>
      <c r="B38" s="1854" t="s">
        <v>1169</v>
      </c>
      <c r="C38" s="1852">
        <v>0.1</v>
      </c>
      <c r="D38" s="1852">
        <v>9.6000000000000002E-2</v>
      </c>
      <c r="E38" s="1852">
        <v>9.6000000000000002E-2</v>
      </c>
      <c r="F38" s="1860"/>
    </row>
    <row r="39" spans="1:6" ht="15" thickBot="1">
      <c r="A39" s="1847" t="s">
        <v>1327</v>
      </c>
      <c r="B39" s="1854" t="s">
        <v>1179</v>
      </c>
      <c r="C39" s="1852">
        <v>0.1</v>
      </c>
      <c r="D39" s="1852">
        <v>9.6000000000000002E-2</v>
      </c>
      <c r="E39" s="1852">
        <v>9.6000000000000002E-2</v>
      </c>
      <c r="F39" s="1860"/>
    </row>
    <row r="40" spans="1:6" ht="15" thickBot="1">
      <c r="A40" s="1847" t="s">
        <v>1327</v>
      </c>
      <c r="B40" s="1854" t="s">
        <v>1189</v>
      </c>
      <c r="C40" s="1852">
        <v>9.6000000000000002E-2</v>
      </c>
      <c r="D40" s="1852">
        <v>0.1</v>
      </c>
      <c r="E40" s="1852">
        <v>9.9000000000000005E-2</v>
      </c>
      <c r="F40" s="1860"/>
    </row>
    <row r="41" spans="1:6" ht="15" thickBot="1">
      <c r="A41" s="1847" t="s">
        <v>1327</v>
      </c>
      <c r="B41" s="1854" t="s">
        <v>1199</v>
      </c>
      <c r="C41" s="1852">
        <v>9.6000000000000002E-2</v>
      </c>
      <c r="D41" s="1852">
        <v>9.8000000000000004E-2</v>
      </c>
      <c r="E41" s="1852">
        <v>9.8000000000000004E-2</v>
      </c>
      <c r="F41" s="1860"/>
    </row>
    <row r="42" spans="1:6" ht="15" thickBot="1">
      <c r="A42" s="1847" t="s">
        <v>1327</v>
      </c>
      <c r="B42" s="1854" t="s">
        <v>1209</v>
      </c>
      <c r="C42" s="1852">
        <v>0.1</v>
      </c>
      <c r="D42" s="1852">
        <v>8.7999999999999995E-2</v>
      </c>
      <c r="E42" s="1852">
        <v>0.1</v>
      </c>
      <c r="F42" s="1860"/>
    </row>
    <row r="43" spans="1:6" ht="15" thickBot="1">
      <c r="A43" s="1847" t="s">
        <v>1327</v>
      </c>
      <c r="B43" s="1854" t="s">
        <v>1219</v>
      </c>
      <c r="C43" s="1852">
        <v>9.8000000000000004E-2</v>
      </c>
      <c r="D43" s="1852">
        <v>9.7000000000000003E-2</v>
      </c>
      <c r="E43" s="1852">
        <v>9.6000000000000002E-2</v>
      </c>
      <c r="F43" s="1860"/>
    </row>
    <row r="44" spans="1:6" ht="15" thickBot="1">
      <c r="A44" s="1847" t="s">
        <v>1327</v>
      </c>
      <c r="B44" s="1854" t="s">
        <v>1229</v>
      </c>
      <c r="C44" s="1852">
        <v>8.5999999999999993E-2</v>
      </c>
      <c r="D44" s="1852">
        <v>7.9000000000000001E-2</v>
      </c>
      <c r="E44" s="1852">
        <v>7.0999999999999994E-2</v>
      </c>
      <c r="F44" s="1860"/>
    </row>
    <row r="45" spans="1:6" ht="15" thickBot="1">
      <c r="A45" s="1847" t="s">
        <v>1327</v>
      </c>
      <c r="B45" s="1854" t="s">
        <v>1239</v>
      </c>
      <c r="C45" s="1852">
        <v>9.8000000000000004E-2</v>
      </c>
      <c r="D45" s="1852">
        <v>9.6000000000000002E-2</v>
      </c>
      <c r="E45" s="1852">
        <v>9.6000000000000002E-2</v>
      </c>
      <c r="F45" s="1860"/>
    </row>
    <row r="46" spans="1:6" ht="15" thickBot="1">
      <c r="A46" s="1847" t="s">
        <v>1327</v>
      </c>
      <c r="B46" s="1854" t="s">
        <v>1249</v>
      </c>
      <c r="C46" s="1852">
        <v>8.5999999999999993E-2</v>
      </c>
      <c r="D46" s="1852">
        <v>9.8000000000000004E-2</v>
      </c>
      <c r="E46" s="1852">
        <v>8.7999999999999995E-2</v>
      </c>
      <c r="F46" s="1860"/>
    </row>
    <row r="47" spans="1:6" ht="15" thickBot="1">
      <c r="A47" s="1847" t="s">
        <v>1327</v>
      </c>
      <c r="B47" s="1854" t="s">
        <v>1259</v>
      </c>
      <c r="C47" s="1852">
        <v>9.6000000000000002E-2</v>
      </c>
      <c r="D47" s="1861"/>
      <c r="E47" s="1852">
        <v>6.9000000000000006E-2</v>
      </c>
      <c r="F47" s="1860"/>
    </row>
    <row r="48" spans="1:6" ht="15" thickBot="1">
      <c r="A48" s="1855" t="s">
        <v>1327</v>
      </c>
      <c r="B48" s="1856" t="s">
        <v>1268</v>
      </c>
      <c r="C48" s="1857">
        <v>9.8000000000000004E-2</v>
      </c>
      <c r="D48" s="1858"/>
      <c r="E48" s="1857">
        <v>9.5000000000000001E-2</v>
      </c>
      <c r="F48" s="1859"/>
    </row>
    <row r="49" spans="1:6" ht="15" thickBot="1">
      <c r="A49" s="1847" t="s">
        <v>925</v>
      </c>
      <c r="B49" s="1848" t="s">
        <v>2093</v>
      </c>
      <c r="C49" s="1849">
        <v>9.7000000000000003E-2</v>
      </c>
      <c r="D49" s="1849">
        <v>9.5000000000000001E-2</v>
      </c>
      <c r="E49" s="1849">
        <v>9.7000000000000003E-2</v>
      </c>
      <c r="F49" s="1850">
        <v>0.1</v>
      </c>
    </row>
    <row r="50" spans="1:6" ht="15" thickBot="1">
      <c r="A50" s="1847" t="s">
        <v>925</v>
      </c>
      <c r="B50" s="1851" t="s">
        <v>1074</v>
      </c>
      <c r="C50" s="1852">
        <v>7.4999999999999997E-2</v>
      </c>
      <c r="D50" s="1852">
        <v>9.5000000000000001E-2</v>
      </c>
      <c r="E50" s="1852">
        <v>0.1</v>
      </c>
      <c r="F50" s="1853">
        <v>0.1</v>
      </c>
    </row>
    <row r="51" spans="1:6" ht="15" thickBot="1">
      <c r="A51" s="1847" t="s">
        <v>925</v>
      </c>
      <c r="B51" s="1851" t="s">
        <v>1088</v>
      </c>
      <c r="C51" s="1852">
        <v>9.8000000000000004E-2</v>
      </c>
      <c r="D51" s="1852">
        <v>8.8999999999999996E-2</v>
      </c>
      <c r="E51" s="1852">
        <v>0.1</v>
      </c>
      <c r="F51" s="1853">
        <v>0.1</v>
      </c>
    </row>
    <row r="52" spans="1:6" ht="15" thickBot="1">
      <c r="A52" s="1847" t="s">
        <v>925</v>
      </c>
      <c r="B52" s="1851" t="s">
        <v>1101</v>
      </c>
      <c r="C52" s="1852">
        <v>9.8000000000000004E-2</v>
      </c>
      <c r="D52" s="1852">
        <v>9.7000000000000003E-2</v>
      </c>
      <c r="E52" s="1852">
        <v>8.1000000000000003E-2</v>
      </c>
      <c r="F52" s="1853">
        <v>0.1</v>
      </c>
    </row>
    <row r="53" spans="1:6" ht="15" thickBot="1">
      <c r="A53" s="1847" t="s">
        <v>925</v>
      </c>
      <c r="B53" s="1851" t="s">
        <v>1115</v>
      </c>
      <c r="C53" s="1852">
        <v>9.7000000000000003E-2</v>
      </c>
      <c r="D53" s="1852">
        <v>7.5999999999999998E-2</v>
      </c>
      <c r="E53" s="1852">
        <v>7.0999999999999994E-2</v>
      </c>
      <c r="F53" s="1853">
        <v>0.1</v>
      </c>
    </row>
    <row r="54" spans="1:6" ht="15" thickBot="1">
      <c r="A54" s="1847" t="s">
        <v>925</v>
      </c>
      <c r="B54" s="1851" t="s">
        <v>1126</v>
      </c>
      <c r="C54" s="1852">
        <v>7.5999999999999998E-2</v>
      </c>
      <c r="D54" s="1852">
        <v>0.1</v>
      </c>
      <c r="E54" s="1852">
        <v>9.9000000000000005E-2</v>
      </c>
      <c r="F54" s="1853">
        <v>0.1</v>
      </c>
    </row>
    <row r="55" spans="1:6" ht="15" thickBot="1">
      <c r="A55" s="1847" t="s">
        <v>925</v>
      </c>
      <c r="B55" s="1851" t="s">
        <v>1137</v>
      </c>
      <c r="C55" s="1852">
        <v>0.1</v>
      </c>
      <c r="D55" s="1852">
        <v>0.1</v>
      </c>
      <c r="E55" s="1852">
        <v>9.6000000000000002E-2</v>
      </c>
      <c r="F55" s="1853">
        <v>0.1</v>
      </c>
    </row>
    <row r="56" spans="1:6" ht="15" thickBot="1">
      <c r="A56" s="1847" t="s">
        <v>925</v>
      </c>
      <c r="B56" s="1851" t="s">
        <v>1148</v>
      </c>
      <c r="C56" s="1852">
        <v>0.1</v>
      </c>
      <c r="D56" s="1852">
        <v>9.6000000000000002E-2</v>
      </c>
      <c r="E56" s="1852">
        <v>5.1999999999999998E-2</v>
      </c>
      <c r="F56" s="1853">
        <v>0.1</v>
      </c>
    </row>
    <row r="57" spans="1:6" ht="15" thickBot="1">
      <c r="A57" s="1847" t="s">
        <v>925</v>
      </c>
      <c r="B57" s="1851" t="s">
        <v>1160</v>
      </c>
      <c r="C57" s="1852">
        <v>9.7000000000000003E-2</v>
      </c>
      <c r="D57" s="1852">
        <v>9.6000000000000002E-2</v>
      </c>
      <c r="E57" s="1852">
        <v>9.6000000000000002E-2</v>
      </c>
      <c r="F57" s="1853">
        <v>0.1</v>
      </c>
    </row>
    <row r="58" spans="1:6" ht="15" thickBot="1">
      <c r="A58" s="1847" t="s">
        <v>925</v>
      </c>
      <c r="B58" s="1851" t="s">
        <v>1170</v>
      </c>
      <c r="C58" s="1852">
        <v>9.6000000000000002E-2</v>
      </c>
      <c r="D58" s="1852">
        <v>9.9000000000000005E-2</v>
      </c>
      <c r="E58" s="1852">
        <v>9.6000000000000002E-2</v>
      </c>
      <c r="F58" s="1853">
        <v>0.1</v>
      </c>
    </row>
    <row r="59" spans="1:6" ht="15" thickBot="1">
      <c r="A59" s="1847" t="s">
        <v>925</v>
      </c>
      <c r="B59" s="1851" t="s">
        <v>1180</v>
      </c>
      <c r="C59" s="1852">
        <v>7.1999999999999995E-2</v>
      </c>
      <c r="D59" s="1852">
        <v>9.6000000000000002E-2</v>
      </c>
      <c r="E59" s="1852">
        <v>7.0999999999999994E-2</v>
      </c>
      <c r="F59" s="1853">
        <v>0.1</v>
      </c>
    </row>
    <row r="60" spans="1:6" ht="15" thickBot="1">
      <c r="A60" s="1847" t="s">
        <v>925</v>
      </c>
      <c r="B60" s="1851" t="s">
        <v>1190</v>
      </c>
      <c r="C60" s="1852">
        <v>9.6000000000000002E-2</v>
      </c>
      <c r="D60" s="1852">
        <v>8.8999999999999996E-2</v>
      </c>
      <c r="E60" s="1852">
        <v>9.6000000000000002E-2</v>
      </c>
      <c r="F60" s="1853">
        <v>0.1</v>
      </c>
    </row>
    <row r="61" spans="1:6" ht="15" thickBot="1">
      <c r="A61" s="1847" t="s">
        <v>925</v>
      </c>
      <c r="B61" s="1851" t="s">
        <v>1200</v>
      </c>
      <c r="C61" s="1852">
        <v>8.8999999999999996E-2</v>
      </c>
      <c r="D61" s="1852">
        <v>9.8000000000000004E-2</v>
      </c>
      <c r="E61" s="1852">
        <v>8.7999999999999995E-2</v>
      </c>
      <c r="F61" s="1860"/>
    </row>
    <row r="62" spans="1:6" ht="15" thickBot="1">
      <c r="A62" s="1847" t="s">
        <v>925</v>
      </c>
      <c r="B62" s="1851" t="s">
        <v>1210</v>
      </c>
      <c r="C62" s="1852">
        <v>9.8000000000000004E-2</v>
      </c>
      <c r="D62" s="1852">
        <v>9.2999999999999999E-2</v>
      </c>
      <c r="E62" s="1852">
        <v>9.7000000000000003E-2</v>
      </c>
      <c r="F62" s="1860"/>
    </row>
    <row r="63" spans="1:6" ht="15" thickBot="1">
      <c r="A63" s="1847" t="s">
        <v>925</v>
      </c>
      <c r="B63" s="1851" t="s">
        <v>1220</v>
      </c>
      <c r="C63" s="1852">
        <v>9.6000000000000002E-2</v>
      </c>
      <c r="D63" s="1852">
        <v>9.8000000000000004E-2</v>
      </c>
      <c r="E63" s="1852">
        <v>0.09</v>
      </c>
      <c r="F63" s="1860"/>
    </row>
    <row r="64" spans="1:6" ht="15" thickBot="1">
      <c r="A64" s="1847" t="s">
        <v>925</v>
      </c>
      <c r="B64" s="1851" t="s">
        <v>1230</v>
      </c>
      <c r="C64" s="1852">
        <v>9.9000000000000005E-2</v>
      </c>
      <c r="D64" s="1852">
        <v>9.7000000000000003E-2</v>
      </c>
      <c r="E64" s="1852">
        <v>9.9000000000000005E-2</v>
      </c>
      <c r="F64" s="1860"/>
    </row>
    <row r="65" spans="1:6" ht="15" thickBot="1">
      <c r="A65" s="1847" t="s">
        <v>925</v>
      </c>
      <c r="B65" s="1851" t="s">
        <v>1240</v>
      </c>
      <c r="C65" s="1852">
        <v>9.8000000000000004E-2</v>
      </c>
      <c r="D65" s="1852">
        <v>9.6000000000000002E-2</v>
      </c>
      <c r="E65" s="1852">
        <v>9.6000000000000002E-2</v>
      </c>
      <c r="F65" s="1860"/>
    </row>
    <row r="66" spans="1:6" ht="15" thickBot="1">
      <c r="A66" s="1847" t="s">
        <v>925</v>
      </c>
      <c r="B66" s="1851" t="s">
        <v>1250</v>
      </c>
      <c r="C66" s="1852">
        <v>9.6000000000000002E-2</v>
      </c>
      <c r="D66" s="1852">
        <v>9.1999999999999998E-2</v>
      </c>
      <c r="E66" s="1852">
        <v>9.6000000000000002E-2</v>
      </c>
      <c r="F66" s="1860"/>
    </row>
    <row r="67" spans="1:6" ht="15" thickBot="1">
      <c r="A67" s="1847" t="s">
        <v>925</v>
      </c>
      <c r="B67" s="1851" t="s">
        <v>1260</v>
      </c>
      <c r="C67" s="1852">
        <v>9.4E-2</v>
      </c>
      <c r="D67" s="1852">
        <v>0.1</v>
      </c>
      <c r="E67" s="1852">
        <v>8.7999999999999995E-2</v>
      </c>
      <c r="F67" s="1860"/>
    </row>
    <row r="68" spans="1:6" ht="15" thickBot="1">
      <c r="A68" s="1847" t="s">
        <v>925</v>
      </c>
      <c r="B68" s="1851" t="s">
        <v>1269</v>
      </c>
      <c r="C68" s="1852">
        <v>0.1</v>
      </c>
      <c r="D68" s="1852">
        <v>8.7999999999999995E-2</v>
      </c>
      <c r="E68" s="1852">
        <v>9.7000000000000003E-2</v>
      </c>
      <c r="F68" s="1860"/>
    </row>
    <row r="69" spans="1:6" ht="15" thickBot="1">
      <c r="A69" s="1847" t="s">
        <v>925</v>
      </c>
      <c r="B69" s="1851" t="s">
        <v>1278</v>
      </c>
      <c r="C69" s="1852">
        <v>6.4000000000000001E-2</v>
      </c>
      <c r="D69" s="1852">
        <v>0.1</v>
      </c>
      <c r="E69" s="1852">
        <v>0.1</v>
      </c>
      <c r="F69" s="1860"/>
    </row>
    <row r="70" spans="1:6" ht="15" thickBot="1">
      <c r="A70" s="1847" t="s">
        <v>925</v>
      </c>
      <c r="B70" s="1851" t="s">
        <v>1286</v>
      </c>
      <c r="C70" s="1852">
        <v>9.0999999999999998E-2</v>
      </c>
      <c r="D70" s="1861"/>
      <c r="E70" s="1861"/>
      <c r="F70" s="1860"/>
    </row>
    <row r="71" spans="1:6" ht="15" thickBot="1">
      <c r="A71" s="1847" t="s">
        <v>925</v>
      </c>
      <c r="B71" s="1851" t="s">
        <v>1293</v>
      </c>
      <c r="C71" s="1852">
        <v>0.1</v>
      </c>
      <c r="D71" s="1861"/>
      <c r="E71" s="1861"/>
      <c r="F71" s="1860"/>
    </row>
    <row r="72" spans="1:6" ht="24.6" thickBot="1">
      <c r="A72" s="1847" t="s">
        <v>925</v>
      </c>
      <c r="B72" s="1851" t="s">
        <v>2094</v>
      </c>
      <c r="C72" s="1861"/>
      <c r="D72" s="1861"/>
      <c r="E72" s="1861"/>
      <c r="F72" s="1853">
        <v>0.05</v>
      </c>
    </row>
    <row r="73" spans="1:6" ht="24.6" thickBot="1">
      <c r="A73" s="1847" t="s">
        <v>925</v>
      </c>
      <c r="B73" s="1851" t="s">
        <v>2095</v>
      </c>
      <c r="C73" s="1861"/>
      <c r="D73" s="1861"/>
      <c r="E73" s="1861"/>
      <c r="F73" s="1853">
        <v>0.05</v>
      </c>
    </row>
    <row r="74" spans="1:6" ht="24.6" thickBot="1">
      <c r="A74" s="1847" t="s">
        <v>925</v>
      </c>
      <c r="B74" s="1851" t="s">
        <v>2096</v>
      </c>
      <c r="C74" s="1861"/>
      <c r="D74" s="1861"/>
      <c r="E74" s="1861"/>
      <c r="F74" s="1853">
        <v>0.05</v>
      </c>
    </row>
    <row r="75" spans="1:6" ht="24.6" thickBot="1">
      <c r="A75" s="1855" t="s">
        <v>925</v>
      </c>
      <c r="B75" s="1862" t="s">
        <v>2097</v>
      </c>
      <c r="C75" s="1858"/>
      <c r="D75" s="1858"/>
      <c r="E75" s="1858"/>
      <c r="F75" s="1863">
        <v>0.05</v>
      </c>
    </row>
    <row r="76" spans="1:6" ht="15" thickBot="1">
      <c r="A76" s="1847" t="s">
        <v>1408</v>
      </c>
      <c r="B76" s="1848" t="s">
        <v>2098</v>
      </c>
      <c r="C76" s="1849">
        <v>0.1</v>
      </c>
      <c r="D76" s="1849">
        <v>0.1</v>
      </c>
      <c r="E76" s="1849">
        <v>0.1</v>
      </c>
      <c r="F76" s="1850">
        <v>0.1</v>
      </c>
    </row>
    <row r="77" spans="1:6" ht="15" thickBot="1">
      <c r="A77" s="1847" t="s">
        <v>1408</v>
      </c>
      <c r="B77" s="1851" t="s">
        <v>1075</v>
      </c>
      <c r="C77" s="1852">
        <v>8.7999999999999995E-2</v>
      </c>
      <c r="D77" s="1852">
        <v>8.6999999999999994E-2</v>
      </c>
      <c r="E77" s="1852">
        <v>7.9000000000000001E-2</v>
      </c>
      <c r="F77" s="1853">
        <v>0.1</v>
      </c>
    </row>
    <row r="78" spans="1:6" ht="15" thickBot="1">
      <c r="A78" s="1847" t="s">
        <v>1408</v>
      </c>
      <c r="B78" s="1851" t="s">
        <v>1089</v>
      </c>
      <c r="C78" s="1852">
        <v>8.6999999999999994E-2</v>
      </c>
      <c r="D78" s="1852">
        <v>8.4000000000000005E-2</v>
      </c>
      <c r="E78" s="1852">
        <v>9.6000000000000002E-2</v>
      </c>
      <c r="F78" s="1853">
        <v>0.1</v>
      </c>
    </row>
    <row r="79" spans="1:6" ht="15" thickBot="1">
      <c r="A79" s="1847" t="s">
        <v>1408</v>
      </c>
      <c r="B79" s="1851" t="s">
        <v>1102</v>
      </c>
      <c r="C79" s="1852">
        <v>9.8000000000000004E-2</v>
      </c>
      <c r="D79" s="1852">
        <v>9.8000000000000004E-2</v>
      </c>
      <c r="E79" s="1852">
        <v>9.0999999999999998E-2</v>
      </c>
      <c r="F79" s="1853">
        <v>0.1</v>
      </c>
    </row>
    <row r="80" spans="1:6" ht="15" thickBot="1">
      <c r="A80" s="1847" t="s">
        <v>1408</v>
      </c>
      <c r="B80" s="1851" t="s">
        <v>1116</v>
      </c>
      <c r="C80" s="1852">
        <v>9.6000000000000002E-2</v>
      </c>
      <c r="D80" s="1852">
        <v>9.6000000000000002E-2</v>
      </c>
      <c r="E80" s="1852">
        <v>0.1</v>
      </c>
      <c r="F80" s="1853">
        <v>0.1</v>
      </c>
    </row>
    <row r="81" spans="1:6" ht="15" thickBot="1">
      <c r="A81" s="1847" t="s">
        <v>1408</v>
      </c>
      <c r="B81" s="1851" t="s">
        <v>1127</v>
      </c>
      <c r="C81" s="1852">
        <v>9.9000000000000005E-2</v>
      </c>
      <c r="D81" s="1852">
        <v>9.9000000000000005E-2</v>
      </c>
      <c r="E81" s="1852">
        <v>9.8000000000000004E-2</v>
      </c>
      <c r="F81" s="1853">
        <v>0.1</v>
      </c>
    </row>
    <row r="82" spans="1:6" ht="15" thickBot="1">
      <c r="A82" s="1847" t="s">
        <v>1408</v>
      </c>
      <c r="B82" s="1851" t="s">
        <v>1138</v>
      </c>
      <c r="C82" s="1852">
        <v>9.9000000000000005E-2</v>
      </c>
      <c r="D82" s="1852">
        <v>9.9000000000000005E-2</v>
      </c>
      <c r="E82" s="1852">
        <v>9.7000000000000003E-2</v>
      </c>
      <c r="F82" s="1853">
        <v>0.1</v>
      </c>
    </row>
    <row r="83" spans="1:6" ht="15" thickBot="1">
      <c r="A83" s="1847" t="s">
        <v>1408</v>
      </c>
      <c r="B83" s="1851" t="s">
        <v>1149</v>
      </c>
      <c r="C83" s="1852">
        <v>9.8000000000000004E-2</v>
      </c>
      <c r="D83" s="1852">
        <v>9.8000000000000004E-2</v>
      </c>
      <c r="E83" s="1852">
        <v>9.8000000000000004E-2</v>
      </c>
      <c r="F83" s="1853">
        <v>0.1</v>
      </c>
    </row>
    <row r="84" spans="1:6" ht="15" thickBot="1">
      <c r="A84" s="1847" t="s">
        <v>1408</v>
      </c>
      <c r="B84" s="1851" t="s">
        <v>1161</v>
      </c>
      <c r="C84" s="1852">
        <v>9.9000000000000005E-2</v>
      </c>
      <c r="D84" s="1852">
        <v>9.9000000000000005E-2</v>
      </c>
      <c r="E84" s="1852">
        <v>9.9000000000000005E-2</v>
      </c>
      <c r="F84" s="1853">
        <v>0.1</v>
      </c>
    </row>
    <row r="85" spans="1:6" ht="15" thickBot="1">
      <c r="A85" s="1847" t="s">
        <v>1408</v>
      </c>
      <c r="B85" s="1851" t="s">
        <v>1171</v>
      </c>
      <c r="C85" s="1852">
        <v>9.9000000000000005E-2</v>
      </c>
      <c r="D85" s="1852">
        <v>9.9000000000000005E-2</v>
      </c>
      <c r="E85" s="1852">
        <v>9.9000000000000005E-2</v>
      </c>
      <c r="F85" s="1853">
        <v>0.1</v>
      </c>
    </row>
    <row r="86" spans="1:6" ht="15" thickBot="1">
      <c r="A86" s="1847" t="s">
        <v>1408</v>
      </c>
      <c r="B86" s="1851" t="s">
        <v>1181</v>
      </c>
      <c r="C86" s="1852">
        <v>0.1</v>
      </c>
      <c r="D86" s="1852">
        <v>0.1</v>
      </c>
      <c r="E86" s="1852">
        <v>7.6999999999999999E-2</v>
      </c>
      <c r="F86" s="1853">
        <v>0.1</v>
      </c>
    </row>
    <row r="87" spans="1:6" ht="15" thickBot="1">
      <c r="A87" s="1847" t="s">
        <v>1408</v>
      </c>
      <c r="B87" s="1851" t="s">
        <v>1191</v>
      </c>
      <c r="C87" s="1852">
        <v>0.1</v>
      </c>
      <c r="D87" s="1852">
        <v>0.1</v>
      </c>
      <c r="E87" s="1852">
        <v>9.8000000000000004E-2</v>
      </c>
      <c r="F87" s="1860"/>
    </row>
    <row r="88" spans="1:6" ht="15" thickBot="1">
      <c r="A88" s="1847" t="s">
        <v>1408</v>
      </c>
      <c r="B88" s="1851" t="s">
        <v>1201</v>
      </c>
      <c r="C88" s="1852">
        <v>9.1999999999999998E-2</v>
      </c>
      <c r="D88" s="1852">
        <v>8.5000000000000006E-2</v>
      </c>
      <c r="E88" s="1852">
        <v>9.6000000000000002E-2</v>
      </c>
      <c r="F88" s="1860"/>
    </row>
    <row r="89" spans="1:6" ht="15" thickBot="1">
      <c r="A89" s="1847" t="s">
        <v>1408</v>
      </c>
      <c r="B89" s="1851" t="s">
        <v>1211</v>
      </c>
      <c r="C89" s="1852">
        <v>0.1</v>
      </c>
      <c r="D89" s="1852">
        <v>0.1</v>
      </c>
      <c r="E89" s="1852">
        <v>9.7000000000000003E-2</v>
      </c>
      <c r="F89" s="1860"/>
    </row>
    <row r="90" spans="1:6" ht="15" thickBot="1">
      <c r="A90" s="1847" t="s">
        <v>1408</v>
      </c>
      <c r="B90" s="1851" t="s">
        <v>1221</v>
      </c>
      <c r="C90" s="1852">
        <v>9.8000000000000004E-2</v>
      </c>
      <c r="D90" s="1852">
        <v>9.8000000000000004E-2</v>
      </c>
      <c r="E90" s="1852">
        <v>8.7999999999999995E-2</v>
      </c>
      <c r="F90" s="1860"/>
    </row>
    <row r="91" spans="1:6" ht="15" thickBot="1">
      <c r="A91" s="1847" t="s">
        <v>1408</v>
      </c>
      <c r="B91" s="1851" t="s">
        <v>1231</v>
      </c>
      <c r="C91" s="1852">
        <v>9.9000000000000005E-2</v>
      </c>
      <c r="D91" s="1852">
        <v>9.9000000000000005E-2</v>
      </c>
      <c r="E91" s="1852">
        <v>9.0999999999999998E-2</v>
      </c>
      <c r="F91" s="1860"/>
    </row>
    <row r="92" spans="1:6" ht="15" thickBot="1">
      <c r="A92" s="1847" t="s">
        <v>1408</v>
      </c>
      <c r="B92" s="1851" t="s">
        <v>1241</v>
      </c>
      <c r="C92" s="1852">
        <v>9.6000000000000002E-2</v>
      </c>
      <c r="D92" s="1852">
        <v>9.6000000000000002E-2</v>
      </c>
      <c r="E92" s="1852">
        <v>7.2999999999999995E-2</v>
      </c>
      <c r="F92" s="1860"/>
    </row>
    <row r="93" spans="1:6" ht="15" thickBot="1">
      <c r="A93" s="1847" t="s">
        <v>1408</v>
      </c>
      <c r="B93" s="1851" t="s">
        <v>1251</v>
      </c>
      <c r="C93" s="1852">
        <v>9.6000000000000002E-2</v>
      </c>
      <c r="D93" s="1852">
        <v>9.6000000000000002E-2</v>
      </c>
      <c r="E93" s="1852">
        <v>9.9000000000000005E-2</v>
      </c>
      <c r="F93" s="1860"/>
    </row>
    <row r="94" spans="1:6" ht="15" thickBot="1">
      <c r="A94" s="1847" t="s">
        <v>1408</v>
      </c>
      <c r="B94" s="1851" t="s">
        <v>1261</v>
      </c>
      <c r="C94" s="1852">
        <v>7.5999999999999998E-2</v>
      </c>
      <c r="D94" s="1852">
        <v>7.3999999999999996E-2</v>
      </c>
      <c r="E94" s="1852">
        <v>9.7000000000000003E-2</v>
      </c>
      <c r="F94" s="1860"/>
    </row>
    <row r="95" spans="1:6" ht="15" thickBot="1">
      <c r="A95" s="1847" t="s">
        <v>1408</v>
      </c>
      <c r="B95" s="1851" t="s">
        <v>1270</v>
      </c>
      <c r="C95" s="1852">
        <v>9.9000000000000005E-2</v>
      </c>
      <c r="D95" s="1852">
        <v>9.4E-2</v>
      </c>
      <c r="E95" s="1852">
        <v>9.6000000000000002E-2</v>
      </c>
      <c r="F95" s="1860"/>
    </row>
    <row r="96" spans="1:6" ht="15" thickBot="1">
      <c r="A96" s="1847" t="s">
        <v>1408</v>
      </c>
      <c r="B96" s="1851" t="s">
        <v>1279</v>
      </c>
      <c r="C96" s="1852">
        <v>9.9000000000000005E-2</v>
      </c>
      <c r="D96" s="1852">
        <v>9.9000000000000005E-2</v>
      </c>
      <c r="E96" s="1852">
        <v>9.9000000000000005E-2</v>
      </c>
      <c r="F96" s="1860"/>
    </row>
    <row r="97" spans="1:6" ht="15" thickBot="1">
      <c r="A97" s="1847" t="s">
        <v>1408</v>
      </c>
      <c r="B97" s="1851" t="s">
        <v>1287</v>
      </c>
      <c r="C97" s="1852">
        <v>9.8000000000000004E-2</v>
      </c>
      <c r="D97" s="1852">
        <v>9.8000000000000004E-2</v>
      </c>
      <c r="E97" s="1852">
        <v>9.7000000000000003E-2</v>
      </c>
      <c r="F97" s="1860"/>
    </row>
    <row r="98" spans="1:6" ht="15" thickBot="1">
      <c r="A98" s="1847" t="s">
        <v>1408</v>
      </c>
      <c r="B98" s="1851" t="s">
        <v>1294</v>
      </c>
      <c r="C98" s="1852">
        <v>0.1</v>
      </c>
      <c r="D98" s="1852">
        <v>0.1</v>
      </c>
      <c r="E98" s="1852">
        <v>9.7000000000000003E-2</v>
      </c>
      <c r="F98" s="1860"/>
    </row>
    <row r="99" spans="1:6" ht="15" thickBot="1">
      <c r="A99" s="1847" t="s">
        <v>1408</v>
      </c>
      <c r="B99" s="1851" t="s">
        <v>1301</v>
      </c>
      <c r="C99" s="1852">
        <v>0.1</v>
      </c>
      <c r="D99" s="1852">
        <v>0.1</v>
      </c>
      <c r="E99" s="1861"/>
      <c r="F99" s="1860"/>
    </row>
    <row r="100" spans="1:6" ht="15" thickBot="1">
      <c r="A100" s="1847" t="s">
        <v>1408</v>
      </c>
      <c r="B100" s="1851" t="s">
        <v>1308</v>
      </c>
      <c r="C100" s="1852">
        <v>0.09</v>
      </c>
      <c r="D100" s="1852">
        <v>8.8999999999999996E-2</v>
      </c>
      <c r="E100" s="1861"/>
      <c r="F100" s="1860"/>
    </row>
    <row r="101" spans="1:6" ht="15" thickBot="1">
      <c r="A101" s="1847" t="s">
        <v>1408</v>
      </c>
      <c r="B101" s="1851" t="s">
        <v>1315</v>
      </c>
      <c r="C101" s="1852">
        <v>9.8000000000000004E-2</v>
      </c>
      <c r="D101" s="1852">
        <v>9.7000000000000003E-2</v>
      </c>
      <c r="E101" s="1861"/>
      <c r="F101" s="1860"/>
    </row>
    <row r="102" spans="1:6" ht="24.6" thickBot="1">
      <c r="A102" s="1847" t="s">
        <v>1408</v>
      </c>
      <c r="B102" s="1851" t="s">
        <v>2099</v>
      </c>
      <c r="C102" s="1861"/>
      <c r="D102" s="1861"/>
      <c r="E102" s="1861"/>
      <c r="F102" s="1853">
        <v>0.05</v>
      </c>
    </row>
    <row r="103" spans="1:6" ht="24.6" thickBot="1">
      <c r="A103" s="1847" t="s">
        <v>1408</v>
      </c>
      <c r="B103" s="1851" t="s">
        <v>2100</v>
      </c>
      <c r="C103" s="1861"/>
      <c r="D103" s="1861"/>
      <c r="E103" s="1861"/>
      <c r="F103" s="1853">
        <v>0.05</v>
      </c>
    </row>
    <row r="104" spans="1:6" ht="15" thickBot="1">
      <c r="A104" s="1847" t="s">
        <v>1408</v>
      </c>
      <c r="B104" s="1851" t="s">
        <v>2101</v>
      </c>
      <c r="C104" s="1861"/>
      <c r="D104" s="1861"/>
      <c r="E104" s="1861"/>
      <c r="F104" s="1853">
        <v>0.05</v>
      </c>
    </row>
    <row r="105" spans="1:6" ht="24.6" thickBot="1">
      <c r="A105" s="1847" t="s">
        <v>1408</v>
      </c>
      <c r="B105" s="1851" t="s">
        <v>2102</v>
      </c>
      <c r="C105" s="1861"/>
      <c r="D105" s="1861"/>
      <c r="E105" s="1861"/>
      <c r="F105" s="1853">
        <v>0.05</v>
      </c>
    </row>
    <row r="106" spans="1:6" ht="24.6" thickBot="1">
      <c r="A106" s="1847" t="s">
        <v>1408</v>
      </c>
      <c r="B106" s="1851" t="s">
        <v>2103</v>
      </c>
      <c r="C106" s="1861"/>
      <c r="D106" s="1861"/>
      <c r="E106" s="1861"/>
      <c r="F106" s="1853">
        <v>0.05</v>
      </c>
    </row>
    <row r="107" spans="1:6" ht="24.6" thickBot="1">
      <c r="A107" s="1847" t="s">
        <v>1408</v>
      </c>
      <c r="B107" s="1851" t="s">
        <v>2104</v>
      </c>
      <c r="C107" s="1861"/>
      <c r="D107" s="1861"/>
      <c r="E107" s="1861"/>
      <c r="F107" s="1853">
        <v>0.05</v>
      </c>
    </row>
    <row r="108" spans="1:6" ht="24.6" thickBot="1">
      <c r="A108" s="1847" t="s">
        <v>1408</v>
      </c>
      <c r="B108" s="1851" t="s">
        <v>2105</v>
      </c>
      <c r="C108" s="1861"/>
      <c r="D108" s="1861"/>
      <c r="E108" s="1861"/>
      <c r="F108" s="1853">
        <v>0.05</v>
      </c>
    </row>
    <row r="109" spans="1:6" ht="24.6" thickBot="1">
      <c r="A109" s="1855" t="s">
        <v>1408</v>
      </c>
      <c r="B109" s="1862" t="s">
        <v>2106</v>
      </c>
      <c r="C109" s="1858"/>
      <c r="D109" s="1858"/>
      <c r="E109" s="1858"/>
      <c r="F109" s="1863">
        <v>0.05</v>
      </c>
    </row>
    <row r="110" spans="1:6" ht="15" thickBot="1">
      <c r="A110" s="1847" t="s">
        <v>1410</v>
      </c>
      <c r="B110" s="1848" t="s">
        <v>2107</v>
      </c>
      <c r="C110" s="1849">
        <v>0.129</v>
      </c>
      <c r="D110" s="1849">
        <v>0.129</v>
      </c>
      <c r="E110" s="1849">
        <v>0.126</v>
      </c>
      <c r="F110" s="1850">
        <v>0.13</v>
      </c>
    </row>
    <row r="111" spans="1:6" ht="15" thickBot="1">
      <c r="A111" s="1847" t="s">
        <v>1410</v>
      </c>
      <c r="B111" s="1851" t="s">
        <v>1076</v>
      </c>
      <c r="C111" s="1852">
        <v>0.11</v>
      </c>
      <c r="D111" s="1852">
        <v>0.11</v>
      </c>
      <c r="E111" s="1852">
        <v>9.9000000000000005E-2</v>
      </c>
      <c r="F111" s="1853">
        <v>0.128</v>
      </c>
    </row>
    <row r="112" spans="1:6" ht="15" thickBot="1">
      <c r="A112" s="1847" t="s">
        <v>1410</v>
      </c>
      <c r="B112" s="1851" t="s">
        <v>1090</v>
      </c>
      <c r="C112" s="1852">
        <v>0.125</v>
      </c>
      <c r="D112" s="1852">
        <v>0.125</v>
      </c>
      <c r="E112" s="1852">
        <v>0.12</v>
      </c>
      <c r="F112" s="1853">
        <v>0.125</v>
      </c>
    </row>
    <row r="113" spans="1:6" ht="15" thickBot="1">
      <c r="A113" s="1847" t="s">
        <v>1410</v>
      </c>
      <c r="B113" s="1851" t="s">
        <v>1103</v>
      </c>
      <c r="C113" s="1852">
        <v>0.13</v>
      </c>
      <c r="D113" s="1852">
        <v>0.13</v>
      </c>
      <c r="E113" s="1852">
        <v>0.13</v>
      </c>
      <c r="F113" s="1853">
        <v>0.13</v>
      </c>
    </row>
    <row r="114" spans="1:6" ht="15" thickBot="1">
      <c r="A114" s="1847" t="s">
        <v>1410</v>
      </c>
      <c r="B114" s="1851" t="s">
        <v>1117</v>
      </c>
      <c r="C114" s="1852">
        <v>0.123</v>
      </c>
      <c r="D114" s="1852">
        <v>0.123</v>
      </c>
      <c r="E114" s="1852">
        <v>0.12</v>
      </c>
      <c r="F114" s="1853">
        <v>0.13</v>
      </c>
    </row>
    <row r="115" spans="1:6" ht="15" thickBot="1">
      <c r="A115" s="1847" t="s">
        <v>1410</v>
      </c>
      <c r="B115" s="1851" t="s">
        <v>1128</v>
      </c>
      <c r="C115" s="1852">
        <v>0.125</v>
      </c>
      <c r="D115" s="1852">
        <v>0.125</v>
      </c>
      <c r="E115" s="1852">
        <v>0.11700000000000001</v>
      </c>
      <c r="F115" s="1853">
        <v>0.13</v>
      </c>
    </row>
    <row r="116" spans="1:6" ht="15" thickBot="1">
      <c r="A116" s="1847" t="s">
        <v>1410</v>
      </c>
      <c r="B116" s="1851" t="s">
        <v>1139</v>
      </c>
      <c r="C116" s="1852">
        <v>0.11700000000000001</v>
      </c>
      <c r="D116" s="1852">
        <v>0.11700000000000001</v>
      </c>
      <c r="E116" s="1852">
        <v>8.7999999999999995E-2</v>
      </c>
      <c r="F116" s="1853">
        <v>0.13</v>
      </c>
    </row>
    <row r="117" spans="1:6" ht="15" thickBot="1">
      <c r="A117" s="1847" t="s">
        <v>1410</v>
      </c>
      <c r="B117" s="1851" t="s">
        <v>1150</v>
      </c>
      <c r="C117" s="1852">
        <v>0.13</v>
      </c>
      <c r="D117" s="1852">
        <v>0.13</v>
      </c>
      <c r="E117" s="1852">
        <v>0.129</v>
      </c>
      <c r="F117" s="1853">
        <v>0.13</v>
      </c>
    </row>
    <row r="118" spans="1:6" ht="15" thickBot="1">
      <c r="A118" s="1847" t="s">
        <v>1410</v>
      </c>
      <c r="B118" s="1851" t="s">
        <v>1162</v>
      </c>
      <c r="C118" s="1852">
        <v>0.123</v>
      </c>
      <c r="D118" s="1852">
        <v>0.123</v>
      </c>
      <c r="E118" s="1852">
        <v>0.11600000000000001</v>
      </c>
      <c r="F118" s="1853">
        <v>0.13</v>
      </c>
    </row>
    <row r="119" spans="1:6" ht="15" thickBot="1">
      <c r="A119" s="1847" t="s">
        <v>1410</v>
      </c>
      <c r="B119" s="1851" t="s">
        <v>1172</v>
      </c>
      <c r="C119" s="1852">
        <v>0.127</v>
      </c>
      <c r="D119" s="1852">
        <v>0.127</v>
      </c>
      <c r="E119" s="1852">
        <v>0.124</v>
      </c>
      <c r="F119" s="1853">
        <v>0.13</v>
      </c>
    </row>
    <row r="120" spans="1:6" ht="15" thickBot="1">
      <c r="A120" s="1847" t="s">
        <v>1410</v>
      </c>
      <c r="B120" s="1851" t="s">
        <v>1182</v>
      </c>
      <c r="C120" s="1852">
        <v>0.125</v>
      </c>
      <c r="D120" s="1852">
        <v>0.125</v>
      </c>
      <c r="E120" s="1852">
        <v>0.122</v>
      </c>
      <c r="F120" s="1853">
        <v>0.13</v>
      </c>
    </row>
    <row r="121" spans="1:6" ht="15" thickBot="1">
      <c r="A121" s="1847" t="s">
        <v>1410</v>
      </c>
      <c r="B121" s="1851" t="s">
        <v>1192</v>
      </c>
      <c r="C121" s="1852">
        <v>0.13</v>
      </c>
      <c r="D121" s="1852">
        <v>0.13</v>
      </c>
      <c r="E121" s="1852">
        <v>0.13</v>
      </c>
      <c r="F121" s="1853">
        <v>0.13</v>
      </c>
    </row>
    <row r="122" spans="1:6" ht="15" thickBot="1">
      <c r="A122" s="1847" t="s">
        <v>1410</v>
      </c>
      <c r="B122" s="1851" t="s">
        <v>1202</v>
      </c>
      <c r="C122" s="1852">
        <v>0.13</v>
      </c>
      <c r="D122" s="1852">
        <v>0.13</v>
      </c>
      <c r="E122" s="1852">
        <v>0.125</v>
      </c>
      <c r="F122" s="1853">
        <v>0.13</v>
      </c>
    </row>
    <row r="123" spans="1:6" ht="15" thickBot="1">
      <c r="A123" s="1847" t="s">
        <v>1410</v>
      </c>
      <c r="B123" s="1851" t="s">
        <v>1212</v>
      </c>
      <c r="C123" s="1852">
        <v>0.129</v>
      </c>
      <c r="D123" s="1852">
        <v>0.129</v>
      </c>
      <c r="E123" s="1852">
        <v>0.123</v>
      </c>
      <c r="F123" s="1853">
        <v>0.13</v>
      </c>
    </row>
    <row r="124" spans="1:6" ht="15" thickBot="1">
      <c r="A124" s="1847" t="s">
        <v>1410</v>
      </c>
      <c r="B124" s="1851" t="s">
        <v>1222</v>
      </c>
      <c r="C124" s="1852">
        <v>0.10199999999999999</v>
      </c>
      <c r="D124" s="1852">
        <v>0.10100000000000001</v>
      </c>
      <c r="E124" s="1852">
        <v>0.08</v>
      </c>
      <c r="F124" s="1860"/>
    </row>
    <row r="125" spans="1:6" ht="15" thickBot="1">
      <c r="A125" s="1847" t="s">
        <v>1410</v>
      </c>
      <c r="B125" s="1851" t="s">
        <v>1232</v>
      </c>
      <c r="C125" s="1852">
        <v>0.13</v>
      </c>
      <c r="D125" s="1852">
        <v>0.13</v>
      </c>
      <c r="E125" s="1852">
        <v>0.129</v>
      </c>
      <c r="F125" s="1860"/>
    </row>
    <row r="126" spans="1:6" ht="15" thickBot="1">
      <c r="A126" s="1847" t="s">
        <v>1410</v>
      </c>
      <c r="B126" s="1851" t="s">
        <v>1242</v>
      </c>
      <c r="C126" s="1852">
        <v>0.13</v>
      </c>
      <c r="D126" s="1852">
        <v>0.13</v>
      </c>
      <c r="E126" s="1852">
        <v>0.126</v>
      </c>
      <c r="F126" s="1860"/>
    </row>
    <row r="127" spans="1:6" ht="15" thickBot="1">
      <c r="A127" s="1847" t="s">
        <v>1410</v>
      </c>
      <c r="B127" s="1851" t="s">
        <v>1252</v>
      </c>
      <c r="C127" s="1852">
        <v>0.125</v>
      </c>
      <c r="D127" s="1852">
        <v>0.125</v>
      </c>
      <c r="E127" s="1852">
        <v>0.121</v>
      </c>
      <c r="F127" s="1860"/>
    </row>
    <row r="128" spans="1:6" ht="15" thickBot="1">
      <c r="A128" s="1847" t="s">
        <v>1410</v>
      </c>
      <c r="B128" s="1851" t="s">
        <v>1262</v>
      </c>
      <c r="C128" s="1852">
        <v>0.12</v>
      </c>
      <c r="D128" s="1852">
        <v>0.12</v>
      </c>
      <c r="E128" s="1852">
        <v>0.105</v>
      </c>
      <c r="F128" s="1860"/>
    </row>
    <row r="129" spans="1:6" ht="15" thickBot="1">
      <c r="A129" s="1847" t="s">
        <v>1410</v>
      </c>
      <c r="B129" s="1851" t="s">
        <v>1271</v>
      </c>
      <c r="C129" s="1852">
        <v>0.13</v>
      </c>
      <c r="D129" s="1852">
        <v>0.13</v>
      </c>
      <c r="E129" s="1852">
        <v>0.126</v>
      </c>
      <c r="F129" s="1860"/>
    </row>
    <row r="130" spans="1:6" ht="15" thickBot="1">
      <c r="A130" s="1847" t="s">
        <v>1410</v>
      </c>
      <c r="B130" s="1851" t="s">
        <v>1280</v>
      </c>
      <c r="C130" s="1852">
        <v>0.125</v>
      </c>
      <c r="D130" s="1852">
        <v>0.125</v>
      </c>
      <c r="E130" s="1852">
        <v>0.122</v>
      </c>
      <c r="F130" s="1860"/>
    </row>
    <row r="131" spans="1:6" ht="15" thickBot="1">
      <c r="A131" s="1847" t="s">
        <v>1410</v>
      </c>
      <c r="B131" s="1851" t="s">
        <v>1288</v>
      </c>
      <c r="C131" s="1852">
        <v>0.127</v>
      </c>
      <c r="D131" s="1852">
        <v>0.126</v>
      </c>
      <c r="E131" s="1852">
        <v>0.123</v>
      </c>
      <c r="F131" s="1860"/>
    </row>
    <row r="132" spans="1:6" ht="15" thickBot="1">
      <c r="A132" s="1847" t="s">
        <v>1410</v>
      </c>
      <c r="B132" s="1851" t="s">
        <v>1295</v>
      </c>
      <c r="C132" s="1852">
        <v>9.0999999999999998E-2</v>
      </c>
      <c r="D132" s="1852">
        <v>0.121</v>
      </c>
      <c r="E132" s="1852">
        <v>9.9000000000000005E-2</v>
      </c>
      <c r="F132" s="1860"/>
    </row>
    <row r="133" spans="1:6" ht="15" thickBot="1">
      <c r="A133" s="1847" t="s">
        <v>1410</v>
      </c>
      <c r="B133" s="1851" t="s">
        <v>1302</v>
      </c>
      <c r="C133" s="1852">
        <v>0.13</v>
      </c>
      <c r="D133" s="1852">
        <v>0.13</v>
      </c>
      <c r="E133" s="1852">
        <v>0.129</v>
      </c>
      <c r="F133" s="1860"/>
    </row>
    <row r="134" spans="1:6" ht="15" thickBot="1">
      <c r="A134" s="1847" t="s">
        <v>1410</v>
      </c>
      <c r="B134" s="1851" t="s">
        <v>2108</v>
      </c>
      <c r="C134" s="1852">
        <v>6.8000000000000005E-2</v>
      </c>
      <c r="D134" s="1852">
        <v>6.5000000000000002E-2</v>
      </c>
      <c r="E134" s="1852">
        <v>6.5000000000000002E-2</v>
      </c>
      <c r="F134" s="1853">
        <v>0.13</v>
      </c>
    </row>
    <row r="135" spans="1:6" ht="15" thickBot="1">
      <c r="A135" s="1847" t="s">
        <v>1410</v>
      </c>
      <c r="B135" s="1851" t="s">
        <v>1316</v>
      </c>
      <c r="C135" s="1852">
        <v>0.123</v>
      </c>
      <c r="D135" s="1852">
        <v>0.123</v>
      </c>
      <c r="E135" s="1852">
        <v>0.11</v>
      </c>
      <c r="F135" s="1860"/>
    </row>
    <row r="136" spans="1:6" ht="15" thickBot="1">
      <c r="A136" s="1847" t="s">
        <v>1410</v>
      </c>
      <c r="B136" s="1851" t="s">
        <v>1323</v>
      </c>
      <c r="C136" s="1852">
        <v>0.13</v>
      </c>
      <c r="D136" s="1852">
        <v>0.13</v>
      </c>
      <c r="E136" s="1852">
        <v>0.125</v>
      </c>
      <c r="F136" s="1860"/>
    </row>
    <row r="137" spans="1:6" ht="15" thickBot="1">
      <c r="A137" s="1847" t="s">
        <v>1410</v>
      </c>
      <c r="B137" s="1851" t="s">
        <v>1330</v>
      </c>
      <c r="C137" s="1852">
        <v>0.121</v>
      </c>
      <c r="D137" s="1852">
        <v>0.122</v>
      </c>
      <c r="E137" s="1852">
        <v>0.115</v>
      </c>
      <c r="F137" s="1860"/>
    </row>
    <row r="138" spans="1:6" ht="15" thickBot="1">
      <c r="A138" s="1847" t="s">
        <v>1410</v>
      </c>
      <c r="B138" s="1851" t="s">
        <v>2109</v>
      </c>
      <c r="C138" s="1852">
        <v>0.105</v>
      </c>
      <c r="D138" s="1852">
        <v>0.125</v>
      </c>
      <c r="E138" s="1852">
        <v>0.112</v>
      </c>
      <c r="F138" s="1860"/>
    </row>
    <row r="139" spans="1:6" ht="15" thickBot="1">
      <c r="A139" s="1847" t="s">
        <v>1410</v>
      </c>
      <c r="B139" s="1851" t="s">
        <v>2110</v>
      </c>
      <c r="C139" s="1852">
        <v>0.127</v>
      </c>
      <c r="D139" s="1852">
        <v>0.127</v>
      </c>
      <c r="E139" s="1852">
        <v>0.122</v>
      </c>
      <c r="F139" s="1853">
        <v>0.13</v>
      </c>
    </row>
    <row r="140" spans="1:6" ht="15" thickBot="1">
      <c r="A140" s="1847" t="s">
        <v>1410</v>
      </c>
      <c r="B140" s="1851" t="s">
        <v>2111</v>
      </c>
      <c r="C140" s="1852">
        <v>0.125</v>
      </c>
      <c r="D140" s="1852">
        <v>0.125</v>
      </c>
      <c r="E140" s="1852">
        <v>0.11899999999999999</v>
      </c>
      <c r="F140" s="1853">
        <v>0.13</v>
      </c>
    </row>
    <row r="141" spans="1:6" ht="15" thickBot="1">
      <c r="A141" s="1847" t="s">
        <v>1410</v>
      </c>
      <c r="B141" s="1851" t="s">
        <v>1349</v>
      </c>
      <c r="C141" s="1852">
        <v>0.125</v>
      </c>
      <c r="D141" s="1852">
        <v>0.125</v>
      </c>
      <c r="E141" s="1852">
        <v>0.11700000000000001</v>
      </c>
      <c r="F141" s="1860"/>
    </row>
    <row r="142" spans="1:6" ht="15" thickBot="1">
      <c r="A142" s="1847" t="s">
        <v>1410</v>
      </c>
      <c r="B142" s="1851" t="s">
        <v>1354</v>
      </c>
      <c r="C142" s="1852">
        <v>0.125</v>
      </c>
      <c r="D142" s="1852">
        <v>0.125</v>
      </c>
      <c r="E142" s="1852">
        <v>0.115</v>
      </c>
      <c r="F142" s="1860"/>
    </row>
    <row r="143" spans="1:6" ht="15" thickBot="1">
      <c r="A143" s="1847" t="s">
        <v>1410</v>
      </c>
      <c r="B143" s="1851" t="s">
        <v>1359</v>
      </c>
      <c r="C143" s="1852">
        <v>0.121</v>
      </c>
      <c r="D143" s="1852">
        <v>0.121</v>
      </c>
      <c r="E143" s="1852">
        <v>0.108</v>
      </c>
      <c r="F143" s="1860"/>
    </row>
    <row r="144" spans="1:6" ht="15" thickBot="1">
      <c r="A144" s="1847" t="s">
        <v>1410</v>
      </c>
      <c r="B144" s="1864" t="s">
        <v>2112</v>
      </c>
      <c r="C144" s="1865">
        <v>0.126</v>
      </c>
      <c r="D144" s="1865">
        <v>0.126</v>
      </c>
      <c r="E144" s="1865">
        <v>0.121</v>
      </c>
      <c r="F144" s="1860"/>
    </row>
    <row r="145" spans="1:6" ht="15" thickBot="1">
      <c r="A145" s="1855" t="s">
        <v>1410</v>
      </c>
      <c r="B145" s="1866" t="s">
        <v>2113</v>
      </c>
      <c r="C145" s="1867"/>
      <c r="D145" s="1867"/>
      <c r="E145" s="1867"/>
      <c r="F145" s="1868">
        <v>0.05</v>
      </c>
    </row>
    <row r="146" spans="1:6" ht="24.6" thickBot="1">
      <c r="A146" s="1869" t="s">
        <v>1410</v>
      </c>
      <c r="B146" s="1854" t="s">
        <v>2114</v>
      </c>
      <c r="C146" s="1861"/>
      <c r="D146" s="1861"/>
      <c r="E146" s="1861"/>
      <c r="F146" s="1870">
        <v>0.05</v>
      </c>
    </row>
    <row r="147" spans="1:6" ht="24.6" thickBot="1">
      <c r="A147" s="1847" t="s">
        <v>1410</v>
      </c>
      <c r="B147" s="1851" t="s">
        <v>2115</v>
      </c>
      <c r="C147" s="1861"/>
      <c r="D147" s="1861"/>
      <c r="E147" s="1861"/>
      <c r="F147" s="1853">
        <v>0.05</v>
      </c>
    </row>
    <row r="148" spans="1:6" ht="24.6" thickBot="1">
      <c r="A148" s="1847" t="s">
        <v>1410</v>
      </c>
      <c r="B148" s="1851" t="s">
        <v>2116</v>
      </c>
      <c r="C148" s="1861"/>
      <c r="D148" s="1861"/>
      <c r="E148" s="1861"/>
      <c r="F148" s="1853">
        <v>0.05</v>
      </c>
    </row>
    <row r="149" spans="1:6" ht="24.6" thickBot="1">
      <c r="A149" s="1847" t="s">
        <v>1410</v>
      </c>
      <c r="B149" s="1851" t="s">
        <v>2117</v>
      </c>
      <c r="C149" s="1861"/>
      <c r="D149" s="1861"/>
      <c r="E149" s="1861"/>
      <c r="F149" s="1853">
        <v>0.05</v>
      </c>
    </row>
    <row r="150" spans="1:6" ht="24.6" thickBot="1">
      <c r="A150" s="1847" t="s">
        <v>1410</v>
      </c>
      <c r="B150" s="1851" t="s">
        <v>2118</v>
      </c>
      <c r="C150" s="1861"/>
      <c r="D150" s="1861"/>
      <c r="E150" s="1861"/>
      <c r="F150" s="1853">
        <v>0.05</v>
      </c>
    </row>
    <row r="151" spans="1:6" ht="24.6" thickBot="1">
      <c r="A151" s="1847" t="s">
        <v>1410</v>
      </c>
      <c r="B151" s="1851" t="s">
        <v>2119</v>
      </c>
      <c r="C151" s="1861"/>
      <c r="D151" s="1861"/>
      <c r="E151" s="1861"/>
      <c r="F151" s="1853">
        <v>0.05</v>
      </c>
    </row>
    <row r="152" spans="1:6" ht="24.6" thickBot="1">
      <c r="A152" s="1847" t="s">
        <v>1410</v>
      </c>
      <c r="B152" s="1851" t="s">
        <v>1392</v>
      </c>
      <c r="C152" s="1861"/>
      <c r="D152" s="1861"/>
      <c r="E152" s="1861"/>
      <c r="F152" s="1853">
        <v>0.05</v>
      </c>
    </row>
    <row r="153" spans="1:6" ht="15" thickBot="1">
      <c r="A153" s="1847" t="s">
        <v>1410</v>
      </c>
      <c r="B153" s="1851" t="s">
        <v>2120</v>
      </c>
      <c r="C153" s="1861"/>
      <c r="D153" s="1861"/>
      <c r="E153" s="1861"/>
      <c r="F153" s="1853">
        <v>0.05</v>
      </c>
    </row>
    <row r="154" spans="1:6" ht="15" thickBot="1">
      <c r="A154" s="1847" t="s">
        <v>1410</v>
      </c>
      <c r="B154" s="1851" t="s">
        <v>2121</v>
      </c>
      <c r="C154" s="1861"/>
      <c r="D154" s="1861"/>
      <c r="E154" s="1861"/>
      <c r="F154" s="1853">
        <v>0.05</v>
      </c>
    </row>
    <row r="155" spans="1:6" ht="24.6" thickBot="1">
      <c r="A155" s="1847" t="s">
        <v>1410</v>
      </c>
      <c r="B155" s="1851" t="s">
        <v>2122</v>
      </c>
      <c r="C155" s="1861"/>
      <c r="D155" s="1861"/>
      <c r="E155" s="1861"/>
      <c r="F155" s="1853">
        <v>0.05</v>
      </c>
    </row>
    <row r="156" spans="1:6" ht="24.6" thickBot="1">
      <c r="A156" s="1847" t="s">
        <v>1410</v>
      </c>
      <c r="B156" s="1851" t="s">
        <v>2123</v>
      </c>
      <c r="C156" s="1861"/>
      <c r="D156" s="1861"/>
      <c r="E156" s="1861"/>
      <c r="F156" s="1853">
        <v>0.05</v>
      </c>
    </row>
    <row r="157" spans="1:6" ht="24.6" thickBot="1">
      <c r="A157" s="1855" t="s">
        <v>1410</v>
      </c>
      <c r="B157" s="1862" t="s">
        <v>2124</v>
      </c>
      <c r="C157" s="1858"/>
      <c r="D157" s="1858"/>
      <c r="E157" s="1858"/>
      <c r="F157" s="1863">
        <v>0.05</v>
      </c>
    </row>
    <row r="158" spans="1:6" ht="15" thickBot="1">
      <c r="A158" s="1847" t="s">
        <v>1412</v>
      </c>
      <c r="B158" s="1848" t="s">
        <v>2125</v>
      </c>
      <c r="C158" s="1849">
        <v>0.13</v>
      </c>
      <c r="D158" s="1849">
        <v>0.13</v>
      </c>
      <c r="E158" s="1849">
        <v>0.13</v>
      </c>
      <c r="F158" s="1850">
        <v>0.13</v>
      </c>
    </row>
    <row r="159" spans="1:6" ht="15" thickBot="1">
      <c r="A159" s="1847" t="s">
        <v>1412</v>
      </c>
      <c r="B159" s="1851" t="s">
        <v>1077</v>
      </c>
      <c r="C159" s="1852">
        <v>0.13</v>
      </c>
      <c r="D159" s="1852">
        <v>0.13</v>
      </c>
      <c r="E159" s="1852">
        <v>0.13</v>
      </c>
      <c r="F159" s="1853">
        <v>0.13</v>
      </c>
    </row>
    <row r="160" spans="1:6" ht="15" thickBot="1">
      <c r="A160" s="1847" t="s">
        <v>1412</v>
      </c>
      <c r="B160" s="1851" t="s">
        <v>1091</v>
      </c>
      <c r="C160" s="1852">
        <v>0.13</v>
      </c>
      <c r="D160" s="1852">
        <v>0.13</v>
      </c>
      <c r="E160" s="1852">
        <v>0.129</v>
      </c>
      <c r="F160" s="1853">
        <v>0.13</v>
      </c>
    </row>
    <row r="161" spans="1:6" ht="15" thickBot="1">
      <c r="A161" s="1847" t="s">
        <v>1412</v>
      </c>
      <c r="B161" s="1851" t="s">
        <v>1104</v>
      </c>
      <c r="C161" s="1852">
        <v>0.128</v>
      </c>
      <c r="D161" s="1852">
        <v>0.128</v>
      </c>
      <c r="E161" s="1852">
        <v>0.125</v>
      </c>
      <c r="F161" s="1853">
        <v>0.13</v>
      </c>
    </row>
    <row r="162" spans="1:6" ht="15" thickBot="1">
      <c r="A162" s="1847" t="s">
        <v>1412</v>
      </c>
      <c r="B162" s="1851" t="s">
        <v>1118</v>
      </c>
      <c r="C162" s="1852">
        <v>0.122</v>
      </c>
      <c r="D162" s="1852">
        <v>0.122</v>
      </c>
      <c r="E162" s="1852">
        <v>0.126</v>
      </c>
      <c r="F162" s="1853">
        <v>0.122</v>
      </c>
    </row>
    <row r="163" spans="1:6" ht="15" thickBot="1">
      <c r="A163" s="1847" t="s">
        <v>1412</v>
      </c>
      <c r="B163" s="1851" t="s">
        <v>1129</v>
      </c>
      <c r="C163" s="1852">
        <v>0.13</v>
      </c>
      <c r="D163" s="1852">
        <v>0.13</v>
      </c>
      <c r="E163" s="1852">
        <v>0.125</v>
      </c>
      <c r="F163" s="1853">
        <v>0.13</v>
      </c>
    </row>
    <row r="164" spans="1:6" ht="15" thickBot="1">
      <c r="A164" s="1847" t="s">
        <v>1412</v>
      </c>
      <c r="B164" s="1851" t="s">
        <v>1140</v>
      </c>
      <c r="C164" s="1852">
        <v>0.13</v>
      </c>
      <c r="D164" s="1852">
        <v>0.13</v>
      </c>
      <c r="E164" s="1852">
        <v>0.13</v>
      </c>
      <c r="F164" s="1853">
        <v>0.13</v>
      </c>
    </row>
    <row r="165" spans="1:6" ht="15" thickBot="1">
      <c r="A165" s="1847" t="s">
        <v>1412</v>
      </c>
      <c r="B165" s="1851" t="s">
        <v>1151</v>
      </c>
      <c r="C165" s="1852">
        <v>0.13</v>
      </c>
      <c r="D165" s="1852">
        <v>0.13</v>
      </c>
      <c r="E165" s="1852">
        <v>0.124</v>
      </c>
      <c r="F165" s="1853">
        <v>0.13</v>
      </c>
    </row>
    <row r="166" spans="1:6" ht="15" thickBot="1">
      <c r="A166" s="1847" t="s">
        <v>1412</v>
      </c>
      <c r="B166" s="1851" t="s">
        <v>1163</v>
      </c>
      <c r="C166" s="1852">
        <v>0.13</v>
      </c>
      <c r="D166" s="1852">
        <v>0.13</v>
      </c>
      <c r="E166" s="1852">
        <v>0.13</v>
      </c>
      <c r="F166" s="1853">
        <v>0.13</v>
      </c>
    </row>
    <row r="167" spans="1:6" ht="15" thickBot="1">
      <c r="A167" s="1847" t="s">
        <v>1412</v>
      </c>
      <c r="B167" s="1851" t="s">
        <v>1173</v>
      </c>
      <c r="C167" s="1852">
        <v>0.125</v>
      </c>
      <c r="D167" s="1852">
        <v>0.125</v>
      </c>
      <c r="E167" s="1852">
        <v>0.121</v>
      </c>
      <c r="F167" s="1860"/>
    </row>
    <row r="168" spans="1:6" ht="15" thickBot="1">
      <c r="A168" s="1847" t="s">
        <v>1412</v>
      </c>
      <c r="B168" s="1851" t="s">
        <v>1183</v>
      </c>
      <c r="C168" s="1852">
        <v>0.13</v>
      </c>
      <c r="D168" s="1852">
        <v>0.13</v>
      </c>
      <c r="E168" s="1852">
        <v>0.126</v>
      </c>
      <c r="F168" s="1860"/>
    </row>
    <row r="169" spans="1:6" ht="15" thickBot="1">
      <c r="A169" s="1847" t="s">
        <v>1412</v>
      </c>
      <c r="B169" s="1851" t="s">
        <v>1193</v>
      </c>
      <c r="C169" s="1852">
        <v>0.128</v>
      </c>
      <c r="D169" s="1852">
        <v>0.129</v>
      </c>
      <c r="E169" s="1852">
        <v>0.13</v>
      </c>
      <c r="F169" s="1860"/>
    </row>
    <row r="170" spans="1:6" ht="15" thickBot="1">
      <c r="A170" s="1847" t="s">
        <v>1412</v>
      </c>
      <c r="B170" s="1851" t="s">
        <v>1203</v>
      </c>
      <c r="C170" s="1852">
        <v>0.14099999999999999</v>
      </c>
      <c r="D170" s="1852">
        <v>0.13</v>
      </c>
      <c r="E170" s="1852">
        <v>0.125</v>
      </c>
      <c r="F170" s="1860"/>
    </row>
    <row r="171" spans="1:6" ht="15" thickBot="1">
      <c r="A171" s="1847" t="s">
        <v>1412</v>
      </c>
      <c r="B171" s="1851" t="s">
        <v>2126</v>
      </c>
      <c r="C171" s="1852">
        <v>0.127</v>
      </c>
      <c r="D171" s="1852">
        <v>0.126</v>
      </c>
      <c r="E171" s="1852">
        <v>0.126</v>
      </c>
      <c r="F171" s="1853">
        <v>0.11799999999999999</v>
      </c>
    </row>
    <row r="172" spans="1:6" ht="15" thickBot="1">
      <c r="A172" s="1847" t="s">
        <v>1412</v>
      </c>
      <c r="B172" s="1851" t="s">
        <v>2127</v>
      </c>
      <c r="C172" s="1852">
        <v>0.13</v>
      </c>
      <c r="D172" s="1852">
        <v>0.13</v>
      </c>
      <c r="E172" s="1852">
        <v>0.13</v>
      </c>
      <c r="F172" s="1860"/>
    </row>
    <row r="173" spans="1:6" ht="15" thickBot="1">
      <c r="A173" s="1847" t="s">
        <v>1412</v>
      </c>
      <c r="B173" s="1851" t="s">
        <v>1233</v>
      </c>
      <c r="C173" s="1852">
        <v>0.13</v>
      </c>
      <c r="D173" s="1852">
        <v>0.13</v>
      </c>
      <c r="E173" s="1852">
        <v>0.13</v>
      </c>
      <c r="F173" s="1860"/>
    </row>
    <row r="174" spans="1:6" ht="15" thickBot="1">
      <c r="A174" s="1847" t="s">
        <v>1412</v>
      </c>
      <c r="B174" s="1851" t="s">
        <v>2128</v>
      </c>
      <c r="C174" s="1852">
        <v>0.13</v>
      </c>
      <c r="D174" s="1852">
        <v>0.13</v>
      </c>
      <c r="E174" s="1852">
        <v>0.13</v>
      </c>
      <c r="F174" s="1853">
        <v>0.13</v>
      </c>
    </row>
    <row r="175" spans="1:6" ht="15" thickBot="1">
      <c r="A175" s="1847" t="s">
        <v>1412</v>
      </c>
      <c r="B175" s="1851" t="s">
        <v>2129</v>
      </c>
      <c r="C175" s="1852">
        <v>0.13</v>
      </c>
      <c r="D175" s="1852">
        <v>0.13</v>
      </c>
      <c r="E175" s="1852">
        <v>0.13</v>
      </c>
      <c r="F175" s="1853">
        <v>0.13</v>
      </c>
    </row>
    <row r="176" spans="1:6" ht="15" thickBot="1">
      <c r="A176" s="1847" t="s">
        <v>1412</v>
      </c>
      <c r="B176" s="1851" t="s">
        <v>1263</v>
      </c>
      <c r="C176" s="1852">
        <v>0.13</v>
      </c>
      <c r="D176" s="1852">
        <v>0.13</v>
      </c>
      <c r="E176" s="1852">
        <v>0.13</v>
      </c>
      <c r="F176" s="1853">
        <v>0.13</v>
      </c>
    </row>
    <row r="177" spans="1:6" ht="15" thickBot="1">
      <c r="A177" s="1847" t="s">
        <v>1412</v>
      </c>
      <c r="B177" s="1851" t="s">
        <v>2130</v>
      </c>
      <c r="C177" s="1852">
        <v>0.13</v>
      </c>
      <c r="D177" s="1852">
        <v>0.13</v>
      </c>
      <c r="E177" s="1852">
        <v>0.13</v>
      </c>
      <c r="F177" s="1853">
        <v>0.13</v>
      </c>
    </row>
    <row r="178" spans="1:6" ht="15" thickBot="1">
      <c r="A178" s="1847" t="s">
        <v>1412</v>
      </c>
      <c r="B178" s="1851" t="s">
        <v>1281</v>
      </c>
      <c r="C178" s="1852">
        <v>0.13</v>
      </c>
      <c r="D178" s="1852">
        <v>0.13</v>
      </c>
      <c r="E178" s="1852">
        <v>0.13</v>
      </c>
      <c r="F178" s="1853">
        <v>0.127</v>
      </c>
    </row>
    <row r="179" spans="1:6" ht="15" thickBot="1">
      <c r="A179" s="1847" t="s">
        <v>1412</v>
      </c>
      <c r="B179" s="1851" t="s">
        <v>1289</v>
      </c>
      <c r="C179" s="1852">
        <v>0.13</v>
      </c>
      <c r="D179" s="1852">
        <v>0.13</v>
      </c>
      <c r="E179" s="1852">
        <v>0.13</v>
      </c>
      <c r="F179" s="1860"/>
    </row>
    <row r="180" spans="1:6" ht="15" thickBot="1">
      <c r="A180" s="1847" t="s">
        <v>1412</v>
      </c>
      <c r="B180" s="1851" t="s">
        <v>2131</v>
      </c>
      <c r="C180" s="1852">
        <v>0.13</v>
      </c>
      <c r="D180" s="1852">
        <v>0.13</v>
      </c>
      <c r="E180" s="1852">
        <v>0.125</v>
      </c>
      <c r="F180" s="1853">
        <v>0.13</v>
      </c>
    </row>
    <row r="181" spans="1:6" ht="15" thickBot="1">
      <c r="A181" s="1847" t="s">
        <v>1412</v>
      </c>
      <c r="B181" s="1851" t="s">
        <v>1303</v>
      </c>
      <c r="C181" s="1852">
        <v>0.122</v>
      </c>
      <c r="D181" s="1852">
        <v>0.123</v>
      </c>
      <c r="E181" s="1852">
        <v>0.126</v>
      </c>
      <c r="F181" s="1853">
        <v>0.121</v>
      </c>
    </row>
    <row r="182" spans="1:6" ht="15" thickBot="1">
      <c r="A182" s="1847" t="s">
        <v>1412</v>
      </c>
      <c r="B182" s="1851" t="s">
        <v>1310</v>
      </c>
      <c r="C182" s="1852">
        <v>0.125</v>
      </c>
      <c r="D182" s="1852">
        <v>0.125</v>
      </c>
      <c r="E182" s="1852">
        <v>0.11700000000000001</v>
      </c>
      <c r="F182" s="1853">
        <v>0.13</v>
      </c>
    </row>
    <row r="183" spans="1:6" ht="15" thickBot="1">
      <c r="A183" s="1847" t="s">
        <v>1412</v>
      </c>
      <c r="B183" s="1851" t="s">
        <v>1317</v>
      </c>
      <c r="C183" s="1852">
        <v>0.127</v>
      </c>
      <c r="D183" s="1852">
        <v>0.127</v>
      </c>
      <c r="E183" s="1852">
        <v>0.128</v>
      </c>
      <c r="F183" s="1860"/>
    </row>
    <row r="184" spans="1:6" ht="15" thickBot="1">
      <c r="A184" s="1847" t="s">
        <v>1412</v>
      </c>
      <c r="B184" s="1851" t="s">
        <v>1324</v>
      </c>
      <c r="C184" s="1852">
        <v>0.125</v>
      </c>
      <c r="D184" s="1852">
        <v>0.125</v>
      </c>
      <c r="E184" s="1852">
        <v>0.127</v>
      </c>
      <c r="F184" s="1860"/>
    </row>
    <row r="185" spans="1:6" ht="15" thickBot="1">
      <c r="A185" s="1847" t="s">
        <v>1412</v>
      </c>
      <c r="B185" s="1851" t="s">
        <v>2132</v>
      </c>
      <c r="C185" s="1852">
        <v>0.127</v>
      </c>
      <c r="D185" s="1852">
        <v>0.127</v>
      </c>
      <c r="E185" s="1852">
        <v>0.128</v>
      </c>
      <c r="F185" s="1853">
        <v>0.13</v>
      </c>
    </row>
    <row r="186" spans="1:6" ht="24.6" thickBot="1">
      <c r="A186" s="1847" t="s">
        <v>1412</v>
      </c>
      <c r="B186" s="1851" t="s">
        <v>2133</v>
      </c>
      <c r="C186" s="1861"/>
      <c r="D186" s="1861"/>
      <c r="E186" s="1861"/>
      <c r="F186" s="1853">
        <v>0.05</v>
      </c>
    </row>
    <row r="187" spans="1:6" ht="15" thickBot="1">
      <c r="A187" s="1847" t="s">
        <v>1412</v>
      </c>
      <c r="B187" s="1851" t="s">
        <v>2134</v>
      </c>
      <c r="C187" s="1861"/>
      <c r="D187" s="1861"/>
      <c r="E187" s="1861"/>
      <c r="F187" s="1853">
        <v>0.05</v>
      </c>
    </row>
    <row r="188" spans="1:6" ht="24.6" thickBot="1">
      <c r="A188" s="1847" t="s">
        <v>1412</v>
      </c>
      <c r="B188" s="1851" t="s">
        <v>2135</v>
      </c>
      <c r="C188" s="1861"/>
      <c r="D188" s="1861"/>
      <c r="E188" s="1861"/>
      <c r="F188" s="1853">
        <v>0.05</v>
      </c>
    </row>
    <row r="189" spans="1:6" ht="24.6" thickBot="1">
      <c r="A189" s="1847" t="s">
        <v>1412</v>
      </c>
      <c r="B189" s="1851" t="s">
        <v>2136</v>
      </c>
      <c r="C189" s="1861"/>
      <c r="D189" s="1861"/>
      <c r="E189" s="1861"/>
      <c r="F189" s="1853">
        <v>0.05</v>
      </c>
    </row>
    <row r="190" spans="1:6" ht="24.6" thickBot="1">
      <c r="A190" s="1847" t="s">
        <v>1412</v>
      </c>
      <c r="B190" s="1851" t="s">
        <v>2137</v>
      </c>
      <c r="C190" s="1861"/>
      <c r="D190" s="1861"/>
      <c r="E190" s="1861"/>
      <c r="F190" s="1853">
        <v>0.05</v>
      </c>
    </row>
    <row r="191" spans="1:6" ht="24.6" thickBot="1">
      <c r="A191" s="1847" t="s">
        <v>1412</v>
      </c>
      <c r="B191" s="1851" t="s">
        <v>2138</v>
      </c>
      <c r="C191" s="1861"/>
      <c r="D191" s="1861"/>
      <c r="E191" s="1861"/>
      <c r="F191" s="1853">
        <v>0.05</v>
      </c>
    </row>
    <row r="192" spans="1:6" ht="24.6" thickBot="1">
      <c r="A192" s="1847" t="s">
        <v>1412</v>
      </c>
      <c r="B192" s="1851" t="s">
        <v>2139</v>
      </c>
      <c r="C192" s="1861"/>
      <c r="D192" s="1861"/>
      <c r="E192" s="1861"/>
      <c r="F192" s="1853">
        <v>0.05</v>
      </c>
    </row>
    <row r="193" spans="1:6" ht="24.6" thickBot="1">
      <c r="A193" s="1847" t="s">
        <v>1412</v>
      </c>
      <c r="B193" s="1851" t="s">
        <v>2140</v>
      </c>
      <c r="C193" s="1861"/>
      <c r="D193" s="1861"/>
      <c r="E193" s="1861"/>
      <c r="F193" s="1853">
        <v>0.05</v>
      </c>
    </row>
    <row r="194" spans="1:6" ht="24.6" thickBot="1">
      <c r="A194" s="1847" t="s">
        <v>1412</v>
      </c>
      <c r="B194" s="1851" t="s">
        <v>2141</v>
      </c>
      <c r="C194" s="1861"/>
      <c r="D194" s="1861"/>
      <c r="E194" s="1861"/>
      <c r="F194" s="1853">
        <v>0.05</v>
      </c>
    </row>
    <row r="195" spans="1:6" ht="15" thickBot="1">
      <c r="A195" s="1847" t="s">
        <v>1412</v>
      </c>
      <c r="B195" s="1851" t="s">
        <v>2142</v>
      </c>
      <c r="C195" s="1861"/>
      <c r="D195" s="1861"/>
      <c r="E195" s="1861"/>
      <c r="F195" s="1853">
        <v>0.05</v>
      </c>
    </row>
    <row r="196" spans="1:6" ht="24.6" thickBot="1">
      <c r="A196" s="1847" t="s">
        <v>1412</v>
      </c>
      <c r="B196" s="1851" t="s">
        <v>2143</v>
      </c>
      <c r="C196" s="1861"/>
      <c r="D196" s="1861"/>
      <c r="E196" s="1861"/>
      <c r="F196" s="1853">
        <v>0.05</v>
      </c>
    </row>
    <row r="197" spans="1:6" ht="24.6" thickBot="1">
      <c r="A197" s="1847" t="s">
        <v>1412</v>
      </c>
      <c r="B197" s="1851" t="s">
        <v>2144</v>
      </c>
      <c r="C197" s="1861"/>
      <c r="D197" s="1861"/>
      <c r="E197" s="1861"/>
      <c r="F197" s="1853">
        <v>0.05</v>
      </c>
    </row>
    <row r="198" spans="1:6" ht="24.6" thickBot="1">
      <c r="A198" s="1847" t="s">
        <v>1412</v>
      </c>
      <c r="B198" s="1851" t="s">
        <v>2145</v>
      </c>
      <c r="C198" s="1861"/>
      <c r="D198" s="1861"/>
      <c r="E198" s="1861"/>
      <c r="F198" s="1853">
        <v>0.05</v>
      </c>
    </row>
    <row r="199" spans="1:6" ht="24.6" thickBot="1">
      <c r="A199" s="1847" t="s">
        <v>1412</v>
      </c>
      <c r="B199" s="1851" t="s">
        <v>2146</v>
      </c>
      <c r="C199" s="1861"/>
      <c r="D199" s="1861"/>
      <c r="E199" s="1861"/>
      <c r="F199" s="1853">
        <v>0.05</v>
      </c>
    </row>
    <row r="200" spans="1:6" ht="24.6" thickBot="1">
      <c r="A200" s="1847" t="s">
        <v>1412</v>
      </c>
      <c r="B200" s="1851" t="s">
        <v>2147</v>
      </c>
      <c r="C200" s="1861"/>
      <c r="D200" s="1861"/>
      <c r="E200" s="1861"/>
      <c r="F200" s="1853">
        <v>0.05</v>
      </c>
    </row>
    <row r="201" spans="1:6" ht="24.6" thickBot="1">
      <c r="A201" s="1847" t="s">
        <v>1412</v>
      </c>
      <c r="B201" s="1851" t="s">
        <v>2148</v>
      </c>
      <c r="C201" s="1861"/>
      <c r="D201" s="1861"/>
      <c r="E201" s="1861"/>
      <c r="F201" s="1853">
        <v>0.05</v>
      </c>
    </row>
    <row r="202" spans="1:6" ht="24.6" thickBot="1">
      <c r="A202" s="1847" t="s">
        <v>1412</v>
      </c>
      <c r="B202" s="1851" t="s">
        <v>2149</v>
      </c>
      <c r="C202" s="1861"/>
      <c r="D202" s="1861"/>
      <c r="E202" s="1861"/>
      <c r="F202" s="1853">
        <v>0.05</v>
      </c>
    </row>
    <row r="203" spans="1:6" ht="24.6" thickBot="1">
      <c r="A203" s="1847" t="s">
        <v>1412</v>
      </c>
      <c r="B203" s="1851" t="s">
        <v>2150</v>
      </c>
      <c r="C203" s="1861"/>
      <c r="D203" s="1861"/>
      <c r="E203" s="1861"/>
      <c r="F203" s="1853">
        <v>0.05</v>
      </c>
    </row>
    <row r="204" spans="1:6" ht="15" thickBot="1">
      <c r="A204" s="1847" t="s">
        <v>1412</v>
      </c>
      <c r="B204" s="1851" t="s">
        <v>2151</v>
      </c>
      <c r="C204" s="1861"/>
      <c r="D204" s="1861"/>
      <c r="E204" s="1861"/>
      <c r="F204" s="1853">
        <v>0.05</v>
      </c>
    </row>
    <row r="205" spans="1:6" ht="15" thickBot="1">
      <c r="A205" s="1855" t="s">
        <v>1412</v>
      </c>
      <c r="B205" s="1862" t="s">
        <v>2152</v>
      </c>
      <c r="C205" s="1858"/>
      <c r="D205" s="1858"/>
      <c r="E205" s="1858"/>
      <c r="F205" s="1863">
        <v>0.05</v>
      </c>
    </row>
    <row r="206" spans="1:6" ht="15" thickBot="1">
      <c r="A206" s="1847" t="s">
        <v>1414</v>
      </c>
      <c r="B206" s="1848" t="s">
        <v>2153</v>
      </c>
      <c r="C206" s="1849">
        <v>0.15</v>
      </c>
      <c r="D206" s="1849">
        <v>0.15</v>
      </c>
      <c r="E206" s="1849">
        <v>0.15</v>
      </c>
      <c r="F206" s="1850">
        <v>0.15</v>
      </c>
    </row>
    <row r="207" spans="1:6" ht="15" thickBot="1">
      <c r="A207" s="1847" t="s">
        <v>1414</v>
      </c>
      <c r="B207" s="1851" t="s">
        <v>1078</v>
      </c>
      <c r="C207" s="1852">
        <v>0.15</v>
      </c>
      <c r="D207" s="1852">
        <v>0.15</v>
      </c>
      <c r="E207" s="1852">
        <v>0.15</v>
      </c>
      <c r="F207" s="1853">
        <v>0.14399999999999999</v>
      </c>
    </row>
    <row r="208" spans="1:6" ht="15" thickBot="1">
      <c r="A208" s="1847" t="s">
        <v>1414</v>
      </c>
      <c r="B208" s="1851" t="s">
        <v>1092</v>
      </c>
      <c r="C208" s="1852">
        <v>0.15</v>
      </c>
      <c r="D208" s="1852">
        <v>0.15</v>
      </c>
      <c r="E208" s="1852">
        <v>0.15</v>
      </c>
      <c r="F208" s="1853">
        <v>0.15</v>
      </c>
    </row>
    <row r="209" spans="1:6" ht="15" thickBot="1">
      <c r="A209" s="1847" t="s">
        <v>1414</v>
      </c>
      <c r="B209" s="1851" t="s">
        <v>1105</v>
      </c>
      <c r="C209" s="1852">
        <v>0.13700000000000001</v>
      </c>
      <c r="D209" s="1852">
        <v>0.13700000000000001</v>
      </c>
      <c r="E209" s="1852">
        <v>0.14000000000000001</v>
      </c>
      <c r="F209" s="1853">
        <v>0.11700000000000001</v>
      </c>
    </row>
    <row r="210" spans="1:6" ht="15" thickBot="1">
      <c r="A210" s="1847" t="s">
        <v>1414</v>
      </c>
      <c r="B210" s="1851" t="s">
        <v>2154</v>
      </c>
      <c r="C210" s="1852">
        <v>0.15</v>
      </c>
      <c r="D210" s="1852">
        <v>0.15</v>
      </c>
      <c r="E210" s="1852">
        <v>0.15</v>
      </c>
      <c r="F210" s="1853">
        <v>0.13800000000000001</v>
      </c>
    </row>
    <row r="211" spans="1:6" ht="15" thickBot="1">
      <c r="A211" s="1847" t="s">
        <v>1414</v>
      </c>
      <c r="B211" s="1851" t="s">
        <v>2155</v>
      </c>
      <c r="C211" s="1852">
        <v>0.13700000000000001</v>
      </c>
      <c r="D211" s="1852">
        <v>0.13500000000000001</v>
      </c>
      <c r="E211" s="1852">
        <v>0.13600000000000001</v>
      </c>
      <c r="F211" s="1853">
        <v>0.1</v>
      </c>
    </row>
    <row r="212" spans="1:6" ht="15" thickBot="1">
      <c r="A212" s="1847" t="s">
        <v>1414</v>
      </c>
      <c r="B212" s="1851" t="s">
        <v>2156</v>
      </c>
      <c r="C212" s="1852">
        <v>0.15</v>
      </c>
      <c r="D212" s="1852">
        <v>0.15</v>
      </c>
      <c r="E212" s="1852">
        <v>0.14799999999999999</v>
      </c>
      <c r="F212" s="1853">
        <v>0.13600000000000001</v>
      </c>
    </row>
    <row r="213" spans="1:6" ht="15" thickBot="1">
      <c r="A213" s="1847" t="s">
        <v>1414</v>
      </c>
      <c r="B213" s="1851" t="s">
        <v>1152</v>
      </c>
      <c r="C213" s="1852">
        <v>0.15</v>
      </c>
      <c r="D213" s="1852">
        <v>0.15</v>
      </c>
      <c r="E213" s="1852">
        <v>0.15</v>
      </c>
      <c r="F213" s="1853">
        <v>0.13800000000000001</v>
      </c>
    </row>
    <row r="214" spans="1:6" ht="15" thickBot="1">
      <c r="A214" s="1847" t="s">
        <v>1414</v>
      </c>
      <c r="B214" s="1851" t="s">
        <v>1164</v>
      </c>
      <c r="C214" s="1852">
        <v>9.0999999999999998E-2</v>
      </c>
      <c r="D214" s="1852">
        <v>0.09</v>
      </c>
      <c r="E214" s="1852">
        <v>9.1999999999999998E-2</v>
      </c>
      <c r="F214" s="1860"/>
    </row>
    <row r="215" spans="1:6" ht="15" thickBot="1">
      <c r="A215" s="1847" t="s">
        <v>1414</v>
      </c>
      <c r="B215" s="1851" t="s">
        <v>2157</v>
      </c>
      <c r="C215" s="1852">
        <v>0.15</v>
      </c>
      <c r="D215" s="1852">
        <v>0.15</v>
      </c>
      <c r="E215" s="1852">
        <v>0.15</v>
      </c>
      <c r="F215" s="1853">
        <v>0.15</v>
      </c>
    </row>
    <row r="216" spans="1:6" ht="15" thickBot="1">
      <c r="A216" s="1847" t="s">
        <v>1414</v>
      </c>
      <c r="B216" s="1851" t="s">
        <v>1184</v>
      </c>
      <c r="C216" s="1852">
        <v>0.14699999999999999</v>
      </c>
      <c r="D216" s="1852">
        <v>0.14699999999999999</v>
      </c>
      <c r="E216" s="1852">
        <v>0.15</v>
      </c>
      <c r="F216" s="1853">
        <v>0.14000000000000001</v>
      </c>
    </row>
    <row r="217" spans="1:6" ht="15" thickBot="1">
      <c r="A217" s="1847" t="s">
        <v>1414</v>
      </c>
      <c r="B217" s="1851" t="s">
        <v>1194</v>
      </c>
      <c r="C217" s="1852">
        <v>0.15</v>
      </c>
      <c r="D217" s="1852">
        <v>0.15</v>
      </c>
      <c r="E217" s="1852">
        <v>0.15</v>
      </c>
      <c r="F217" s="1853">
        <v>0.15</v>
      </c>
    </row>
    <row r="218" spans="1:6" ht="15" thickBot="1">
      <c r="A218" s="1847" t="s">
        <v>1414</v>
      </c>
      <c r="B218" s="1851" t="s">
        <v>2158</v>
      </c>
      <c r="C218" s="1852">
        <v>0.15</v>
      </c>
      <c r="D218" s="1852">
        <v>0.15</v>
      </c>
      <c r="E218" s="1852">
        <v>0.15</v>
      </c>
      <c r="F218" s="1853">
        <v>0.15</v>
      </c>
    </row>
    <row r="219" spans="1:6" ht="15" thickBot="1">
      <c r="A219" s="1847" t="s">
        <v>1414</v>
      </c>
      <c r="B219" s="1851" t="s">
        <v>1214</v>
      </c>
      <c r="C219" s="1852">
        <v>0.15</v>
      </c>
      <c r="D219" s="1852">
        <v>0.15</v>
      </c>
      <c r="E219" s="1852">
        <v>0.15</v>
      </c>
      <c r="F219" s="1853">
        <v>0.14799999999999999</v>
      </c>
    </row>
    <row r="220" spans="1:6" ht="15" thickBot="1">
      <c r="A220" s="1847" t="s">
        <v>1414</v>
      </c>
      <c r="B220" s="1851" t="s">
        <v>2159</v>
      </c>
      <c r="C220" s="1852">
        <v>0.15</v>
      </c>
      <c r="D220" s="1852">
        <v>0.15</v>
      </c>
      <c r="E220" s="1852">
        <v>0.15</v>
      </c>
      <c r="F220" s="1853">
        <v>0.15</v>
      </c>
    </row>
    <row r="221" spans="1:6" ht="15" thickBot="1">
      <c r="A221" s="1847" t="s">
        <v>1414</v>
      </c>
      <c r="B221" s="1851" t="s">
        <v>1234</v>
      </c>
      <c r="C221" s="1852"/>
      <c r="D221" s="1861"/>
      <c r="E221" s="1861"/>
      <c r="F221" s="1853">
        <v>0.14799999999999999</v>
      </c>
    </row>
    <row r="222" spans="1:6" ht="15" thickBot="1">
      <c r="A222" s="1847" t="s">
        <v>1414</v>
      </c>
      <c r="B222" s="1851" t="s">
        <v>1244</v>
      </c>
      <c r="C222" s="1852"/>
      <c r="D222" s="1861"/>
      <c r="E222" s="1861"/>
      <c r="F222" s="1853">
        <v>0.1</v>
      </c>
    </row>
    <row r="223" spans="1:6" ht="15" thickBot="1">
      <c r="A223" s="1847" t="s">
        <v>1414</v>
      </c>
      <c r="B223" s="1851" t="s">
        <v>1254</v>
      </c>
      <c r="C223" s="1852"/>
      <c r="D223" s="1861"/>
      <c r="E223" s="1861"/>
      <c r="F223" s="1853">
        <v>0.15</v>
      </c>
    </row>
    <row r="224" spans="1:6" ht="15" thickBot="1">
      <c r="A224" s="1847" t="s">
        <v>1414</v>
      </c>
      <c r="B224" s="1851" t="s">
        <v>1264</v>
      </c>
      <c r="C224" s="1852"/>
      <c r="D224" s="1861"/>
      <c r="E224" s="1861"/>
      <c r="F224" s="1853">
        <v>0.15</v>
      </c>
    </row>
    <row r="225" spans="1:6" ht="15" thickBot="1">
      <c r="A225" s="1847" t="s">
        <v>1414</v>
      </c>
      <c r="B225" s="1851" t="s">
        <v>2160</v>
      </c>
      <c r="C225" s="1852">
        <v>0.15</v>
      </c>
      <c r="D225" s="1852">
        <v>0.15</v>
      </c>
      <c r="E225" s="1852">
        <v>0.15</v>
      </c>
      <c r="F225" s="1853">
        <v>0.15</v>
      </c>
    </row>
    <row r="226" spans="1:6" ht="15" thickBot="1">
      <c r="A226" s="1847" t="s">
        <v>1414</v>
      </c>
      <c r="B226" s="1851" t="s">
        <v>1282</v>
      </c>
      <c r="C226" s="1852">
        <v>0.15</v>
      </c>
      <c r="D226" s="1852">
        <v>0.15</v>
      </c>
      <c r="E226" s="1852">
        <v>0.15</v>
      </c>
      <c r="F226" s="1853">
        <v>0.14799999999999999</v>
      </c>
    </row>
    <row r="227" spans="1:6" ht="15" thickBot="1">
      <c r="A227" s="1847" t="s">
        <v>1414</v>
      </c>
      <c r="B227" s="1851" t="s">
        <v>2161</v>
      </c>
      <c r="C227" s="1852">
        <v>0.15</v>
      </c>
      <c r="D227" s="1852">
        <v>0.15</v>
      </c>
      <c r="E227" s="1852">
        <v>0.15</v>
      </c>
      <c r="F227" s="1853">
        <v>0.15</v>
      </c>
    </row>
    <row r="228" spans="1:6" ht="15" thickBot="1">
      <c r="A228" s="1847" t="s">
        <v>1414</v>
      </c>
      <c r="B228" s="1851" t="s">
        <v>1297</v>
      </c>
      <c r="C228" s="1852">
        <v>0.15</v>
      </c>
      <c r="D228" s="1852">
        <v>0.15</v>
      </c>
      <c r="E228" s="1852">
        <v>0.15</v>
      </c>
      <c r="F228" s="1853">
        <v>0.15</v>
      </c>
    </row>
    <row r="229" spans="1:6" ht="15" thickBot="1">
      <c r="A229" s="1847" t="s">
        <v>1414</v>
      </c>
      <c r="B229" s="1851" t="s">
        <v>1304</v>
      </c>
      <c r="C229" s="1852">
        <v>0.15</v>
      </c>
      <c r="D229" s="1852">
        <v>0.15</v>
      </c>
      <c r="E229" s="1852">
        <v>0.15</v>
      </c>
      <c r="F229" s="1860"/>
    </row>
    <row r="230" spans="1:6" ht="15" thickBot="1">
      <c r="A230" s="1847" t="s">
        <v>1414</v>
      </c>
      <c r="B230" s="1851" t="s">
        <v>1311</v>
      </c>
      <c r="C230" s="1852">
        <v>0.14499999999999999</v>
      </c>
      <c r="D230" s="1852">
        <v>0.14499999999999999</v>
      </c>
      <c r="E230" s="1852">
        <v>0.14399999999999999</v>
      </c>
      <c r="F230" s="1860"/>
    </row>
    <row r="231" spans="1:6" ht="15" thickBot="1">
      <c r="A231" s="1847" t="s">
        <v>1414</v>
      </c>
      <c r="B231" s="1851" t="s">
        <v>2162</v>
      </c>
      <c r="C231" s="1852">
        <v>0.128</v>
      </c>
      <c r="D231" s="1852">
        <v>0.125</v>
      </c>
      <c r="E231" s="1852">
        <v>0.13200000000000001</v>
      </c>
      <c r="F231" s="1860"/>
    </row>
    <row r="232" spans="1:6" ht="15" thickBot="1">
      <c r="A232" s="1847" t="s">
        <v>1414</v>
      </c>
      <c r="B232" s="1851" t="s">
        <v>2163</v>
      </c>
      <c r="C232" s="1852">
        <v>0.14499999999999999</v>
      </c>
      <c r="D232" s="1852">
        <v>0.14399999999999999</v>
      </c>
      <c r="E232" s="1852">
        <v>0.14599999999999999</v>
      </c>
      <c r="F232" s="1853">
        <v>0.13800000000000001</v>
      </c>
    </row>
    <row r="233" spans="1:6" ht="15" thickBot="1">
      <c r="A233" s="1847" t="s">
        <v>1414</v>
      </c>
      <c r="B233" s="1851" t="s">
        <v>2164</v>
      </c>
      <c r="C233" s="1852">
        <v>0.14499999999999999</v>
      </c>
      <c r="D233" s="1852">
        <v>0.14299999999999999</v>
      </c>
      <c r="E233" s="1852">
        <v>0.14199999999999999</v>
      </c>
      <c r="F233" s="1860"/>
    </row>
    <row r="234" spans="1:6" ht="15" thickBot="1">
      <c r="A234" s="1847" t="s">
        <v>1414</v>
      </c>
      <c r="B234" s="1851" t="s">
        <v>2165</v>
      </c>
      <c r="C234" s="1852">
        <v>0.14000000000000001</v>
      </c>
      <c r="D234" s="1852">
        <v>0.14000000000000001</v>
      </c>
      <c r="E234" s="1852">
        <v>0.14399999999999999</v>
      </c>
      <c r="F234" s="1860"/>
    </row>
    <row r="235" spans="1:6" ht="15" thickBot="1">
      <c r="A235" s="1847" t="s">
        <v>1414</v>
      </c>
      <c r="B235" s="1851" t="s">
        <v>2166</v>
      </c>
      <c r="C235" s="1852">
        <v>0.14099999999999999</v>
      </c>
      <c r="D235" s="1852">
        <v>0.14199999999999999</v>
      </c>
      <c r="E235" s="1852">
        <v>0.14499999999999999</v>
      </c>
      <c r="F235" s="1853">
        <v>0.15</v>
      </c>
    </row>
    <row r="236" spans="1:6" ht="15" thickBot="1">
      <c r="A236" s="1847" t="s">
        <v>1414</v>
      </c>
      <c r="B236" s="1851" t="s">
        <v>1346</v>
      </c>
      <c r="C236" s="1861"/>
      <c r="D236" s="1861"/>
      <c r="E236" s="1861"/>
      <c r="F236" s="1853">
        <v>0.14299999999999999</v>
      </c>
    </row>
    <row r="237" spans="1:6" ht="24.6" thickBot="1">
      <c r="A237" s="1847" t="s">
        <v>1414</v>
      </c>
      <c r="B237" s="1851" t="s">
        <v>2167</v>
      </c>
      <c r="C237" s="1861"/>
      <c r="D237" s="1861"/>
      <c r="E237" s="1861"/>
      <c r="F237" s="1853">
        <v>0.05</v>
      </c>
    </row>
    <row r="238" spans="1:6" ht="24.6" thickBot="1">
      <c r="A238" s="1847" t="s">
        <v>1414</v>
      </c>
      <c r="B238" s="1851" t="s">
        <v>2168</v>
      </c>
      <c r="C238" s="1861"/>
      <c r="D238" s="1861"/>
      <c r="E238" s="1861"/>
      <c r="F238" s="1853">
        <v>0.05</v>
      </c>
    </row>
    <row r="239" spans="1:6" ht="24.6" thickBot="1">
      <c r="A239" s="1847" t="s">
        <v>1414</v>
      </c>
      <c r="B239" s="1851" t="s">
        <v>2169</v>
      </c>
      <c r="C239" s="1861"/>
      <c r="D239" s="1861"/>
      <c r="E239" s="1861"/>
      <c r="F239" s="1853">
        <v>0.05</v>
      </c>
    </row>
    <row r="240" spans="1:6" ht="24.6" thickBot="1">
      <c r="A240" s="1847" t="s">
        <v>1414</v>
      </c>
      <c r="B240" s="1851" t="s">
        <v>2170</v>
      </c>
      <c r="C240" s="1861"/>
      <c r="D240" s="1861"/>
      <c r="E240" s="1861"/>
      <c r="F240" s="1853">
        <v>0.05</v>
      </c>
    </row>
    <row r="241" spans="1:6" ht="24.6" thickBot="1">
      <c r="A241" s="1847" t="s">
        <v>1414</v>
      </c>
      <c r="B241" s="1851" t="s">
        <v>2171</v>
      </c>
      <c r="C241" s="1861"/>
      <c r="D241" s="1861"/>
      <c r="E241" s="1861"/>
      <c r="F241" s="1853">
        <v>0.05</v>
      </c>
    </row>
    <row r="242" spans="1:6" ht="24.6" thickBot="1">
      <c r="A242" s="1847" t="s">
        <v>1414</v>
      </c>
      <c r="B242" s="1851" t="s">
        <v>2172</v>
      </c>
      <c r="C242" s="1861"/>
      <c r="D242" s="1861"/>
      <c r="E242" s="1861"/>
      <c r="F242" s="1853">
        <v>0.05</v>
      </c>
    </row>
    <row r="243" spans="1:6" ht="24.6" thickBot="1">
      <c r="A243" s="1847" t="s">
        <v>1414</v>
      </c>
      <c r="B243" s="1851" t="s">
        <v>2173</v>
      </c>
      <c r="C243" s="1861"/>
      <c r="D243" s="1861"/>
      <c r="E243" s="1861"/>
      <c r="F243" s="1853">
        <v>0.05</v>
      </c>
    </row>
    <row r="244" spans="1:6" ht="24.6" thickBot="1">
      <c r="A244" s="1855" t="s">
        <v>1414</v>
      </c>
      <c r="B244" s="1862" t="s">
        <v>2174</v>
      </c>
      <c r="C244" s="1858"/>
      <c r="D244" s="1858"/>
      <c r="E244" s="1858"/>
      <c r="F244" s="1863">
        <v>0.05</v>
      </c>
    </row>
    <row r="245" spans="1:6" ht="15" thickBot="1">
      <c r="A245" s="1847" t="s">
        <v>1416</v>
      </c>
      <c r="B245" s="1848" t="s">
        <v>2175</v>
      </c>
      <c r="C245" s="1849">
        <v>0.15</v>
      </c>
      <c r="D245" s="1849">
        <v>0.15</v>
      </c>
      <c r="E245" s="1849">
        <v>0.15</v>
      </c>
      <c r="F245" s="1850">
        <v>0.14299999999999999</v>
      </c>
    </row>
    <row r="246" spans="1:6" ht="15" thickBot="1">
      <c r="A246" s="1847" t="s">
        <v>1416</v>
      </c>
      <c r="B246" s="1851" t="s">
        <v>1079</v>
      </c>
      <c r="C246" s="1852">
        <v>0.15</v>
      </c>
      <c r="D246" s="1852">
        <v>0.15</v>
      </c>
      <c r="E246" s="1852">
        <v>0.15</v>
      </c>
      <c r="F246" s="1853">
        <v>0.114</v>
      </c>
    </row>
    <row r="247" spans="1:6" ht="15" thickBot="1">
      <c r="A247" s="1847" t="s">
        <v>1416</v>
      </c>
      <c r="B247" s="1851" t="s">
        <v>2176</v>
      </c>
      <c r="C247" s="1852">
        <v>0.15</v>
      </c>
      <c r="D247" s="1852">
        <v>0.15</v>
      </c>
      <c r="E247" s="1852">
        <v>0.15</v>
      </c>
      <c r="F247" s="1853">
        <v>0.15</v>
      </c>
    </row>
    <row r="248" spans="1:6" ht="15" thickBot="1">
      <c r="A248" s="1847" t="s">
        <v>1416</v>
      </c>
      <c r="B248" s="1851" t="s">
        <v>2177</v>
      </c>
      <c r="C248" s="1852">
        <v>0.15</v>
      </c>
      <c r="D248" s="1852">
        <v>0.15</v>
      </c>
      <c r="E248" s="1852">
        <v>0.15</v>
      </c>
      <c r="F248" s="1853">
        <v>0.14000000000000001</v>
      </c>
    </row>
    <row r="249" spans="1:6" ht="15" thickBot="1">
      <c r="A249" s="1847" t="s">
        <v>1416</v>
      </c>
      <c r="B249" s="1851" t="s">
        <v>2178</v>
      </c>
      <c r="C249" s="1852">
        <v>0.15</v>
      </c>
      <c r="D249" s="1852">
        <v>0.14899999999999999</v>
      </c>
      <c r="E249" s="1852">
        <v>0.15</v>
      </c>
      <c r="F249" s="1853">
        <v>0.1</v>
      </c>
    </row>
    <row r="250" spans="1:6" ht="15" thickBot="1">
      <c r="A250" s="1847" t="s">
        <v>1416</v>
      </c>
      <c r="B250" s="1851" t="s">
        <v>2179</v>
      </c>
      <c r="C250" s="1852">
        <v>0.15</v>
      </c>
      <c r="D250" s="1852">
        <v>0.15</v>
      </c>
      <c r="E250" s="1852">
        <v>0.15</v>
      </c>
      <c r="F250" s="1853">
        <v>0.14399999999999999</v>
      </c>
    </row>
    <row r="251" spans="1:6" ht="15" thickBot="1">
      <c r="A251" s="1847" t="s">
        <v>1416</v>
      </c>
      <c r="B251" s="1851" t="s">
        <v>1142</v>
      </c>
      <c r="C251" s="1852">
        <v>0.15</v>
      </c>
      <c r="D251" s="1852">
        <v>0.15</v>
      </c>
      <c r="E251" s="1852">
        <v>0.15</v>
      </c>
      <c r="F251" s="1853">
        <v>0.14299999999999999</v>
      </c>
    </row>
    <row r="252" spans="1:6" ht="15" thickBot="1">
      <c r="A252" s="1847" t="s">
        <v>1416</v>
      </c>
      <c r="B252" s="1851" t="s">
        <v>1153</v>
      </c>
      <c r="C252" s="1852">
        <v>0.15</v>
      </c>
      <c r="D252" s="1852">
        <v>0.15</v>
      </c>
      <c r="E252" s="1852">
        <v>0.15</v>
      </c>
      <c r="F252" s="1853">
        <v>0.1</v>
      </c>
    </row>
    <row r="253" spans="1:6" ht="15" thickBot="1">
      <c r="A253" s="1847" t="s">
        <v>1416</v>
      </c>
      <c r="B253" s="1851" t="s">
        <v>1165</v>
      </c>
      <c r="C253" s="1852">
        <v>0.15</v>
      </c>
      <c r="D253" s="1852">
        <v>0.15</v>
      </c>
      <c r="E253" s="1852">
        <v>0.15</v>
      </c>
      <c r="F253" s="1853">
        <v>0.1</v>
      </c>
    </row>
    <row r="254" spans="1:6" ht="15" thickBot="1">
      <c r="A254" s="1847" t="s">
        <v>1416</v>
      </c>
      <c r="B254" s="1851" t="s">
        <v>1175</v>
      </c>
      <c r="C254" s="1861"/>
      <c r="D254" s="1861"/>
      <c r="E254" s="1861"/>
      <c r="F254" s="1853">
        <v>0.15</v>
      </c>
    </row>
    <row r="255" spans="1:6" ht="15" thickBot="1">
      <c r="A255" s="1847" t="s">
        <v>1416</v>
      </c>
      <c r="B255" s="1851" t="s">
        <v>1185</v>
      </c>
      <c r="C255" s="1861"/>
      <c r="D255" s="1861"/>
      <c r="E255" s="1861"/>
      <c r="F255" s="1853">
        <v>0.14299999999999999</v>
      </c>
    </row>
    <row r="256" spans="1:6" ht="15" thickBot="1">
      <c r="A256" s="1847" t="s">
        <v>1416</v>
      </c>
      <c r="B256" s="1851" t="s">
        <v>2180</v>
      </c>
      <c r="C256" s="1852">
        <v>0.14599999999999999</v>
      </c>
      <c r="D256" s="1852">
        <v>0.14699999999999999</v>
      </c>
      <c r="E256" s="1852">
        <v>0.15</v>
      </c>
      <c r="F256" s="1853">
        <v>0.13200000000000001</v>
      </c>
    </row>
    <row r="257" spans="1:6" ht="15" thickBot="1">
      <c r="A257" s="1847" t="s">
        <v>1416</v>
      </c>
      <c r="B257" s="1851" t="s">
        <v>1205</v>
      </c>
      <c r="C257" s="1852">
        <v>0.15</v>
      </c>
      <c r="D257" s="1852">
        <v>0.15</v>
      </c>
      <c r="E257" s="1852">
        <v>0.15</v>
      </c>
      <c r="F257" s="1853">
        <v>0.13900000000000001</v>
      </c>
    </row>
    <row r="258" spans="1:6" ht="15" thickBot="1">
      <c r="A258" s="1847" t="s">
        <v>1416</v>
      </c>
      <c r="B258" s="1851" t="s">
        <v>1215</v>
      </c>
      <c r="C258" s="1852">
        <v>0.15</v>
      </c>
      <c r="D258" s="1852">
        <v>0.15</v>
      </c>
      <c r="E258" s="1852">
        <v>0.15</v>
      </c>
      <c r="F258" s="1853">
        <v>0.13</v>
      </c>
    </row>
    <row r="259" spans="1:6" ht="15" thickBot="1">
      <c r="A259" s="1847" t="s">
        <v>1416</v>
      </c>
      <c r="B259" s="1851" t="s">
        <v>2181</v>
      </c>
      <c r="C259" s="1852">
        <v>0.14799999999999999</v>
      </c>
      <c r="D259" s="1852">
        <v>0.14899999999999999</v>
      </c>
      <c r="E259" s="1852">
        <v>0.15</v>
      </c>
      <c r="F259" s="1853">
        <v>0.13700000000000001</v>
      </c>
    </row>
    <row r="260" spans="1:6" ht="15" thickBot="1">
      <c r="A260" s="1847" t="s">
        <v>1416</v>
      </c>
      <c r="B260" s="1851" t="s">
        <v>1235</v>
      </c>
      <c r="C260" s="1852">
        <v>0.15</v>
      </c>
      <c r="D260" s="1852">
        <v>0.15</v>
      </c>
      <c r="E260" s="1852">
        <v>0.15</v>
      </c>
      <c r="F260" s="1853">
        <v>0.14199999999999999</v>
      </c>
    </row>
    <row r="261" spans="1:6" ht="15" thickBot="1">
      <c r="A261" s="1847" t="s">
        <v>1416</v>
      </c>
      <c r="B261" s="1851" t="s">
        <v>1245</v>
      </c>
      <c r="C261" s="1852">
        <v>0.15</v>
      </c>
      <c r="D261" s="1852">
        <v>0.15</v>
      </c>
      <c r="E261" s="1852">
        <v>0.14899999999999999</v>
      </c>
      <c r="F261" s="1853">
        <v>0.14799999999999999</v>
      </c>
    </row>
    <row r="262" spans="1:6" ht="15" thickBot="1">
      <c r="A262" s="1847" t="s">
        <v>1416</v>
      </c>
      <c r="B262" s="1851" t="s">
        <v>1255</v>
      </c>
      <c r="C262" s="1852">
        <v>0.15</v>
      </c>
      <c r="D262" s="1852">
        <v>0.15</v>
      </c>
      <c r="E262" s="1852">
        <v>0.15</v>
      </c>
      <c r="F262" s="1860"/>
    </row>
    <row r="263" spans="1:6" ht="15" thickBot="1">
      <c r="A263" s="1847" t="s">
        <v>1416</v>
      </c>
      <c r="B263" s="1851" t="s">
        <v>2182</v>
      </c>
      <c r="C263" s="1852">
        <v>0.14899999999999999</v>
      </c>
      <c r="D263" s="1852">
        <v>0.14899999999999999</v>
      </c>
      <c r="E263" s="1852">
        <v>0.15</v>
      </c>
      <c r="F263" s="1853">
        <v>0.13</v>
      </c>
    </row>
    <row r="264" spans="1:6" ht="15" thickBot="1">
      <c r="A264" s="1847" t="s">
        <v>1416</v>
      </c>
      <c r="B264" s="1851" t="s">
        <v>1274</v>
      </c>
      <c r="C264" s="1852">
        <v>0.14799999999999999</v>
      </c>
      <c r="D264" s="1852">
        <v>0.14699999999999999</v>
      </c>
      <c r="E264" s="1852">
        <v>0.15</v>
      </c>
      <c r="F264" s="1853">
        <v>7.8E-2</v>
      </c>
    </row>
    <row r="265" spans="1:6" ht="15" thickBot="1">
      <c r="A265" s="1847" t="s">
        <v>1416</v>
      </c>
      <c r="B265" s="1851" t="s">
        <v>1283</v>
      </c>
      <c r="C265" s="1852">
        <v>0.15</v>
      </c>
      <c r="D265" s="1852">
        <v>0.15</v>
      </c>
      <c r="E265" s="1852">
        <v>0.15</v>
      </c>
      <c r="F265" s="1853">
        <v>7.3999999999999996E-2</v>
      </c>
    </row>
    <row r="266" spans="1:6" ht="15" thickBot="1">
      <c r="A266" s="1847" t="s">
        <v>1416</v>
      </c>
      <c r="B266" s="1851" t="s">
        <v>1291</v>
      </c>
      <c r="C266" s="1852">
        <v>0.14699999999999999</v>
      </c>
      <c r="D266" s="1852">
        <v>0.14699999999999999</v>
      </c>
      <c r="E266" s="1852">
        <v>0.15</v>
      </c>
      <c r="F266" s="1853">
        <v>0.14299999999999999</v>
      </c>
    </row>
    <row r="267" spans="1:6" ht="15" thickBot="1">
      <c r="A267" s="1847" t="s">
        <v>1416</v>
      </c>
      <c r="B267" s="1851" t="s">
        <v>1298</v>
      </c>
      <c r="C267" s="1852">
        <v>0.14199999999999999</v>
      </c>
      <c r="D267" s="1852">
        <v>0.14299999999999999</v>
      </c>
      <c r="E267" s="1852">
        <v>0.15</v>
      </c>
      <c r="F267" s="1860"/>
    </row>
    <row r="268" spans="1:6" ht="15" thickBot="1">
      <c r="A268" s="1847" t="s">
        <v>1416</v>
      </c>
      <c r="B268" s="1851" t="s">
        <v>2183</v>
      </c>
      <c r="C268" s="1852">
        <v>0.15</v>
      </c>
      <c r="D268" s="1852">
        <v>0.15</v>
      </c>
      <c r="E268" s="1852">
        <v>0.15</v>
      </c>
      <c r="F268" s="1853">
        <v>0.13</v>
      </c>
    </row>
    <row r="269" spans="1:6" ht="15" thickBot="1">
      <c r="A269" s="1847" t="s">
        <v>1416</v>
      </c>
      <c r="B269" s="1851" t="s">
        <v>1312</v>
      </c>
      <c r="C269" s="1852">
        <v>0.15</v>
      </c>
      <c r="D269" s="1852">
        <v>0.15</v>
      </c>
      <c r="E269" s="1852">
        <v>0.15</v>
      </c>
      <c r="F269" s="1853">
        <v>0.14299999999999999</v>
      </c>
    </row>
    <row r="270" spans="1:6" ht="15" thickBot="1">
      <c r="A270" s="1847" t="s">
        <v>1416</v>
      </c>
      <c r="B270" s="1851" t="s">
        <v>1319</v>
      </c>
      <c r="C270" s="1852">
        <v>0.14499999999999999</v>
      </c>
      <c r="D270" s="1852">
        <v>0.14499999999999999</v>
      </c>
      <c r="E270" s="1852">
        <v>0.15</v>
      </c>
      <c r="F270" s="1853">
        <v>0.14699999999999999</v>
      </c>
    </row>
    <row r="271" spans="1:6" ht="15" thickBot="1">
      <c r="A271" s="1847" t="s">
        <v>1416</v>
      </c>
      <c r="B271" s="1851" t="s">
        <v>1326</v>
      </c>
      <c r="C271" s="1852">
        <v>0.15</v>
      </c>
      <c r="D271" s="1852">
        <v>0.15</v>
      </c>
      <c r="E271" s="1852">
        <v>0.15</v>
      </c>
      <c r="F271" s="1853">
        <v>0.13800000000000001</v>
      </c>
    </row>
    <row r="272" spans="1:6" ht="15" thickBot="1">
      <c r="A272" s="1847" t="s">
        <v>1416</v>
      </c>
      <c r="B272" s="1851" t="s">
        <v>1333</v>
      </c>
      <c r="C272" s="1861"/>
      <c r="D272" s="1861"/>
      <c r="E272" s="1861"/>
      <c r="F272" s="1853">
        <v>0.14000000000000001</v>
      </c>
    </row>
    <row r="273" spans="1:6" ht="15" thickBot="1">
      <c r="A273" s="1847" t="s">
        <v>1416</v>
      </c>
      <c r="B273" s="1851" t="s">
        <v>2184</v>
      </c>
      <c r="C273" s="1852">
        <v>0.14199999999999999</v>
      </c>
      <c r="D273" s="1852">
        <v>0.14299999999999999</v>
      </c>
      <c r="E273" s="1852">
        <v>0.15</v>
      </c>
      <c r="F273" s="1853">
        <v>0.1</v>
      </c>
    </row>
    <row r="274" spans="1:6" ht="15" thickBot="1">
      <c r="A274" s="1847" t="s">
        <v>1416</v>
      </c>
      <c r="B274" s="1851" t="s">
        <v>2185</v>
      </c>
      <c r="C274" s="1852">
        <v>0.14799999999999999</v>
      </c>
      <c r="D274" s="1852">
        <v>0.14799999999999999</v>
      </c>
      <c r="E274" s="1852">
        <v>0.15</v>
      </c>
      <c r="F274" s="1853">
        <v>6.7000000000000004E-2</v>
      </c>
    </row>
    <row r="275" spans="1:6" ht="15" thickBot="1">
      <c r="A275" s="1847" t="s">
        <v>1416</v>
      </c>
      <c r="B275" s="1851" t="s">
        <v>2186</v>
      </c>
      <c r="C275" s="1852">
        <v>0.15</v>
      </c>
      <c r="D275" s="1852">
        <v>0.15</v>
      </c>
      <c r="E275" s="1852">
        <v>0.15</v>
      </c>
      <c r="F275" s="1853">
        <v>0.15</v>
      </c>
    </row>
    <row r="276" spans="1:6" ht="15" thickBot="1">
      <c r="A276" s="1847" t="s">
        <v>1416</v>
      </c>
      <c r="B276" s="1851" t="s">
        <v>2187</v>
      </c>
      <c r="C276" s="1852">
        <v>0.14499999999999999</v>
      </c>
      <c r="D276" s="1852">
        <v>0.14299999999999999</v>
      </c>
      <c r="E276" s="1852">
        <v>0.15</v>
      </c>
      <c r="F276" s="1853">
        <v>5.8999999999999997E-2</v>
      </c>
    </row>
    <row r="277" spans="1:6" ht="15" thickBot="1">
      <c r="A277" s="1847" t="s">
        <v>1416</v>
      </c>
      <c r="B277" s="1851" t="s">
        <v>2188</v>
      </c>
      <c r="C277" s="1852">
        <v>0.15</v>
      </c>
      <c r="D277" s="1852">
        <v>0.15</v>
      </c>
      <c r="E277" s="1852">
        <v>0.15</v>
      </c>
      <c r="F277" s="1853">
        <v>0.121</v>
      </c>
    </row>
    <row r="278" spans="1:6" ht="15" thickBot="1">
      <c r="A278" s="1847" t="s">
        <v>1416</v>
      </c>
      <c r="B278" s="1851" t="s">
        <v>2189</v>
      </c>
      <c r="C278" s="1852">
        <v>0.15</v>
      </c>
      <c r="D278" s="1852">
        <v>0.15</v>
      </c>
      <c r="E278" s="1852">
        <v>0.15</v>
      </c>
      <c r="F278" s="1853">
        <v>0.13800000000000001</v>
      </c>
    </row>
    <row r="279" spans="1:6" ht="24.6" thickBot="1">
      <c r="A279" s="1847" t="s">
        <v>1416</v>
      </c>
      <c r="B279" s="1851" t="s">
        <v>2190</v>
      </c>
      <c r="C279" s="1861"/>
      <c r="D279" s="1861"/>
      <c r="E279" s="1861"/>
      <c r="F279" s="1853">
        <v>0.05</v>
      </c>
    </row>
    <row r="280" spans="1:6" ht="24.6" thickBot="1">
      <c r="A280" s="1847" t="s">
        <v>1416</v>
      </c>
      <c r="B280" s="1851" t="s">
        <v>2191</v>
      </c>
      <c r="C280" s="1861"/>
      <c r="D280" s="1861"/>
      <c r="E280" s="1861"/>
      <c r="F280" s="1853">
        <v>0.05</v>
      </c>
    </row>
    <row r="281" spans="1:6" ht="24.6" thickBot="1">
      <c r="A281" s="1847" t="s">
        <v>1416</v>
      </c>
      <c r="B281" s="1851" t="s">
        <v>2192</v>
      </c>
      <c r="C281" s="1861"/>
      <c r="D281" s="1861"/>
      <c r="E281" s="1861"/>
      <c r="F281" s="1853">
        <v>0.05</v>
      </c>
    </row>
    <row r="282" spans="1:6" ht="24.6" thickBot="1">
      <c r="A282" s="1847" t="s">
        <v>1416</v>
      </c>
      <c r="B282" s="1851" t="s">
        <v>2193</v>
      </c>
      <c r="C282" s="1861"/>
      <c r="D282" s="1861"/>
      <c r="E282" s="1861"/>
      <c r="F282" s="1853">
        <v>0.05</v>
      </c>
    </row>
    <row r="283" spans="1:6" ht="24.6" thickBot="1">
      <c r="A283" s="1847" t="s">
        <v>1416</v>
      </c>
      <c r="B283" s="1851" t="s">
        <v>2194</v>
      </c>
      <c r="C283" s="1861"/>
      <c r="D283" s="1861"/>
      <c r="E283" s="1861"/>
      <c r="F283" s="1853">
        <v>0.05</v>
      </c>
    </row>
    <row r="284" spans="1:6" ht="24.6" thickBot="1">
      <c r="A284" s="1847" t="s">
        <v>1416</v>
      </c>
      <c r="B284" s="1851" t="s">
        <v>2195</v>
      </c>
      <c r="C284" s="1861"/>
      <c r="D284" s="1861"/>
      <c r="E284" s="1861"/>
      <c r="F284" s="1853">
        <v>0.05</v>
      </c>
    </row>
    <row r="285" spans="1:6" ht="24.6" thickBot="1">
      <c r="A285" s="1847" t="s">
        <v>1416</v>
      </c>
      <c r="B285" s="1851" t="s">
        <v>2196</v>
      </c>
      <c r="C285" s="1861"/>
      <c r="D285" s="1861"/>
      <c r="E285" s="1861"/>
      <c r="F285" s="1853">
        <v>0.05</v>
      </c>
    </row>
    <row r="286" spans="1:6" ht="24.6" thickBot="1">
      <c r="A286" s="1847" t="s">
        <v>1416</v>
      </c>
      <c r="B286" s="1851" t="s">
        <v>2197</v>
      </c>
      <c r="C286" s="1861"/>
      <c r="D286" s="1861"/>
      <c r="E286" s="1861"/>
      <c r="F286" s="1853">
        <v>0.05</v>
      </c>
    </row>
    <row r="287" spans="1:6" ht="24.6" thickBot="1">
      <c r="A287" s="1847" t="s">
        <v>1416</v>
      </c>
      <c r="B287" s="1851" t="s">
        <v>2198</v>
      </c>
      <c r="C287" s="1861"/>
      <c r="D287" s="1861"/>
      <c r="E287" s="1861"/>
      <c r="F287" s="1853">
        <v>0.05</v>
      </c>
    </row>
    <row r="288" spans="1:6" ht="24.6" thickBot="1">
      <c r="A288" s="1847" t="s">
        <v>1416</v>
      </c>
      <c r="B288" s="1851" t="s">
        <v>2199</v>
      </c>
      <c r="C288" s="1861"/>
      <c r="D288" s="1861"/>
      <c r="E288" s="1861"/>
      <c r="F288" s="1853">
        <v>0.05</v>
      </c>
    </row>
    <row r="289" spans="1:6" ht="24.6" thickBot="1">
      <c r="A289" s="1855" t="s">
        <v>1416</v>
      </c>
      <c r="B289" s="1862" t="s">
        <v>2200</v>
      </c>
      <c r="C289" s="1858"/>
      <c r="D289" s="1858"/>
      <c r="E289" s="1858"/>
      <c r="F289" s="1863">
        <v>0.05</v>
      </c>
    </row>
    <row r="290" spans="1:6" ht="15" thickBot="1">
      <c r="A290" s="1847" t="s">
        <v>1420</v>
      </c>
      <c r="B290" s="1848" t="s">
        <v>2201</v>
      </c>
      <c r="C290" s="1849">
        <v>0.15</v>
      </c>
      <c r="D290" s="1849">
        <v>0.15</v>
      </c>
      <c r="E290" s="1849">
        <v>0.15</v>
      </c>
      <c r="F290" s="1871"/>
    </row>
    <row r="291" spans="1:6" ht="15" thickBot="1">
      <c r="A291" s="1847" t="s">
        <v>1420</v>
      </c>
      <c r="B291" s="1851" t="s">
        <v>1080</v>
      </c>
      <c r="C291" s="1852">
        <v>0.15</v>
      </c>
      <c r="D291" s="1852">
        <v>0.15</v>
      </c>
      <c r="E291" s="1852">
        <v>0.15</v>
      </c>
      <c r="F291" s="1860"/>
    </row>
    <row r="292" spans="1:6" ht="15" thickBot="1">
      <c r="A292" s="1847" t="s">
        <v>1420</v>
      </c>
      <c r="B292" s="1851" t="s">
        <v>2202</v>
      </c>
      <c r="C292" s="1852">
        <v>0.15</v>
      </c>
      <c r="D292" s="1852">
        <v>0.15</v>
      </c>
      <c r="E292" s="1852">
        <v>0.15</v>
      </c>
      <c r="F292" s="1853">
        <v>0.14699999999999999</v>
      </c>
    </row>
    <row r="293" spans="1:6" ht="15" thickBot="1">
      <c r="A293" s="1847" t="s">
        <v>1420</v>
      </c>
      <c r="B293" s="1851" t="s">
        <v>2203</v>
      </c>
      <c r="C293" s="1861"/>
      <c r="D293" s="1861"/>
      <c r="E293" s="1861"/>
      <c r="F293" s="1853">
        <v>0.1</v>
      </c>
    </row>
    <row r="294" spans="1:6" ht="15" thickBot="1">
      <c r="A294" s="1847" t="s">
        <v>1420</v>
      </c>
      <c r="B294" s="1851" t="s">
        <v>2204</v>
      </c>
      <c r="C294" s="1852">
        <v>0.15</v>
      </c>
      <c r="D294" s="1852">
        <v>0.15</v>
      </c>
      <c r="E294" s="1852">
        <v>0.15</v>
      </c>
      <c r="F294" s="1853">
        <v>0.15</v>
      </c>
    </row>
    <row r="295" spans="1:6" ht="15" thickBot="1">
      <c r="A295" s="1847" t="s">
        <v>1420</v>
      </c>
      <c r="B295" s="1851" t="s">
        <v>1121</v>
      </c>
      <c r="C295" s="1852">
        <v>0.15</v>
      </c>
      <c r="D295" s="1852">
        <v>0.15</v>
      </c>
      <c r="E295" s="1852">
        <v>0.15</v>
      </c>
      <c r="F295" s="1853">
        <v>0.15</v>
      </c>
    </row>
    <row r="296" spans="1:6" ht="15" thickBot="1">
      <c r="A296" s="1847" t="s">
        <v>1420</v>
      </c>
      <c r="B296" s="1851" t="s">
        <v>2205</v>
      </c>
      <c r="C296" s="1852">
        <v>0.15</v>
      </c>
      <c r="D296" s="1852">
        <v>0.15</v>
      </c>
      <c r="E296" s="1852">
        <v>0.15</v>
      </c>
      <c r="F296" s="1853">
        <v>0.15</v>
      </c>
    </row>
    <row r="297" spans="1:6" ht="15" thickBot="1">
      <c r="A297" s="1847" t="s">
        <v>1420</v>
      </c>
      <c r="B297" s="1851" t="s">
        <v>2206</v>
      </c>
      <c r="C297" s="1852">
        <v>0.14799999999999999</v>
      </c>
      <c r="D297" s="1852">
        <v>0.14899999999999999</v>
      </c>
      <c r="E297" s="1852">
        <v>0.15</v>
      </c>
      <c r="F297" s="1853">
        <v>0.13700000000000001</v>
      </c>
    </row>
    <row r="298" spans="1:6" ht="15" thickBot="1">
      <c r="A298" s="1847" t="s">
        <v>1420</v>
      </c>
      <c r="B298" s="1851" t="s">
        <v>1154</v>
      </c>
      <c r="C298" s="1852">
        <v>0.13400000000000001</v>
      </c>
      <c r="D298" s="1852">
        <v>0.13400000000000001</v>
      </c>
      <c r="E298" s="1852">
        <v>0.14499999999999999</v>
      </c>
      <c r="F298" s="1853">
        <v>0.14799999999999999</v>
      </c>
    </row>
    <row r="299" spans="1:6" ht="15" thickBot="1">
      <c r="A299" s="1847" t="s">
        <v>1420</v>
      </c>
      <c r="B299" s="1851" t="s">
        <v>1166</v>
      </c>
      <c r="C299" s="1852">
        <v>0.15</v>
      </c>
      <c r="D299" s="1852">
        <v>0.15</v>
      </c>
      <c r="E299" s="1852">
        <v>0.15</v>
      </c>
      <c r="F299" s="1860"/>
    </row>
    <row r="300" spans="1:6" ht="15" thickBot="1">
      <c r="A300" s="1847" t="s">
        <v>1420</v>
      </c>
      <c r="B300" s="1851" t="s">
        <v>2207</v>
      </c>
      <c r="C300" s="1852">
        <v>0.15</v>
      </c>
      <c r="D300" s="1852">
        <v>0.15</v>
      </c>
      <c r="E300" s="1852">
        <v>0.15</v>
      </c>
      <c r="F300" s="1853">
        <v>0.15</v>
      </c>
    </row>
    <row r="301" spans="1:6" ht="15" thickBot="1">
      <c r="A301" s="1847" t="s">
        <v>1420</v>
      </c>
      <c r="B301" s="1851" t="s">
        <v>1186</v>
      </c>
      <c r="C301" s="1852">
        <v>0.15</v>
      </c>
      <c r="D301" s="1852">
        <v>0.15</v>
      </c>
      <c r="E301" s="1852">
        <v>0.15</v>
      </c>
      <c r="F301" s="1860"/>
    </row>
    <row r="302" spans="1:6" ht="15" thickBot="1">
      <c r="A302" s="1847" t="s">
        <v>1420</v>
      </c>
      <c r="B302" s="1851" t="s">
        <v>2208</v>
      </c>
      <c r="C302" s="1852">
        <v>0.15</v>
      </c>
      <c r="D302" s="1852">
        <v>0.15</v>
      </c>
      <c r="E302" s="1852">
        <v>0.15</v>
      </c>
      <c r="F302" s="1853">
        <v>0.15</v>
      </c>
    </row>
    <row r="303" spans="1:6" ht="15" thickBot="1">
      <c r="A303" s="1847" t="s">
        <v>1420</v>
      </c>
      <c r="B303" s="1851" t="s">
        <v>1206</v>
      </c>
      <c r="C303" s="1852">
        <v>0.15</v>
      </c>
      <c r="D303" s="1852">
        <v>0.15</v>
      </c>
      <c r="E303" s="1852">
        <v>0.15</v>
      </c>
      <c r="F303" s="1853">
        <v>0.15</v>
      </c>
    </row>
    <row r="304" spans="1:6" ht="15" thickBot="1">
      <c r="A304" s="1847" t="s">
        <v>1420</v>
      </c>
      <c r="B304" s="1851" t="s">
        <v>1216</v>
      </c>
      <c r="C304" s="1852">
        <v>0.15</v>
      </c>
      <c r="D304" s="1852">
        <v>0.15</v>
      </c>
      <c r="E304" s="1852">
        <v>0.15</v>
      </c>
      <c r="F304" s="1860"/>
    </row>
    <row r="305" spans="1:6" ht="15" thickBot="1">
      <c r="A305" s="1847" t="s">
        <v>1420</v>
      </c>
      <c r="B305" s="1851" t="s">
        <v>2209</v>
      </c>
      <c r="C305" s="1852">
        <v>0.15</v>
      </c>
      <c r="D305" s="1852">
        <v>0.15</v>
      </c>
      <c r="E305" s="1852">
        <v>0.15</v>
      </c>
      <c r="F305" s="1853">
        <v>0.14000000000000001</v>
      </c>
    </row>
    <row r="306" spans="1:6" ht="15" thickBot="1">
      <c r="A306" s="1847" t="s">
        <v>1420</v>
      </c>
      <c r="B306" s="1851" t="s">
        <v>1236</v>
      </c>
      <c r="C306" s="1852">
        <v>0.15</v>
      </c>
      <c r="D306" s="1852">
        <v>0.15</v>
      </c>
      <c r="E306" s="1852">
        <v>0.15</v>
      </c>
      <c r="F306" s="1860"/>
    </row>
    <row r="307" spans="1:6" ht="15" thickBot="1">
      <c r="A307" s="1847" t="s">
        <v>1420</v>
      </c>
      <c r="B307" s="1851" t="s">
        <v>2210</v>
      </c>
      <c r="C307" s="1852">
        <v>0.15</v>
      </c>
      <c r="D307" s="1852">
        <v>0.15</v>
      </c>
      <c r="E307" s="1852">
        <v>0.15</v>
      </c>
      <c r="F307" s="1853">
        <v>0.14299999999999999</v>
      </c>
    </row>
    <row r="308" spans="1:6" ht="15" thickBot="1">
      <c r="A308" s="1847" t="s">
        <v>1420</v>
      </c>
      <c r="B308" s="1851" t="s">
        <v>1256</v>
      </c>
      <c r="C308" s="1852">
        <v>0.15</v>
      </c>
      <c r="D308" s="1852">
        <v>0.15</v>
      </c>
      <c r="E308" s="1852">
        <v>0.15</v>
      </c>
      <c r="F308" s="1853">
        <v>0.15</v>
      </c>
    </row>
    <row r="309" spans="1:6" ht="15" thickBot="1">
      <c r="A309" s="1847" t="s">
        <v>1420</v>
      </c>
      <c r="B309" s="1851" t="s">
        <v>1266</v>
      </c>
      <c r="C309" s="1852">
        <v>0.15</v>
      </c>
      <c r="D309" s="1852">
        <v>0.15</v>
      </c>
      <c r="E309" s="1852">
        <v>0.15</v>
      </c>
      <c r="F309" s="1860"/>
    </row>
    <row r="310" spans="1:6" ht="15" thickBot="1">
      <c r="A310" s="1847" t="s">
        <v>1420</v>
      </c>
      <c r="B310" s="1851" t="s">
        <v>2211</v>
      </c>
      <c r="C310" s="1852">
        <v>0.15</v>
      </c>
      <c r="D310" s="1852">
        <v>0.15</v>
      </c>
      <c r="E310" s="1852">
        <v>0.15</v>
      </c>
      <c r="F310" s="1853">
        <v>0.13700000000000001</v>
      </c>
    </row>
    <row r="311" spans="1:6" ht="15" thickBot="1">
      <c r="A311" s="1847" t="s">
        <v>1420</v>
      </c>
      <c r="B311" s="1851" t="s">
        <v>2212</v>
      </c>
      <c r="C311" s="1852">
        <v>0.15</v>
      </c>
      <c r="D311" s="1852">
        <v>0.15</v>
      </c>
      <c r="E311" s="1852">
        <v>0.15</v>
      </c>
      <c r="F311" s="1853">
        <v>0.15</v>
      </c>
    </row>
    <row r="312" spans="1:6" ht="15" thickBot="1">
      <c r="A312" s="1847" t="s">
        <v>1420</v>
      </c>
      <c r="B312" s="1851" t="s">
        <v>1292</v>
      </c>
      <c r="C312" s="1852">
        <v>0.15</v>
      </c>
      <c r="D312" s="1852">
        <v>0.15</v>
      </c>
      <c r="E312" s="1852">
        <v>0.15</v>
      </c>
      <c r="F312" s="1853">
        <v>0.1</v>
      </c>
    </row>
    <row r="313" spans="1:6" ht="15" thickBot="1">
      <c r="A313" s="1847" t="s">
        <v>1420</v>
      </c>
      <c r="B313" s="1851" t="s">
        <v>2213</v>
      </c>
      <c r="C313" s="1852">
        <v>0.15</v>
      </c>
      <c r="D313" s="1852">
        <v>0.15</v>
      </c>
      <c r="E313" s="1852">
        <v>0.15</v>
      </c>
      <c r="F313" s="1853">
        <v>0.15</v>
      </c>
    </row>
    <row r="314" spans="1:6" ht="24.6" thickBot="1">
      <c r="A314" s="1847" t="s">
        <v>1420</v>
      </c>
      <c r="B314" s="1851" t="s">
        <v>2214</v>
      </c>
      <c r="C314" s="1861"/>
      <c r="D314" s="1861"/>
      <c r="E314" s="1861"/>
      <c r="F314" s="1853">
        <v>0.05</v>
      </c>
    </row>
    <row r="315" spans="1:6" ht="24.6" thickBot="1">
      <c r="A315" s="1847" t="s">
        <v>1420</v>
      </c>
      <c r="B315" s="1851" t="s">
        <v>2215</v>
      </c>
      <c r="C315" s="1861"/>
      <c r="D315" s="1861"/>
      <c r="E315" s="1861"/>
      <c r="F315" s="1853">
        <v>0.05</v>
      </c>
    </row>
    <row r="316" spans="1:6" ht="24.6" thickBot="1">
      <c r="A316" s="1855" t="s">
        <v>1420</v>
      </c>
      <c r="B316" s="1862" t="s">
        <v>2216</v>
      </c>
      <c r="C316" s="1858"/>
      <c r="D316" s="1858"/>
      <c r="E316" s="1858"/>
      <c r="F316" s="1863">
        <v>0.05</v>
      </c>
    </row>
    <row r="317" spans="1:6" ht="15" thickBot="1">
      <c r="A317" s="1847" t="s">
        <v>2217</v>
      </c>
      <c r="B317" s="1848" t="s">
        <v>2218</v>
      </c>
      <c r="C317" s="1849">
        <v>0.15</v>
      </c>
      <c r="D317" s="1849">
        <v>0.15</v>
      </c>
      <c r="E317" s="1849">
        <v>0.15</v>
      </c>
      <c r="F317" s="1850">
        <v>0.15</v>
      </c>
    </row>
    <row r="318" spans="1:6" ht="15" thickBot="1">
      <c r="A318" s="1847" t="s">
        <v>2217</v>
      </c>
      <c r="B318" s="1851" t="s">
        <v>2219</v>
      </c>
      <c r="C318" s="1852">
        <v>0.107</v>
      </c>
      <c r="D318" s="1852">
        <v>0.11</v>
      </c>
      <c r="E318" s="1852">
        <v>0.112</v>
      </c>
      <c r="F318" s="1860"/>
    </row>
    <row r="319" spans="1:6" ht="15" thickBot="1">
      <c r="A319" s="1847" t="s">
        <v>2217</v>
      </c>
      <c r="B319" s="1851" t="s">
        <v>2220</v>
      </c>
      <c r="C319" s="1852">
        <v>0.15</v>
      </c>
      <c r="D319" s="1852">
        <v>0.15</v>
      </c>
      <c r="E319" s="1852">
        <v>0.15</v>
      </c>
      <c r="F319" s="1853">
        <v>0.15</v>
      </c>
    </row>
    <row r="320" spans="1:6" ht="15" thickBot="1">
      <c r="A320" s="1847" t="s">
        <v>2217</v>
      </c>
      <c r="B320" s="1851" t="s">
        <v>1108</v>
      </c>
      <c r="C320" s="1852">
        <v>0.15</v>
      </c>
      <c r="D320" s="1852">
        <v>0.15</v>
      </c>
      <c r="E320" s="1852">
        <v>0.15</v>
      </c>
      <c r="F320" s="1860"/>
    </row>
    <row r="321" spans="1:6" ht="15" thickBot="1">
      <c r="A321" s="1847" t="s">
        <v>2217</v>
      </c>
      <c r="B321" s="1851" t="s">
        <v>2221</v>
      </c>
      <c r="C321" s="1852">
        <v>0.15</v>
      </c>
      <c r="D321" s="1852">
        <v>0.15</v>
      </c>
      <c r="E321" s="1852">
        <v>0.15</v>
      </c>
      <c r="F321" s="1860"/>
    </row>
    <row r="322" spans="1:6" ht="15" thickBot="1">
      <c r="A322" s="1847" t="s">
        <v>2217</v>
      </c>
      <c r="B322" s="1851" t="s">
        <v>2222</v>
      </c>
      <c r="C322" s="1852">
        <v>0.15</v>
      </c>
      <c r="D322" s="1852">
        <v>0.15</v>
      </c>
      <c r="E322" s="1852">
        <v>0.15</v>
      </c>
      <c r="F322" s="1853">
        <v>0.15</v>
      </c>
    </row>
    <row r="323" spans="1:6" ht="15" thickBot="1">
      <c r="A323" s="1847" t="s">
        <v>2217</v>
      </c>
      <c r="B323" s="1851" t="s">
        <v>2223</v>
      </c>
      <c r="C323" s="1852">
        <v>0.15</v>
      </c>
      <c r="D323" s="1852">
        <v>0.15</v>
      </c>
      <c r="E323" s="1852">
        <v>0.15</v>
      </c>
      <c r="F323" s="1860"/>
    </row>
    <row r="324" spans="1:6" ht="15" thickBot="1">
      <c r="A324" s="1847" t="s">
        <v>2217</v>
      </c>
      <c r="B324" s="1851" t="s">
        <v>2224</v>
      </c>
      <c r="C324" s="1852">
        <v>0.15</v>
      </c>
      <c r="D324" s="1852">
        <v>0.15</v>
      </c>
      <c r="E324" s="1852">
        <v>0.15</v>
      </c>
      <c r="F324" s="1860"/>
    </row>
    <row r="325" spans="1:6" ht="15" thickBot="1">
      <c r="A325" s="1847" t="s">
        <v>2217</v>
      </c>
      <c r="B325" s="1851" t="s">
        <v>2225</v>
      </c>
      <c r="C325" s="1852">
        <v>0.15</v>
      </c>
      <c r="D325" s="1852">
        <v>0.15</v>
      </c>
      <c r="E325" s="1852">
        <v>0.15</v>
      </c>
      <c r="F325" s="1853">
        <v>0.14699999999999999</v>
      </c>
    </row>
    <row r="326" spans="1:6" ht="15" thickBot="1">
      <c r="A326" s="1847" t="s">
        <v>2217</v>
      </c>
      <c r="B326" s="1851" t="s">
        <v>1177</v>
      </c>
      <c r="C326" s="1852">
        <v>0.15</v>
      </c>
      <c r="D326" s="1852">
        <v>0.15</v>
      </c>
      <c r="E326" s="1852">
        <v>0.15</v>
      </c>
      <c r="F326" s="1860"/>
    </row>
    <row r="327" spans="1:6" ht="15" thickBot="1">
      <c r="A327" s="1847" t="s">
        <v>2217</v>
      </c>
      <c r="B327" s="1851" t="s">
        <v>2226</v>
      </c>
      <c r="C327" s="1852">
        <v>0.15</v>
      </c>
      <c r="D327" s="1852">
        <v>0.15</v>
      </c>
      <c r="E327" s="1852">
        <v>0.15</v>
      </c>
      <c r="F327" s="1853">
        <v>0.15</v>
      </c>
    </row>
    <row r="328" spans="1:6" ht="15" thickBot="1">
      <c r="A328" s="1847" t="s">
        <v>2217</v>
      </c>
      <c r="B328" s="1851" t="s">
        <v>1197</v>
      </c>
      <c r="C328" s="1852">
        <v>0.15</v>
      </c>
      <c r="D328" s="1852">
        <v>0.15</v>
      </c>
      <c r="E328" s="1852">
        <v>0.15</v>
      </c>
      <c r="F328" s="1853">
        <v>0.14099999999999999</v>
      </c>
    </row>
    <row r="329" spans="1:6" ht="15" thickBot="1">
      <c r="A329" s="1847" t="s">
        <v>2217</v>
      </c>
      <c r="B329" s="1851" t="s">
        <v>1207</v>
      </c>
      <c r="C329" s="1852">
        <v>0.15</v>
      </c>
      <c r="D329" s="1852">
        <v>0.15</v>
      </c>
      <c r="E329" s="1852">
        <v>0.15</v>
      </c>
      <c r="F329" s="1853">
        <v>0.15</v>
      </c>
    </row>
    <row r="330" spans="1:6" ht="15" thickBot="1">
      <c r="A330" s="1847" t="s">
        <v>2217</v>
      </c>
      <c r="B330" s="1851" t="s">
        <v>1217</v>
      </c>
      <c r="C330" s="1852">
        <v>0.15</v>
      </c>
      <c r="D330" s="1852">
        <v>0.15</v>
      </c>
      <c r="E330" s="1852">
        <v>0.15</v>
      </c>
      <c r="F330" s="1860"/>
    </row>
    <row r="331" spans="1:6" ht="15" thickBot="1">
      <c r="A331" s="1847" t="s">
        <v>2217</v>
      </c>
      <c r="B331" s="1851" t="s">
        <v>2227</v>
      </c>
      <c r="C331" s="1852">
        <v>0.15</v>
      </c>
      <c r="D331" s="1852">
        <v>0.15</v>
      </c>
      <c r="E331" s="1852">
        <v>0.15</v>
      </c>
      <c r="F331" s="1853">
        <v>0.15</v>
      </c>
    </row>
    <row r="332" spans="1:6" ht="15" thickBot="1">
      <c r="A332" s="1847" t="s">
        <v>2217</v>
      </c>
      <c r="B332" s="1851" t="s">
        <v>1237</v>
      </c>
      <c r="C332" s="1852">
        <v>0.15</v>
      </c>
      <c r="D332" s="1852">
        <v>0.15</v>
      </c>
      <c r="E332" s="1852">
        <v>0.15</v>
      </c>
      <c r="F332" s="1853">
        <v>0.15</v>
      </c>
    </row>
    <row r="333" spans="1:6" ht="15" thickBot="1">
      <c r="A333" s="1847" t="s">
        <v>2217</v>
      </c>
      <c r="B333" s="1851" t="s">
        <v>2228</v>
      </c>
      <c r="C333" s="1852">
        <v>0.15</v>
      </c>
      <c r="D333" s="1852">
        <v>0.15</v>
      </c>
      <c r="E333" s="1852">
        <v>0.15</v>
      </c>
      <c r="F333" s="1853">
        <v>0.14099999999999999</v>
      </c>
    </row>
    <row r="334" spans="1:6" ht="15" thickBot="1">
      <c r="A334" s="1847" t="s">
        <v>2217</v>
      </c>
      <c r="B334" s="1851" t="s">
        <v>1257</v>
      </c>
      <c r="C334" s="1852">
        <v>0.15</v>
      </c>
      <c r="D334" s="1852">
        <v>0.15</v>
      </c>
      <c r="E334" s="1852">
        <v>0.15</v>
      </c>
      <c r="F334" s="1853">
        <v>0.15</v>
      </c>
    </row>
    <row r="335" spans="1:6" ht="15" thickBot="1">
      <c r="A335" s="1847" t="s">
        <v>2217</v>
      </c>
      <c r="B335" s="1851" t="s">
        <v>1267</v>
      </c>
      <c r="C335" s="1852">
        <v>0.15</v>
      </c>
      <c r="D335" s="1852">
        <v>0.15</v>
      </c>
      <c r="E335" s="1852">
        <v>0.15</v>
      </c>
      <c r="F335" s="1860"/>
    </row>
    <row r="336" spans="1:6" ht="15" thickBot="1">
      <c r="A336" s="1847" t="s">
        <v>2217</v>
      </c>
      <c r="B336" s="1851" t="s">
        <v>2229</v>
      </c>
      <c r="C336" s="1852">
        <v>0.15</v>
      </c>
      <c r="D336" s="1852">
        <v>0.15</v>
      </c>
      <c r="E336" s="1852">
        <v>0.15</v>
      </c>
      <c r="F336" s="1853">
        <v>0.11799999999999999</v>
      </c>
    </row>
    <row r="337" spans="1:6" ht="15" thickBot="1">
      <c r="A337" s="1855" t="s">
        <v>2217</v>
      </c>
      <c r="B337" s="1862" t="s">
        <v>1285</v>
      </c>
      <c r="C337" s="1858"/>
      <c r="D337" s="1858"/>
      <c r="E337" s="1858"/>
      <c r="F337" s="1863">
        <v>0.14299999999999999</v>
      </c>
    </row>
    <row r="338" spans="1:6" ht="15" thickBot="1">
      <c r="A338" s="1847" t="s">
        <v>2230</v>
      </c>
      <c r="B338" s="1848" t="s">
        <v>2231</v>
      </c>
      <c r="C338" s="1849">
        <v>0.15</v>
      </c>
      <c r="D338" s="1849">
        <v>0.15</v>
      </c>
      <c r="E338" s="1849">
        <v>0.15</v>
      </c>
      <c r="F338" s="1871"/>
    </row>
    <row r="339" spans="1:6" ht="15" thickBot="1">
      <c r="A339" s="1847" t="s">
        <v>2230</v>
      </c>
      <c r="B339" s="1851" t="s">
        <v>2232</v>
      </c>
      <c r="C339" s="1852">
        <v>0.15</v>
      </c>
      <c r="D339" s="1852">
        <v>0.15</v>
      </c>
      <c r="E339" s="1852">
        <v>0.15</v>
      </c>
      <c r="F339" s="1860"/>
    </row>
    <row r="340" spans="1:6" ht="15" thickBot="1">
      <c r="A340" s="1847" t="s">
        <v>2230</v>
      </c>
      <c r="B340" s="1851" t="s">
        <v>2233</v>
      </c>
      <c r="C340" s="1852">
        <v>0.15</v>
      </c>
      <c r="D340" s="1852">
        <v>0.15</v>
      </c>
      <c r="E340" s="1852">
        <v>0.15</v>
      </c>
      <c r="F340" s="1860"/>
    </row>
    <row r="341" spans="1:6" ht="15" thickBot="1">
      <c r="A341" s="1847" t="s">
        <v>2234</v>
      </c>
      <c r="B341" s="1851" t="s">
        <v>2235</v>
      </c>
      <c r="C341" s="1852">
        <v>0.15</v>
      </c>
      <c r="D341" s="1852">
        <v>0.15</v>
      </c>
      <c r="E341" s="1852">
        <v>0.15</v>
      </c>
      <c r="F341" s="1853">
        <v>0.15</v>
      </c>
    </row>
    <row r="342" spans="1:6" ht="15" thickBot="1">
      <c r="A342" s="1847" t="s">
        <v>2230</v>
      </c>
      <c r="B342" s="1851" t="s">
        <v>2236</v>
      </c>
      <c r="C342" s="1852">
        <v>0.15</v>
      </c>
      <c r="D342" s="1852">
        <v>0.15</v>
      </c>
      <c r="E342" s="1852">
        <v>0.15</v>
      </c>
      <c r="F342" s="1853">
        <v>0.15</v>
      </c>
    </row>
    <row r="343" spans="1:6" ht="15" thickBot="1">
      <c r="A343" s="1847" t="s">
        <v>2230</v>
      </c>
      <c r="B343" s="1851" t="s">
        <v>2237</v>
      </c>
      <c r="C343" s="1852">
        <v>0.15</v>
      </c>
      <c r="D343" s="1852">
        <v>0.15</v>
      </c>
      <c r="E343" s="1852">
        <v>0.15</v>
      </c>
      <c r="F343" s="1853">
        <v>0.15</v>
      </c>
    </row>
    <row r="344" spans="1:6" ht="1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4.4"/>
  <cols>
    <col min="1" max="1" width="3.44140625" style="1647" customWidth="1"/>
    <col min="2" max="2" width="10.77734375" style="1647" customWidth="1"/>
    <col min="3" max="4" width="11.6640625" style="1647" customWidth="1"/>
    <col min="5" max="5" width="6.6640625" style="1647" customWidth="1"/>
    <col min="6" max="16384" width="9" style="1647"/>
  </cols>
  <sheetData>
    <row r="36" spans="1:9">
      <c r="A36" s="1646" t="s">
        <v>1900</v>
      </c>
      <c r="B36" s="1646" t="s">
        <v>1901</v>
      </c>
    </row>
    <row r="37" spans="1:9" ht="28.5" customHeight="1">
      <c r="A37" s="1646"/>
      <c r="B37" s="3589" t="str">
        <f>项目基本情况!B1</f>
        <v>出让国有建设用地使用权抵押价格预评估</v>
      </c>
      <c r="C37" s="3589"/>
      <c r="D37" s="3589"/>
      <c r="E37" s="3589"/>
      <c r="F37" s="3589"/>
      <c r="G37" s="3589"/>
      <c r="H37" s="3589"/>
      <c r="I37" s="3589"/>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0" t="s">
        <v>2952</v>
      </c>
      <c r="B1" s="3122"/>
      <c r="C1" s="3122"/>
      <c r="D1" s="3122"/>
      <c r="E1" s="3122"/>
      <c r="F1" s="3122"/>
    </row>
    <row r="2" spans="1:6" ht="15.6">
      <c r="A2" s="3123" t="s">
        <v>2946</v>
      </c>
      <c r="B2" s="3124" t="e">
        <f ca="1">SUMIF(B7:B14,"&lt;&gt;#ref!",B7:B14)</f>
        <v>#DIV/0!</v>
      </c>
      <c r="C2" s="3123" t="s">
        <v>2947</v>
      </c>
      <c r="D2" s="3122"/>
      <c r="E2" s="3122"/>
      <c r="F2" s="3122"/>
    </row>
    <row r="3" spans="1:6" ht="15.6">
      <c r="A3" s="3123" t="s">
        <v>2949</v>
      </c>
      <c r="B3" s="3124" t="e">
        <f ca="1">ROUND(B2*10000/E3,0)</f>
        <v>#DIV/0!</v>
      </c>
      <c r="C3" s="3123" t="s">
        <v>2079</v>
      </c>
      <c r="D3" s="3123" t="s">
        <v>2948</v>
      </c>
      <c r="E3" s="3124" t="e">
        <f ca="1">SUM(E7:E14)</f>
        <v>#REF!</v>
      </c>
      <c r="F3" s="3122"/>
    </row>
    <row r="4" spans="1:6" ht="15.6">
      <c r="A4" s="3123" t="s">
        <v>2956</v>
      </c>
      <c r="B4" s="3124" t="e">
        <f ca="1">ROUND(B2*10000/E4,0)</f>
        <v>#DIV/0!</v>
      </c>
      <c r="C4" s="3123" t="s">
        <v>2079</v>
      </c>
      <c r="D4" s="3123" t="s">
        <v>2957</v>
      </c>
      <c r="E4" s="3124" t="e">
        <f ca="1">SUM(F7:F14)</f>
        <v>#REF!</v>
      </c>
      <c r="F4" s="3122"/>
    </row>
    <row r="5" spans="1:6" ht="15.6">
      <c r="A5" s="3125"/>
      <c r="B5" s="1873"/>
      <c r="C5" s="1873"/>
      <c r="D5" s="1873"/>
      <c r="E5" s="1873"/>
      <c r="F5" s="3122"/>
    </row>
    <row r="6" spans="1:6" ht="31.2">
      <c r="A6" s="3126" t="s">
        <v>2953</v>
      </c>
      <c r="B6" s="3123" t="s">
        <v>2950</v>
      </c>
      <c r="C6" s="3124"/>
      <c r="D6" s="1873"/>
      <c r="E6" s="3123" t="s">
        <v>2951</v>
      </c>
      <c r="F6" s="3123" t="s">
        <v>2955</v>
      </c>
    </row>
    <row r="7" spans="1:6" ht="15.6">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5.6">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5.6">
      <c r="A9" s="258"/>
      <c r="B9" s="3127" t="e">
        <f t="shared" ca="1" si="0"/>
        <v>#REF!</v>
      </c>
      <c r="C9" s="3123" t="s">
        <v>2947</v>
      </c>
      <c r="D9" s="1873"/>
      <c r="E9" s="3128" t="e">
        <f t="shared" ca="1" si="1"/>
        <v>#REF!</v>
      </c>
      <c r="F9" s="3128" t="e">
        <f t="shared" ca="1" si="2"/>
        <v>#REF!</v>
      </c>
    </row>
    <row r="10" spans="1:6" ht="15.6">
      <c r="A10" s="258"/>
      <c r="B10" s="3127" t="e">
        <f t="shared" ca="1" si="0"/>
        <v>#REF!</v>
      </c>
      <c r="C10" s="3123" t="s">
        <v>2947</v>
      </c>
      <c r="D10" s="1873"/>
      <c r="E10" s="3128" t="e">
        <f t="shared" ca="1" si="1"/>
        <v>#REF!</v>
      </c>
      <c r="F10" s="3128" t="e">
        <f t="shared" ca="1" si="2"/>
        <v>#REF!</v>
      </c>
    </row>
    <row r="11" spans="1:6" ht="15.6">
      <c r="A11" s="258"/>
      <c r="B11" s="3127" t="e">
        <f t="shared" ca="1" si="0"/>
        <v>#REF!</v>
      </c>
      <c r="C11" s="3123" t="s">
        <v>2947</v>
      </c>
      <c r="D11" s="1873"/>
      <c r="E11" s="3128" t="e">
        <f t="shared" ca="1" si="1"/>
        <v>#REF!</v>
      </c>
      <c r="F11" s="3128" t="e">
        <f t="shared" ca="1" si="2"/>
        <v>#REF!</v>
      </c>
    </row>
    <row r="12" spans="1:6" ht="15.6">
      <c r="A12" s="258"/>
      <c r="B12" s="3127" t="e">
        <f t="shared" ca="1" si="0"/>
        <v>#REF!</v>
      </c>
      <c r="C12" s="3123" t="s">
        <v>2947</v>
      </c>
      <c r="D12" s="1873"/>
      <c r="E12" s="3128" t="e">
        <f t="shared" ca="1" si="1"/>
        <v>#REF!</v>
      </c>
      <c r="F12" s="3128" t="e">
        <f t="shared" ca="1" si="2"/>
        <v>#REF!</v>
      </c>
    </row>
    <row r="13" spans="1:6" ht="15.6">
      <c r="A13" s="258"/>
      <c r="B13" s="3127" t="e">
        <f t="shared" ca="1" si="0"/>
        <v>#REF!</v>
      </c>
      <c r="C13" s="3123" t="s">
        <v>2947</v>
      </c>
      <c r="D13" s="1873"/>
      <c r="E13" s="3128" t="e">
        <f t="shared" ca="1" si="1"/>
        <v>#REF!</v>
      </c>
      <c r="F13" s="3128" t="e">
        <f t="shared" ca="1" si="2"/>
        <v>#REF!</v>
      </c>
    </row>
    <row r="14" spans="1:6" ht="15.6">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ColWidth="9" defaultRowHeight="15"/>
  <cols>
    <col min="1" max="1" width="9" style="2090" customWidth="1"/>
    <col min="2" max="2" width="20.6640625" style="2091" customWidth="1"/>
    <col min="3" max="3" width="11.88671875" style="2091" customWidth="1"/>
    <col min="4" max="4" width="40.44140625" style="2052" customWidth="1"/>
    <col min="5" max="5" width="15.77734375" style="2052" customWidth="1"/>
    <col min="6" max="6" width="10.6640625" style="2052" customWidth="1"/>
    <col min="7" max="7" width="4.88671875" style="2052" customWidth="1"/>
    <col min="8" max="8" width="8.44140625" style="2052" customWidth="1"/>
    <col min="9" max="9" width="21.21875" style="2052" customWidth="1"/>
    <col min="10" max="10" width="12.21875" style="2052" customWidth="1"/>
    <col min="11" max="11" width="40.109375" style="2092" customWidth="1"/>
    <col min="12" max="12" width="18.33203125" style="2052" customWidth="1"/>
    <col min="13" max="13" width="13" style="2052" customWidth="1"/>
    <col min="14" max="14" width="9.44140625" style="2051" bestFit="1" customWidth="1"/>
    <col min="15" max="15" width="8.33203125" style="2051" customWidth="1"/>
    <col min="16" max="16" width="30.21875" style="2051" customWidth="1"/>
    <col min="17" max="17" width="13.77734375" style="2051" customWidth="1"/>
    <col min="18" max="18" width="22.21875" style="2051" customWidth="1"/>
    <col min="19" max="19" width="1.44140625" style="2051" customWidth="1"/>
    <col min="20" max="25" width="9" style="2051"/>
    <col min="26" max="16384" width="9" style="2052"/>
  </cols>
  <sheetData>
    <row r="1" spans="1:25" s="2046" customFormat="1" ht="21.6">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38" t="s">
        <v>2466</v>
      </c>
      <c r="C8" s="1818">
        <f ca="1">ROUND(F8*F10*F9*(1-F11)/10000,0)</f>
        <v>0</v>
      </c>
      <c r="D8" s="1815" t="s">
        <v>2538</v>
      </c>
      <c r="E8" s="61" t="s">
        <v>638</v>
      </c>
      <c r="F8" s="782">
        <f ca="1">INDIRECT("'数据-取费表'!u"&amp;$G$1)</f>
        <v>0</v>
      </c>
      <c r="G8" s="1584"/>
      <c r="H8" s="2520" t="s">
        <v>1823</v>
      </c>
      <c r="I8" s="3838" t="s">
        <v>2466</v>
      </c>
      <c r="J8" s="780">
        <f ca="1">ROUND(M8*M10*M9*(1-M11)/10000,0)</f>
        <v>0</v>
      </c>
      <c r="K8" s="339" t="s">
        <v>2538</v>
      </c>
      <c r="L8" s="781" t="s">
        <v>1737</v>
      </c>
      <c r="M8" s="782">
        <f ca="1">INDIRECT("'数据-取费表'!z"&amp;$G$1)</f>
        <v>0</v>
      </c>
    </row>
    <row r="9" spans="1:25" ht="18" customHeight="1">
      <c r="A9" s="2516"/>
      <c r="B9" s="3839"/>
      <c r="C9" s="1819"/>
      <c r="D9" s="1816"/>
      <c r="E9" s="61" t="s">
        <v>639</v>
      </c>
      <c r="F9" s="782">
        <f ca="1">IF(INDIRECT("'数据-取费表'!ah"&amp;$G$1)="",INDIRECT("'数据-取费表'!k"&amp;$G$1),INDIRECT("'数据-取费表'!ah"&amp;$G$1))</f>
        <v>273359</v>
      </c>
      <c r="G9" s="1584"/>
      <c r="H9" s="2505"/>
      <c r="I9" s="3839"/>
      <c r="J9" s="785"/>
      <c r="K9" s="786"/>
      <c r="L9" s="781" t="s">
        <v>1738</v>
      </c>
      <c r="M9" s="782">
        <f ca="1">F9</f>
        <v>273359</v>
      </c>
    </row>
    <row r="10" spans="1:25" ht="18" customHeight="1">
      <c r="A10" s="2509"/>
      <c r="B10" s="3840"/>
      <c r="C10" s="1819"/>
      <c r="D10" s="1816"/>
      <c r="E10" s="61" t="s">
        <v>640</v>
      </c>
      <c r="F10" s="782">
        <f ca="1">INDIRECT("'数据-取费表'!ai"&amp;$G$1)</f>
        <v>0</v>
      </c>
      <c r="G10" s="1584"/>
      <c r="H10" s="2505"/>
      <c r="I10" s="3840"/>
      <c r="J10" s="785"/>
      <c r="K10" s="786"/>
      <c r="L10" s="781" t="s">
        <v>1739</v>
      </c>
      <c r="M10" s="782">
        <f ca="1">INDIRECT("'数据-取费表'!ai"&amp;$G$1)</f>
        <v>0</v>
      </c>
    </row>
    <row r="11" spans="1:25" ht="18" customHeight="1">
      <c r="A11" s="783"/>
      <c r="B11" s="3841"/>
      <c r="C11" s="1819"/>
      <c r="D11" s="1816"/>
      <c r="E11" s="61" t="s">
        <v>641</v>
      </c>
      <c r="F11" s="791">
        <f ca="1">INDIRECT("'数据-取费表'!w"&amp;$G$1)</f>
        <v>0</v>
      </c>
      <c r="G11" s="1584"/>
      <c r="H11" s="2521"/>
      <c r="I11" s="3840"/>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3295</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130861</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84830</v>
      </c>
      <c r="D16" s="1971" t="s">
        <v>647</v>
      </c>
      <c r="E16" s="1972"/>
      <c r="F16" s="802"/>
      <c r="G16" s="1584"/>
      <c r="H16" s="800" t="s">
        <v>2070</v>
      </c>
      <c r="I16" s="2223" t="s">
        <v>2829</v>
      </c>
      <c r="J16" s="53">
        <f ca="1">C31</f>
        <v>130861</v>
      </c>
      <c r="K16" s="26"/>
      <c r="L16" s="798"/>
      <c r="M16" s="799"/>
    </row>
    <row r="17" spans="1:25" s="2056" customFormat="1" ht="18" customHeight="1">
      <c r="A17" s="800" t="s">
        <v>1848</v>
      </c>
      <c r="B17" s="781" t="s">
        <v>648</v>
      </c>
      <c r="C17" s="53">
        <f ca="1">ROUND(C16*F17,0)</f>
        <v>2545</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1161</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1161</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1272</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92917</v>
      </c>
      <c r="D21" s="259" t="s">
        <v>664</v>
      </c>
      <c r="E21" s="1974"/>
      <c r="F21" s="56"/>
      <c r="G21" s="1584"/>
      <c r="H21" s="1823" t="s">
        <v>1848</v>
      </c>
      <c r="I21" s="781" t="s">
        <v>665</v>
      </c>
      <c r="J21" s="53">
        <f ca="1">IF(K21="按租金收入计税",ROUND(J7*M21,1),ROUND(C31*F35*0.7,1))</f>
        <v>1099.2</v>
      </c>
      <c r="K21" s="808" t="s">
        <v>666</v>
      </c>
      <c r="L21" s="781" t="s">
        <v>650</v>
      </c>
      <c r="M21" s="806">
        <f>IF(K21="按租金收入计税",'数据-取费表'!B51,'数据-取费表'!B50)</f>
        <v>1.2E-2</v>
      </c>
    </row>
    <row r="22" spans="1:25" s="2056" customFormat="1" ht="18" customHeight="1">
      <c r="A22" s="800" t="s">
        <v>1876</v>
      </c>
      <c r="B22" s="781" t="s">
        <v>667</v>
      </c>
      <c r="C22" s="53">
        <f ca="1">ROUND(C21*F22,0)</f>
        <v>1858</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6832</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-1161</v>
      </c>
      <c r="K27" s="1971" t="s">
        <v>701</v>
      </c>
      <c r="L27" s="1973"/>
      <c r="M27" s="817"/>
    </row>
    <row r="28" spans="1:25" ht="18" customHeight="1">
      <c r="A28" s="800" t="s">
        <v>1874</v>
      </c>
      <c r="B28" s="781" t="s">
        <v>2440</v>
      </c>
      <c r="C28" s="53">
        <f ca="1">ROUND((C21+C22)*F28,0)</f>
        <v>18955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130861</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1161</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1161.3</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1099.2</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37"/>
      <c r="J36" s="2071"/>
      <c r="K36" s="2072"/>
      <c r="L36" s="2071"/>
      <c r="M36" s="2071"/>
    </row>
    <row r="37" spans="1:18" ht="18" customHeight="1">
      <c r="A37" s="812"/>
      <c r="B37" s="790"/>
      <c r="C37" s="69"/>
      <c r="D37" s="813"/>
      <c r="E37" s="781" t="s">
        <v>675</v>
      </c>
      <c r="F37" s="782">
        <f ca="1">INDIRECT("'数据-取费表'!r"&amp;$G$1)</f>
        <v>44323.45</v>
      </c>
      <c r="G37" s="2054"/>
      <c r="H37" s="2057"/>
      <c r="I37" s="3837"/>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-1161</v>
      </c>
      <c r="D42" s="1971" t="s">
        <v>695</v>
      </c>
      <c r="E42" s="1973"/>
      <c r="F42" s="817"/>
      <c r="G42" s="2054"/>
      <c r="H42" s="2054"/>
      <c r="I42" s="2054"/>
      <c r="J42" s="2054"/>
      <c r="K42" s="2075"/>
      <c r="L42" s="2054"/>
      <c r="M42" s="2054"/>
    </row>
    <row r="43" spans="1:18" ht="18" customHeight="1">
      <c r="A43" s="800" t="s">
        <v>1876</v>
      </c>
      <c r="B43" s="832" t="s">
        <v>712</v>
      </c>
      <c r="C43" s="833">
        <f ca="1">ROUND(C15*F43,0)</f>
        <v>11123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-12284</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33.979999999999997</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130861</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7.4" thickBot="1">
      <c r="A54" s="2088"/>
      <c r="I54" s="2378" t="s">
        <v>2350</v>
      </c>
      <c r="J54" s="2392">
        <f ca="1">IF(M48="住宅",J52,IF(J52&gt;L49,L49-'数据-取费表'!B25,J52))</f>
        <v>0</v>
      </c>
      <c r="K54" s="3842"/>
      <c r="L54" s="3843"/>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2"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7.4" thickBot="1">
      <c r="A57" s="2088"/>
      <c r="B57" s="2089"/>
      <c r="C57" s="2089"/>
      <c r="I57" s="2395" t="s">
        <v>2359</v>
      </c>
      <c r="J57" s="3138" t="s">
        <v>1679</v>
      </c>
      <c r="K57" s="2375" t="s">
        <v>2364</v>
      </c>
      <c r="L57" s="2384">
        <f ca="1">IF(L49&lt;J52,"——",L49-J52)</f>
        <v>33.979999999999997</v>
      </c>
      <c r="O57" s="2411" t="s">
        <v>2377</v>
      </c>
      <c r="P57" s="2412" t="s">
        <v>2378</v>
      </c>
      <c r="Q57" s="2413" t="s">
        <v>2379</v>
      </c>
      <c r="R57" s="2412" t="s">
        <v>2380</v>
      </c>
    </row>
    <row r="58" spans="1:18" s="2051" customFormat="1" ht="31.8"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31.8"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31.8"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6.2"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19.2" thickBot="1">
      <c r="A62" s="2088"/>
      <c r="B62" s="2089"/>
      <c r="C62" s="2089"/>
      <c r="K62" s="2078"/>
      <c r="O62" s="2417" t="s">
        <v>2388</v>
      </c>
      <c r="P62" s="2415" t="s">
        <v>2396</v>
      </c>
      <c r="Q62" s="2416">
        <f ca="1">L59</f>
        <v>0</v>
      </c>
      <c r="R62" s="2419" t="s">
        <v>2397</v>
      </c>
    </row>
    <row r="63" spans="1:18" s="2051" customFormat="1" ht="19.2"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6.2"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2" thickBot="1">
      <c r="A65" s="2088"/>
      <c r="B65" s="2089"/>
      <c r="C65" s="2089"/>
      <c r="I65" s="2401" t="s">
        <v>2373</v>
      </c>
      <c r="J65" s="2402">
        <v>50</v>
      </c>
      <c r="K65" s="2402">
        <v>35</v>
      </c>
      <c r="L65" s="2402">
        <v>60</v>
      </c>
      <c r="M65" s="3119">
        <v>0</v>
      </c>
      <c r="O65" s="2420" t="s">
        <v>2417</v>
      </c>
      <c r="P65" s="1584"/>
      <c r="Q65" s="1596"/>
      <c r="R65" s="1584"/>
    </row>
    <row r="66" spans="1:18" s="2051" customFormat="1" ht="16.2"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6.2" thickBot="1">
      <c r="A67" s="2088"/>
      <c r="B67" s="2089"/>
      <c r="C67" s="2089"/>
      <c r="K67" s="2078"/>
      <c r="O67" s="2414" t="s">
        <v>2381</v>
      </c>
      <c r="P67" s="2415" t="s">
        <v>2407</v>
      </c>
      <c r="Q67" s="2416">
        <f ca="1">C41+J31</f>
        <v>0</v>
      </c>
      <c r="R67" s="2415" t="s">
        <v>2382</v>
      </c>
    </row>
    <row r="68" spans="1:18" s="2051" customFormat="1" ht="19.2" thickBot="1">
      <c r="A68" s="2088"/>
      <c r="B68" s="2089"/>
      <c r="C68" s="2089"/>
      <c r="K68" s="2078"/>
      <c r="O68" s="2414" t="s">
        <v>2383</v>
      </c>
      <c r="P68" s="2415" t="s">
        <v>2414</v>
      </c>
      <c r="Q68" s="2416" t="e">
        <f ca="1">L61</f>
        <v>#DIV/0!</v>
      </c>
      <c r="R68" s="2419" t="s">
        <v>2416</v>
      </c>
    </row>
    <row r="69" spans="1:18" s="2051" customFormat="1" ht="20.399999999999999" thickBot="1">
      <c r="A69" s="2088"/>
      <c r="B69" s="2089"/>
      <c r="C69" s="2089"/>
      <c r="K69" s="2078"/>
      <c r="O69" s="2417" t="s">
        <v>2385</v>
      </c>
      <c r="P69" s="2415" t="s">
        <v>2415</v>
      </c>
      <c r="Q69" s="2421">
        <f ca="1">L52</f>
        <v>0</v>
      </c>
      <c r="R69" s="2422" t="s">
        <v>2418</v>
      </c>
    </row>
    <row r="70" spans="1:18" s="2051" customFormat="1" ht="19.2" thickBot="1">
      <c r="A70" s="2088"/>
      <c r="B70" s="2089"/>
      <c r="C70" s="2089"/>
      <c r="K70" s="2078"/>
      <c r="O70" s="2417" t="s">
        <v>2386</v>
      </c>
      <c r="P70" s="2423" t="s">
        <v>2400</v>
      </c>
      <c r="Q70" s="2416">
        <f ca="1">ROUND(Q71-Q72*Q73,0)</f>
        <v>-12284</v>
      </c>
      <c r="R70" s="2419"/>
    </row>
    <row r="71" spans="1:18" s="2051" customFormat="1" ht="16.2" thickBot="1">
      <c r="A71" s="2088"/>
      <c r="B71" s="2089"/>
      <c r="C71" s="2089"/>
      <c r="K71" s="2078"/>
      <c r="O71" s="2417" t="s">
        <v>2401</v>
      </c>
      <c r="P71" s="2423" t="s">
        <v>2402</v>
      </c>
      <c r="Q71" s="2416">
        <f ca="1">C42</f>
        <v>-1161</v>
      </c>
      <c r="R71" s="2415" t="s">
        <v>2382</v>
      </c>
    </row>
    <row r="72" spans="1:18" s="2051" customFormat="1" ht="16.2" thickBot="1">
      <c r="A72" s="2088"/>
      <c r="B72" s="2089"/>
      <c r="C72" s="2089"/>
      <c r="K72" s="2078"/>
      <c r="O72" s="2417" t="s">
        <v>2403</v>
      </c>
      <c r="P72" s="2423" t="s">
        <v>2404</v>
      </c>
      <c r="Q72" s="2416">
        <f ca="1">C15</f>
        <v>130861</v>
      </c>
      <c r="R72" s="2415" t="s">
        <v>2382</v>
      </c>
    </row>
    <row r="73" spans="1:18" s="2051" customFormat="1" ht="16.2" thickBot="1">
      <c r="A73" s="2088"/>
      <c r="B73" s="2089"/>
      <c r="C73" s="2089"/>
      <c r="K73" s="2078"/>
      <c r="O73" s="2417" t="s">
        <v>2405</v>
      </c>
      <c r="P73" s="2423" t="s">
        <v>2406</v>
      </c>
      <c r="Q73" s="2418">
        <f ca="1">F43</f>
        <v>8.5000000000000006E-2</v>
      </c>
      <c r="R73" s="2419"/>
    </row>
    <row r="74" spans="1:18" s="2051" customFormat="1" ht="16.2" thickBot="1">
      <c r="A74" s="2088"/>
      <c r="B74" s="2089"/>
      <c r="C74" s="2089"/>
      <c r="K74" s="2078"/>
      <c r="O74" s="2417" t="s">
        <v>2388</v>
      </c>
      <c r="P74" s="2415" t="s">
        <v>2395</v>
      </c>
      <c r="Q74" s="2418">
        <f>L53</f>
        <v>0</v>
      </c>
      <c r="R74" s="2419"/>
    </row>
    <row r="75" spans="1:18" s="2051" customFormat="1" ht="19.2" thickBot="1">
      <c r="A75" s="2088"/>
      <c r="B75" s="2089"/>
      <c r="C75" s="2089"/>
      <c r="K75" s="2078"/>
      <c r="O75" s="2417" t="s">
        <v>2390</v>
      </c>
      <c r="P75" s="2415" t="s">
        <v>2396</v>
      </c>
      <c r="Q75" s="2416">
        <f ca="1">L59</f>
        <v>0</v>
      </c>
      <c r="R75" s="2419" t="s">
        <v>2397</v>
      </c>
    </row>
    <row r="76" spans="1:18" s="2051" customFormat="1" ht="19.2" thickBot="1">
      <c r="A76" s="2088"/>
      <c r="B76" s="2089"/>
      <c r="C76" s="2089"/>
      <c r="K76" s="2078"/>
      <c r="O76" s="2417" t="s">
        <v>2419</v>
      </c>
      <c r="P76" s="2415" t="s">
        <v>2398</v>
      </c>
      <c r="Q76" s="2416">
        <f ca="1">L60</f>
        <v>0</v>
      </c>
      <c r="R76" s="2419" t="s">
        <v>2399</v>
      </c>
    </row>
    <row r="77" spans="1:18" s="2051" customFormat="1" ht="16.2"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3.2"/>
  <cols>
    <col min="1" max="1" width="9" style="2680"/>
    <col min="2" max="6" width="9" style="2680" customWidth="1"/>
    <col min="7" max="7" width="9" style="2696" customWidth="1"/>
    <col min="8" max="12" width="9" style="2680" customWidth="1"/>
    <col min="13" max="13" width="2.21875" style="2680" customWidth="1"/>
    <col min="14" max="14" width="9" style="2696" customWidth="1"/>
    <col min="15" max="17" width="9" style="2680" customWidth="1"/>
    <col min="18" max="18" width="2.33203125" style="2680" customWidth="1"/>
    <col min="19" max="19" width="7.109375" style="2696" customWidth="1"/>
    <col min="20" max="22" width="7.109375" style="2680" customWidth="1"/>
    <col min="23" max="23" width="24" style="2680" customWidth="1"/>
    <col min="24" max="25" width="9" style="2680"/>
    <col min="26" max="27" width="11.6640625" style="2680" customWidth="1"/>
    <col min="28" max="28" width="9" style="2680"/>
    <col min="29" max="29" width="2" style="2680" customWidth="1"/>
    <col min="30" max="16384" width="9" style="2680"/>
  </cols>
  <sheetData>
    <row r="1" spans="1:34" s="2670" customFormat="1">
      <c r="B1" s="3846" t="s">
        <v>2580</v>
      </c>
      <c r="C1" s="3846"/>
      <c r="D1" s="3846"/>
      <c r="E1" s="3846"/>
      <c r="F1" s="3846"/>
      <c r="G1" s="3845" t="s">
        <v>2581</v>
      </c>
      <c r="H1" s="3845"/>
      <c r="I1" s="3845"/>
      <c r="J1" s="3845"/>
      <c r="K1" s="3845"/>
      <c r="L1" s="3845"/>
      <c r="N1" s="3845" t="s">
        <v>2582</v>
      </c>
      <c r="O1" s="3845"/>
      <c r="P1" s="3845"/>
      <c r="Q1" s="3845"/>
      <c r="R1" s="2671"/>
      <c r="S1" s="3845" t="s">
        <v>2583</v>
      </c>
      <c r="T1" s="3845"/>
      <c r="U1" s="3845"/>
      <c r="V1" s="3845"/>
      <c r="X1" s="3844" t="s">
        <v>2643</v>
      </c>
      <c r="Y1" s="3845"/>
      <c r="Z1" s="3845"/>
      <c r="AA1" s="3845"/>
      <c r="AB1" s="3845"/>
      <c r="AD1" s="3844" t="s">
        <v>2647</v>
      </c>
      <c r="AE1" s="3845"/>
      <c r="AF1" s="3845"/>
      <c r="AG1" s="3845"/>
      <c r="AH1" s="3845"/>
    </row>
    <row r="2" spans="1:34" s="2773" customFormat="1" ht="1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4">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4">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8"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8"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8"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53">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48"/>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48"/>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8"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49"/>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8" thickBot="1">
      <c r="A14" s="2672" t="s">
        <v>968</v>
      </c>
      <c r="B14" s="2678">
        <v>333</v>
      </c>
      <c r="C14" s="2678">
        <v>277</v>
      </c>
      <c r="D14" s="2678">
        <f t="shared" si="29"/>
        <v>277</v>
      </c>
      <c r="E14" s="2678">
        <v>459</v>
      </c>
      <c r="F14" s="2679">
        <v>249</v>
      </c>
      <c r="G14" s="3847">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48"/>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48"/>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49"/>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8" thickBot="1">
      <c r="A18" s="2672" t="s">
        <v>964</v>
      </c>
      <c r="B18" s="2700">
        <v>318</v>
      </c>
      <c r="C18" s="2700">
        <v>268</v>
      </c>
      <c r="D18" s="2700">
        <f t="shared" si="29"/>
        <v>268</v>
      </c>
      <c r="E18" s="2700">
        <v>437</v>
      </c>
      <c r="F18" s="2701">
        <v>237</v>
      </c>
      <c r="G18" s="3847">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48"/>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8"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48"/>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8"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49"/>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8" thickBot="1">
      <c r="A22" s="2672" t="s">
        <v>2587</v>
      </c>
      <c r="B22" s="2678">
        <v>299</v>
      </c>
      <c r="C22" s="2678">
        <v>252</v>
      </c>
      <c r="D22" s="2678">
        <f t="shared" si="29"/>
        <v>252</v>
      </c>
      <c r="E22" s="2678">
        <v>409</v>
      </c>
      <c r="F22" s="2679">
        <v>227</v>
      </c>
      <c r="G22" s="3850">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51"/>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51"/>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52"/>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8" thickBot="1">
      <c r="A26" s="2672" t="s">
        <v>2591</v>
      </c>
      <c r="B26" s="2716">
        <v>278</v>
      </c>
      <c r="C26" s="2716">
        <v>234</v>
      </c>
      <c r="D26" s="2716">
        <f t="shared" si="29"/>
        <v>234</v>
      </c>
      <c r="E26" s="2716">
        <v>379</v>
      </c>
      <c r="F26" s="2717">
        <v>220</v>
      </c>
      <c r="G26" s="3847">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48"/>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48"/>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8" thickBot="1">
      <c r="A29" s="2672" t="s">
        <v>2594</v>
      </c>
      <c r="B29" s="2686">
        <f>B28/(1+N28)</f>
        <v>275.19025476197027</v>
      </c>
      <c r="C29" s="2718">
        <v>232</v>
      </c>
      <c r="D29" s="2718">
        <f t="shared" si="29"/>
        <v>232</v>
      </c>
      <c r="E29" s="2686">
        <f t="shared" si="40"/>
        <v>375.65990977608692</v>
      </c>
      <c r="F29" s="2686">
        <f t="shared" si="40"/>
        <v>214.12518283971252</v>
      </c>
      <c r="G29" s="3849"/>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8" thickBot="1">
      <c r="A30" s="2672" t="s">
        <v>2595</v>
      </c>
      <c r="B30" s="2678">
        <v>275</v>
      </c>
      <c r="C30" s="2678">
        <v>232</v>
      </c>
      <c r="D30" s="2678">
        <f t="shared" si="29"/>
        <v>232</v>
      </c>
      <c r="E30" s="2678">
        <v>376</v>
      </c>
      <c r="F30" s="2679">
        <v>213</v>
      </c>
      <c r="G30" s="3847">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48">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48">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8"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49">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8" thickBot="1">
      <c r="A34" s="2672" t="s">
        <v>2599</v>
      </c>
      <c r="B34" s="2678">
        <v>269</v>
      </c>
      <c r="C34" s="2678">
        <v>221</v>
      </c>
      <c r="D34" s="2678">
        <f t="shared" si="29"/>
        <v>221</v>
      </c>
      <c r="E34" s="2678">
        <v>373</v>
      </c>
      <c r="F34" s="2679">
        <v>196</v>
      </c>
      <c r="G34" s="3847">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48">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48">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8"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49">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8" thickBot="1">
      <c r="A38" s="2672" t="s">
        <v>2603</v>
      </c>
      <c r="B38" s="2678">
        <v>220</v>
      </c>
      <c r="C38" s="2678">
        <v>187</v>
      </c>
      <c r="D38" s="2678">
        <f t="shared" si="29"/>
        <v>187</v>
      </c>
      <c r="E38" s="2678">
        <v>301</v>
      </c>
      <c r="F38" s="2679">
        <v>168</v>
      </c>
      <c r="G38" s="3847">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48">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48">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49">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8" thickBot="1">
      <c r="A42" s="2672" t="s">
        <v>2607</v>
      </c>
      <c r="B42" s="2716">
        <v>214</v>
      </c>
      <c r="C42" s="2716">
        <v>188</v>
      </c>
      <c r="D42" s="2716">
        <f t="shared" si="29"/>
        <v>188</v>
      </c>
      <c r="E42" s="2716">
        <v>289</v>
      </c>
      <c r="F42" s="2717">
        <v>166</v>
      </c>
      <c r="G42" s="3847">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48">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48">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8"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49">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8" thickBot="1">
      <c r="A46" s="2672" t="s">
        <v>2611</v>
      </c>
      <c r="B46" s="2678">
        <v>188</v>
      </c>
      <c r="C46" s="2678">
        <v>165</v>
      </c>
      <c r="D46" s="2678">
        <f t="shared" si="29"/>
        <v>165</v>
      </c>
      <c r="E46" s="2678">
        <v>254</v>
      </c>
      <c r="F46" s="2679">
        <v>148</v>
      </c>
      <c r="G46" s="3847">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48">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48">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49">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8" thickBot="1">
      <c r="A50" s="2672" t="s">
        <v>2615</v>
      </c>
      <c r="B50" s="2700">
        <v>159</v>
      </c>
      <c r="C50" s="2700">
        <v>141</v>
      </c>
      <c r="D50" s="2700">
        <f t="shared" si="29"/>
        <v>141</v>
      </c>
      <c r="E50" s="2700">
        <v>195</v>
      </c>
      <c r="F50" s="2701">
        <v>122</v>
      </c>
      <c r="G50" s="3847">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48">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48">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49">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8" thickBot="1">
      <c r="A54" s="2672" t="s">
        <v>2619</v>
      </c>
      <c r="B54" s="2700">
        <v>138</v>
      </c>
      <c r="C54" s="2700">
        <v>131</v>
      </c>
      <c r="D54" s="2700">
        <f t="shared" si="29"/>
        <v>131</v>
      </c>
      <c r="E54" s="2700">
        <v>155</v>
      </c>
      <c r="F54" s="2701">
        <v>114</v>
      </c>
      <c r="G54" s="3847">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48">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48">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49">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8" thickBot="1">
      <c r="A58" s="2672" t="s">
        <v>2623</v>
      </c>
      <c r="B58" s="2716">
        <v>121</v>
      </c>
      <c r="C58" s="2716">
        <v>122</v>
      </c>
      <c r="D58" s="2716">
        <f t="shared" si="29"/>
        <v>122</v>
      </c>
      <c r="E58" s="2716">
        <v>124</v>
      </c>
      <c r="F58" s="2717">
        <v>107</v>
      </c>
      <c r="G58" s="3847">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48">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48">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8"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49">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8" thickBot="1">
      <c r="A62" s="2672" t="s">
        <v>2627</v>
      </c>
      <c r="B62" s="2737">
        <v>111</v>
      </c>
      <c r="C62" s="2737">
        <v>114</v>
      </c>
      <c r="D62" s="2737">
        <f t="shared" si="29"/>
        <v>114</v>
      </c>
      <c r="E62" s="2737">
        <v>108</v>
      </c>
      <c r="F62" s="2738">
        <v>104</v>
      </c>
      <c r="G62" s="3847">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48">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48">
        <v>2003</v>
      </c>
      <c r="H64" s="2677">
        <v>2</v>
      </c>
      <c r="I64" s="2739"/>
      <c r="J64" s="2739"/>
      <c r="K64" s="2739"/>
      <c r="L64" s="2739"/>
      <c r="X64" s="2731"/>
      <c r="Y64" s="2731"/>
      <c r="Z64" s="2731"/>
    </row>
    <row r="65" spans="1:26" ht="13.8" thickBot="1">
      <c r="A65" s="2672" t="s">
        <v>2630</v>
      </c>
      <c r="B65" s="2741">
        <f t="shared" si="65"/>
        <v>107.25</v>
      </c>
      <c r="C65" s="2741">
        <f t="shared" si="65"/>
        <v>108.75</v>
      </c>
      <c r="D65" s="2741">
        <f t="shared" si="29"/>
        <v>108.75</v>
      </c>
      <c r="E65" s="2741">
        <f t="shared" si="66"/>
        <v>105.75</v>
      </c>
      <c r="F65" s="2741">
        <f t="shared" si="66"/>
        <v>102.5</v>
      </c>
      <c r="G65" s="3849">
        <v>2003</v>
      </c>
      <c r="H65" s="2742">
        <v>1</v>
      </c>
      <c r="I65" s="2739"/>
      <c r="J65" s="2739"/>
      <c r="K65" s="2739"/>
      <c r="L65" s="2739"/>
      <c r="S65" s="2681"/>
      <c r="T65" s="2682"/>
      <c r="U65" s="2682"/>
      <c r="X65" s="2731"/>
      <c r="Y65" s="2731"/>
      <c r="Z65" s="2731"/>
    </row>
    <row r="66" spans="1:26" ht="13.8" thickBot="1">
      <c r="A66" s="2672" t="s">
        <v>2631</v>
      </c>
      <c r="B66" s="2743">
        <v>106</v>
      </c>
      <c r="C66" s="2743">
        <v>107</v>
      </c>
      <c r="D66" s="2743">
        <f t="shared" si="29"/>
        <v>107</v>
      </c>
      <c r="E66" s="2743">
        <v>105</v>
      </c>
      <c r="F66" s="2744">
        <v>102</v>
      </c>
      <c r="G66" s="3847">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48">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48">
        <v>2002</v>
      </c>
      <c r="H68" s="2677">
        <v>2</v>
      </c>
      <c r="I68" s="2739"/>
      <c r="J68" s="2739"/>
      <c r="K68" s="2739"/>
      <c r="L68" s="2739"/>
      <c r="X68" s="2731"/>
      <c r="Y68" s="2731"/>
      <c r="Z68" s="2731"/>
    </row>
    <row r="69" spans="1:26" s="2708" customFormat="1" ht="13.8" thickBot="1">
      <c r="A69" s="2704" t="s">
        <v>2634</v>
      </c>
      <c r="B69" s="2745">
        <f t="shared" si="67"/>
        <v>103</v>
      </c>
      <c r="C69" s="2745">
        <f t="shared" si="67"/>
        <v>104</v>
      </c>
      <c r="D69" s="2745">
        <f t="shared" si="29"/>
        <v>104</v>
      </c>
      <c r="E69" s="2745">
        <f t="shared" si="68"/>
        <v>103.5</v>
      </c>
      <c r="F69" s="2745">
        <f t="shared" si="68"/>
        <v>100.5</v>
      </c>
      <c r="G69" s="3849">
        <v>2002</v>
      </c>
      <c r="H69" s="2746">
        <v>1</v>
      </c>
      <c r="I69" s="2747"/>
      <c r="J69" s="2747"/>
      <c r="K69" s="2747"/>
      <c r="L69" s="2747"/>
      <c r="N69" s="2748"/>
      <c r="S69" s="2748"/>
      <c r="X69" s="2749"/>
      <c r="Y69" s="2749"/>
      <c r="Z69" s="2749"/>
    </row>
    <row r="70" spans="1:26" ht="13.8"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8"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8"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870" t="s">
        <v>2475</v>
      </c>
      <c r="B1" s="3871"/>
      <c r="C1" s="3872"/>
      <c r="D1" s="3873">
        <f>SUM(I10,I15,I20,I21,I23)</f>
        <v>0</v>
      </c>
      <c r="E1" s="3873"/>
      <c r="F1" s="3873"/>
      <c r="G1" s="3873"/>
      <c r="H1" s="3873"/>
      <c r="I1" s="3874"/>
    </row>
    <row r="2" spans="1:9">
      <c r="A2" s="3860" t="s">
        <v>2476</v>
      </c>
      <c r="B2" s="3861" t="s">
        <v>2477</v>
      </c>
      <c r="C2" s="3861"/>
      <c r="D2" s="2523" t="s">
        <v>2478</v>
      </c>
      <c r="E2" s="2523" t="s">
        <v>2479</v>
      </c>
      <c r="F2" s="2523" t="s">
        <v>2480</v>
      </c>
      <c r="G2" s="2523" t="s">
        <v>2481</v>
      </c>
      <c r="H2" s="2523" t="s">
        <v>2482</v>
      </c>
      <c r="I2" s="2524" t="s">
        <v>2483</v>
      </c>
    </row>
    <row r="3" spans="1:9">
      <c r="A3" s="3860"/>
      <c r="B3" s="3861" t="s">
        <v>2484</v>
      </c>
      <c r="C3" s="3861"/>
      <c r="D3" s="2525"/>
      <c r="E3" s="2523"/>
      <c r="F3" s="2526"/>
      <c r="G3" s="2526"/>
      <c r="H3" s="2527"/>
      <c r="I3" s="2528">
        <f>ROUND(D3*E3*F3*G3*H3/10000,0)</f>
        <v>0</v>
      </c>
    </row>
    <row r="4" spans="1:9">
      <c r="A4" s="3860"/>
      <c r="B4" s="3861" t="s">
        <v>2485</v>
      </c>
      <c r="C4" s="3861"/>
      <c r="D4" s="2525"/>
      <c r="E4" s="2523"/>
      <c r="F4" s="2526"/>
      <c r="G4" s="2526"/>
      <c r="H4" s="2527"/>
      <c r="I4" s="2528">
        <f t="shared" ref="I4:I9" si="0">ROUND(D4*E4*F4*G4*H4/10000,0)</f>
        <v>0</v>
      </c>
    </row>
    <row r="5" spans="1:9">
      <c r="A5" s="3860"/>
      <c r="B5" s="3861" t="s">
        <v>2486</v>
      </c>
      <c r="C5" s="3861"/>
      <c r="D5" s="2525"/>
      <c r="E5" s="2523"/>
      <c r="F5" s="2526"/>
      <c r="G5" s="2526"/>
      <c r="H5" s="2527"/>
      <c r="I5" s="2528">
        <f t="shared" si="0"/>
        <v>0</v>
      </c>
    </row>
    <row r="6" spans="1:9">
      <c r="A6" s="3860"/>
      <c r="B6" s="3861" t="s">
        <v>2487</v>
      </c>
      <c r="C6" s="3861"/>
      <c r="D6" s="2525"/>
      <c r="E6" s="2523"/>
      <c r="F6" s="2526"/>
      <c r="G6" s="2526"/>
      <c r="H6" s="2527"/>
      <c r="I6" s="2528">
        <f t="shared" si="0"/>
        <v>0</v>
      </c>
    </row>
    <row r="7" spans="1:9">
      <c r="A7" s="3860"/>
      <c r="B7" s="3861" t="s">
        <v>2488</v>
      </c>
      <c r="C7" s="3861"/>
      <c r="D7" s="2525"/>
      <c r="E7" s="2523"/>
      <c r="F7" s="2526"/>
      <c r="G7" s="2526"/>
      <c r="H7" s="2527"/>
      <c r="I7" s="2528">
        <f t="shared" si="0"/>
        <v>0</v>
      </c>
    </row>
    <row r="8" spans="1:9">
      <c r="A8" s="3860"/>
      <c r="B8" s="3861" t="s">
        <v>2489</v>
      </c>
      <c r="C8" s="3861"/>
      <c r="D8" s="2525"/>
      <c r="E8" s="2523"/>
      <c r="F8" s="2526"/>
      <c r="G8" s="2526"/>
      <c r="H8" s="2527"/>
      <c r="I8" s="2528">
        <f t="shared" si="0"/>
        <v>0</v>
      </c>
    </row>
    <row r="9" spans="1:9">
      <c r="A9" s="3860"/>
      <c r="B9" s="3861" t="s">
        <v>2490</v>
      </c>
      <c r="C9" s="3861"/>
      <c r="D9" s="2525"/>
      <c r="E9" s="2523"/>
      <c r="F9" s="2526"/>
      <c r="G9" s="2526"/>
      <c r="H9" s="2527"/>
      <c r="I9" s="2528">
        <f t="shared" si="0"/>
        <v>0</v>
      </c>
    </row>
    <row r="10" spans="1:9">
      <c r="A10" s="3860"/>
      <c r="B10" s="3862" t="s">
        <v>2491</v>
      </c>
      <c r="C10" s="3862"/>
      <c r="D10" s="2529">
        <v>527</v>
      </c>
      <c r="E10" s="2529" t="e">
        <f>ROUND(D1*10000/D10/H9,0)</f>
        <v>#DIV/0!</v>
      </c>
      <c r="F10" s="2530"/>
      <c r="G10" s="2530"/>
      <c r="H10" s="2531"/>
      <c r="I10" s="2532">
        <f>SUM(I3:I9)</f>
        <v>0</v>
      </c>
    </row>
    <row r="11" spans="1:9" ht="15.6">
      <c r="A11" s="3860" t="s">
        <v>2492</v>
      </c>
      <c r="B11" s="3861" t="s">
        <v>2493</v>
      </c>
      <c r="C11" s="3861"/>
      <c r="D11" s="2525" t="s">
        <v>2494</v>
      </c>
      <c r="E11" s="2525" t="s">
        <v>2495</v>
      </c>
      <c r="F11" s="2526" t="s">
        <v>2496</v>
      </c>
      <c r="G11" s="2526" t="s">
        <v>2497</v>
      </c>
      <c r="H11" s="2533" t="s">
        <v>2498</v>
      </c>
      <c r="I11" s="2524" t="s">
        <v>2499</v>
      </c>
    </row>
    <row r="12" spans="1:9">
      <c r="A12" s="3860"/>
      <c r="B12" s="3861" t="s">
        <v>2500</v>
      </c>
      <c r="C12" s="3861"/>
      <c r="D12" s="2525"/>
      <c r="E12" s="2525"/>
      <c r="F12" s="2526"/>
      <c r="G12" s="2527"/>
      <c r="H12" s="2534"/>
      <c r="I12" s="2524">
        <f>ROUND(D12*E12*F12*G12/10000,0)</f>
        <v>0</v>
      </c>
    </row>
    <row r="13" spans="1:9">
      <c r="A13" s="3860"/>
      <c r="B13" s="3861" t="s">
        <v>2501</v>
      </c>
      <c r="C13" s="3861"/>
      <c r="D13" s="2525"/>
      <c r="E13" s="2525"/>
      <c r="F13" s="2526"/>
      <c r="G13" s="2527"/>
      <c r="H13" s="2534"/>
      <c r="I13" s="2524">
        <f>ROUND(D13*E13*F13*G13/10000,0)</f>
        <v>0</v>
      </c>
    </row>
    <row r="14" spans="1:9">
      <c r="A14" s="3860"/>
      <c r="B14" s="3861" t="s">
        <v>2502</v>
      </c>
      <c r="C14" s="3861"/>
      <c r="D14" s="2525"/>
      <c r="E14" s="2525"/>
      <c r="F14" s="2526"/>
      <c r="G14" s="2527"/>
      <c r="H14" s="2534"/>
      <c r="I14" s="2524">
        <f>ROUND(D14*E14*F14*G14/10000,0)</f>
        <v>0</v>
      </c>
    </row>
    <row r="15" spans="1:9">
      <c r="A15" s="3860"/>
      <c r="B15" s="3862" t="s">
        <v>2491</v>
      </c>
      <c r="C15" s="3862"/>
      <c r="D15" s="2529"/>
      <c r="E15" s="2529">
        <f>SUM(E12:E14)</f>
        <v>0</v>
      </c>
      <c r="F15" s="2530"/>
      <c r="G15" s="2527"/>
      <c r="H15" s="2534"/>
      <c r="I15" s="2535">
        <f>SUM(I12:I14)</f>
        <v>0</v>
      </c>
    </row>
    <row r="16" spans="1:9" ht="24">
      <c r="A16" s="3860" t="s">
        <v>2503</v>
      </c>
      <c r="B16" s="3861" t="s">
        <v>2504</v>
      </c>
      <c r="C16" s="3861"/>
      <c r="D16" s="2525" t="s">
        <v>2505</v>
      </c>
      <c r="E16" s="2536" t="s">
        <v>2506</v>
      </c>
      <c r="F16" s="2526" t="s">
        <v>2507</v>
      </c>
      <c r="G16" s="2527" t="s">
        <v>2497</v>
      </c>
      <c r="H16" s="2533" t="s">
        <v>2498</v>
      </c>
      <c r="I16" s="2524" t="s">
        <v>2499</v>
      </c>
    </row>
    <row r="17" spans="1:9" ht="15.6">
      <c r="A17" s="3860"/>
      <c r="B17" s="3861" t="s">
        <v>2508</v>
      </c>
      <c r="C17" s="3861"/>
      <c r="D17" s="2525"/>
      <c r="E17" s="2525"/>
      <c r="F17" s="2526"/>
      <c r="G17" s="2527"/>
      <c r="H17" s="2537"/>
      <c r="I17" s="2538">
        <f>ROUND(D17*E17*F17*G17/10000,0)</f>
        <v>0</v>
      </c>
    </row>
    <row r="18" spans="1:9" ht="15.6">
      <c r="A18" s="3860"/>
      <c r="B18" s="3861" t="s">
        <v>2509</v>
      </c>
      <c r="C18" s="3861"/>
      <c r="D18" s="2525"/>
      <c r="E18" s="2525"/>
      <c r="F18" s="2526"/>
      <c r="G18" s="2527"/>
      <c r="H18" s="2537"/>
      <c r="I18" s="2538">
        <f>ROUND(D18*E18*F18*G18/10000,0)</f>
        <v>0</v>
      </c>
    </row>
    <row r="19" spans="1:9" ht="15.6">
      <c r="A19" s="3860"/>
      <c r="B19" s="3861" t="s">
        <v>2510</v>
      </c>
      <c r="C19" s="3861"/>
      <c r="D19" s="2525"/>
      <c r="E19" s="2525"/>
      <c r="F19" s="2526"/>
      <c r="G19" s="2527"/>
      <c r="H19" s="2537"/>
      <c r="I19" s="2538">
        <f>ROUND(D19*E19*F19*G19/10000,0)</f>
        <v>0</v>
      </c>
    </row>
    <row r="20" spans="1:9">
      <c r="A20" s="3860"/>
      <c r="B20" s="3862" t="s">
        <v>2491</v>
      </c>
      <c r="C20" s="3862"/>
      <c r="D20" s="2529">
        <f>SUM(D17:D19)</f>
        <v>0</v>
      </c>
      <c r="E20" s="2529"/>
      <c r="F20" s="2530"/>
      <c r="G20" s="2527"/>
      <c r="H20" s="2534"/>
      <c r="I20" s="2535">
        <f>SUM(I17:I19)</f>
        <v>0</v>
      </c>
    </row>
    <row r="21" spans="1:9">
      <c r="A21" s="3860" t="s">
        <v>2511</v>
      </c>
      <c r="B21" s="3863"/>
      <c r="C21" s="3863"/>
      <c r="D21" s="3863"/>
      <c r="E21" s="3863"/>
      <c r="F21" s="3863"/>
      <c r="G21" s="3863"/>
      <c r="H21" s="2539">
        <v>0.1</v>
      </c>
      <c r="I21" s="2532">
        <f>ROUND(I10*H21,0)</f>
        <v>0</v>
      </c>
    </row>
    <row r="22" spans="1:9" ht="15.6">
      <c r="A22" s="3864" t="s">
        <v>2512</v>
      </c>
      <c r="B22" s="3865"/>
      <c r="C22" s="3866"/>
      <c r="D22" s="2540" t="s">
        <v>2513</v>
      </c>
      <c r="E22" s="2540" t="s">
        <v>2514</v>
      </c>
      <c r="F22" s="2541" t="s">
        <v>2515</v>
      </c>
      <c r="G22" s="2541" t="s">
        <v>2516</v>
      </c>
      <c r="H22" s="2533" t="s">
        <v>2517</v>
      </c>
      <c r="I22" s="2524" t="s">
        <v>2518</v>
      </c>
    </row>
    <row r="23" spans="1:9" ht="15" thickBot="1">
      <c r="A23" s="3867"/>
      <c r="B23" s="3868"/>
      <c r="C23" s="3869"/>
      <c r="D23" s="2542"/>
      <c r="E23" s="2542"/>
      <c r="F23" s="2542"/>
      <c r="G23" s="2543"/>
      <c r="H23" s="2544"/>
      <c r="I23" s="2545">
        <f>ROUND(E23*D23*F23*(1-G23)/10000,0)</f>
        <v>0</v>
      </c>
    </row>
    <row r="26" spans="1:9">
      <c r="A26" s="2546" t="s">
        <v>2519</v>
      </c>
      <c r="B26" s="2546"/>
      <c r="C26" s="2546"/>
      <c r="D26" s="2546"/>
      <c r="E26" s="3857">
        <f>C27-C30-C31-C32</f>
        <v>0</v>
      </c>
      <c r="F26" s="3857"/>
      <c r="G26" s="3857"/>
      <c r="H26" s="3059" t="s">
        <v>2847</v>
      </c>
    </row>
    <row r="27" spans="1:9">
      <c r="A27" s="2547">
        <v>1</v>
      </c>
      <c r="B27" s="2548" t="s">
        <v>2520</v>
      </c>
      <c r="C27" s="2548"/>
      <c r="D27" s="2548"/>
      <c r="E27" s="3858"/>
      <c r="F27" s="3858"/>
      <c r="G27" s="3858"/>
    </row>
    <row r="28" spans="1:9">
      <c r="A28" s="2549" t="s">
        <v>2521</v>
      </c>
      <c r="B28" s="2548" t="s">
        <v>2522</v>
      </c>
      <c r="C28" s="2548"/>
      <c r="D28" s="2548"/>
      <c r="E28" s="3858"/>
      <c r="F28" s="3858"/>
      <c r="G28" s="3858"/>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59"/>
      <c r="F32" s="3859"/>
      <c r="G32" s="3859"/>
    </row>
    <row r="33" spans="1:7" hidden="1">
      <c r="A33" s="3854" t="s">
        <v>2530</v>
      </c>
      <c r="B33" s="3855"/>
      <c r="C33" s="3855"/>
      <c r="D33" s="3856"/>
      <c r="E33" s="3857"/>
      <c r="F33" s="3857"/>
      <c r="G33" s="3857"/>
    </row>
    <row r="34" spans="1:7" hidden="1">
      <c r="A34" s="2551">
        <v>1</v>
      </c>
      <c r="B34" s="2548" t="s">
        <v>2531</v>
      </c>
      <c r="C34" s="2548"/>
      <c r="D34" s="2548"/>
      <c r="E34" s="3858"/>
      <c r="F34" s="3858"/>
      <c r="G34" s="3858"/>
    </row>
    <row r="35" spans="1:7" hidden="1">
      <c r="A35" s="2551">
        <v>2</v>
      </c>
      <c r="B35" s="2548" t="s">
        <v>2532</v>
      </c>
      <c r="C35" s="2548"/>
      <c r="D35" s="2548"/>
      <c r="E35" s="3858"/>
      <c r="F35" s="3858"/>
      <c r="G35" s="3858"/>
    </row>
    <row r="36" spans="1:7" hidden="1">
      <c r="A36" s="2551">
        <v>3</v>
      </c>
      <c r="B36" s="2548" t="s">
        <v>2533</v>
      </c>
      <c r="C36" s="2548"/>
      <c r="D36" s="2548"/>
      <c r="E36" s="3858"/>
      <c r="F36" s="3858"/>
      <c r="G36" s="3858"/>
    </row>
    <row r="37" spans="1:7" hidden="1">
      <c r="A37" s="2551">
        <v>4</v>
      </c>
      <c r="B37" s="2548" t="s">
        <v>2534</v>
      </c>
      <c r="C37" s="2548"/>
      <c r="D37" s="2548"/>
      <c r="E37" s="3858"/>
      <c r="F37" s="3858"/>
      <c r="G37" s="3858"/>
    </row>
    <row r="38" spans="1:7" hidden="1">
      <c r="A38" s="3854" t="s">
        <v>2535</v>
      </c>
      <c r="B38" s="3855"/>
      <c r="C38" s="3855"/>
      <c r="D38" s="3856"/>
      <c r="E38" s="3857"/>
      <c r="F38" s="3857"/>
      <c r="G38" s="38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3203125" defaultRowHeight="13.2"/>
  <cols>
    <col min="1" max="1" width="9.33203125" style="2177" customWidth="1"/>
    <col min="2" max="2" width="26.6640625" style="2178" customWidth="1"/>
    <col min="3" max="3" width="11.109375" style="2178" customWidth="1"/>
    <col min="4" max="5" width="11.109375" style="2179" customWidth="1"/>
    <col min="6" max="6" width="9.44140625" style="2178" customWidth="1"/>
    <col min="7" max="7" width="31.88671875" style="2178" customWidth="1"/>
    <col min="8" max="25" width="9" style="2180" customWidth="1"/>
    <col min="26" max="254" width="9" style="2178" customWidth="1"/>
    <col min="255" max="16384" width="8.33203125" style="2178"/>
  </cols>
  <sheetData>
    <row r="1" spans="1:25" s="2051" customFormat="1" ht="21">
      <c r="A1" s="419" t="s">
        <v>604</v>
      </c>
      <c r="B1" s="739"/>
      <c r="C1" s="2174"/>
      <c r="D1" s="2174"/>
      <c r="E1" s="2174"/>
      <c r="F1" s="2174"/>
      <c r="G1" s="2100"/>
    </row>
    <row r="2" spans="1:25" s="2051" customFormat="1" ht="18" customHeight="1">
      <c r="A2" s="421" t="s">
        <v>467</v>
      </c>
      <c r="B2" s="423">
        <f ca="1">C23</f>
        <v>4830</v>
      </c>
      <c r="C2" s="2100"/>
      <c r="D2" s="2100"/>
      <c r="E2" s="2100"/>
      <c r="F2" s="2100"/>
      <c r="G2" s="2100"/>
    </row>
    <row r="3" spans="1:25" s="2051" customFormat="1" ht="18" customHeight="1">
      <c r="A3" s="1371" t="s">
        <v>1684</v>
      </c>
      <c r="B3" s="423">
        <f ca="1">ROUND(B2*10000/'数据-汇总表'!E3,0)</f>
        <v>101</v>
      </c>
      <c r="C3" s="2100"/>
      <c r="D3" s="2100"/>
      <c r="E3" s="2100"/>
      <c r="F3" s="2100"/>
      <c r="G3" s="2100"/>
    </row>
    <row r="4" spans="1:25" s="2051" customFormat="1" ht="18" customHeight="1">
      <c r="A4" s="424" t="s">
        <v>468</v>
      </c>
      <c r="B4" s="425">
        <f ca="1">ROUND(B2*10000/'数据-汇总表'!D3,0)</f>
        <v>647</v>
      </c>
      <c r="C4" s="2053"/>
      <c r="D4" s="2100"/>
      <c r="E4" s="2100"/>
      <c r="F4" s="2100"/>
      <c r="G4" s="2100"/>
    </row>
    <row r="5" spans="1:25" s="2051" customFormat="1" ht="18" customHeight="1" thickBot="1">
      <c r="A5" s="427"/>
      <c r="B5" s="428">
        <f ca="1">ROUND(B2/('数据-汇总表'!D3/666.67),0)</f>
        <v>43</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6.4">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906</v>
      </c>
      <c r="D18" s="759"/>
      <c r="E18" s="760"/>
      <c r="F18" s="758">
        <f>'数据-取费表'!Q16</f>
        <v>0.18</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5941</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5.2">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5941</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4830</v>
      </c>
      <c r="D22" s="757"/>
      <c r="E22" s="746"/>
      <c r="F22" s="763">
        <f>'数据-取费表'!AP16</f>
        <v>0.81299999999999994</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4830</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zoomScaleNormal="100" workbookViewId="0">
      <selection activeCell="C10" sqref="C10"/>
    </sheetView>
  </sheetViews>
  <sheetFormatPr defaultColWidth="6.6640625" defaultRowHeight="13.2"/>
  <cols>
    <col min="1" max="1" width="9.77734375" style="2116" customWidth="1"/>
    <col min="2" max="2" width="25.77734375" style="2106" customWidth="1"/>
    <col min="3" max="3" width="10.33203125" style="2117" customWidth="1"/>
    <col min="4" max="4" width="12" style="2106" customWidth="1"/>
    <col min="5" max="5" width="11.21875" style="2116" customWidth="1"/>
    <col min="6" max="6" width="10.109375" style="2106" customWidth="1"/>
    <col min="7" max="7" width="11.6640625" style="2106" customWidth="1"/>
    <col min="8" max="8" width="10" style="2106" customWidth="1"/>
    <col min="9" max="11" width="9.44140625" style="2106" customWidth="1"/>
    <col min="12" max="12" width="9" style="2106" customWidth="1"/>
    <col min="13" max="13" width="10.44140625" style="2106" bestFit="1" customWidth="1"/>
    <col min="14" max="254" width="9" style="2106" customWidth="1"/>
    <col min="255" max="16384" width="6.6640625" style="2106"/>
  </cols>
  <sheetData>
    <row r="1" spans="1:31" s="2033" customFormat="1" ht="21">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203233</v>
      </c>
      <c r="C2" s="2096"/>
      <c r="D2" s="2096"/>
      <c r="E2" s="2096"/>
      <c r="F2" s="2096"/>
      <c r="G2" s="2096"/>
      <c r="H2" s="2096"/>
      <c r="I2" s="2096"/>
      <c r="J2" s="2096"/>
      <c r="K2" s="2096"/>
    </row>
    <row r="3" spans="1:31" s="2033" customFormat="1" ht="18" customHeight="1">
      <c r="A3" s="2098" t="s">
        <v>1683</v>
      </c>
      <c r="B3" s="2099">
        <f ca="1">ROUND(B2*10000/IF(B1="",'数据-汇总表'!E3,INDIRECT("'数据-取费表'!K"&amp;$K$1)),0)</f>
        <v>4238</v>
      </c>
      <c r="C3" s="2096"/>
      <c r="D3" s="2096"/>
      <c r="E3" s="2096"/>
      <c r="F3" s="2096"/>
      <c r="G3" s="2096"/>
      <c r="H3" s="2096"/>
      <c r="I3" s="2096"/>
      <c r="J3" s="2096"/>
      <c r="K3" s="2096"/>
    </row>
    <row r="4" spans="1:31" s="2033" customFormat="1" ht="18" customHeight="1">
      <c r="A4" s="424" t="s">
        <v>468</v>
      </c>
      <c r="B4" s="425">
        <f ca="1">ROUND(B2*10000/IF(B1="",'数据-汇总表'!D3,INDIRECT("'数据-取费表'!R"&amp;$K$1)),0)</f>
        <v>27219</v>
      </c>
      <c r="C4" s="426"/>
      <c r="D4" s="420"/>
      <c r="E4" s="420"/>
      <c r="F4" s="420"/>
      <c r="G4" s="420"/>
      <c r="H4" s="420"/>
      <c r="I4" s="420"/>
      <c r="J4" s="420"/>
      <c r="K4" s="420"/>
    </row>
    <row r="5" spans="1:31" s="2033" customFormat="1" ht="18" customHeight="1" thickBot="1">
      <c r="A5" s="427"/>
      <c r="B5" s="428">
        <f ca="1">ROUND(B2/(IF(B1="",'数据-汇总表'!D3,INDIRECT("'数据-取费表'!R"&amp;$K$1))/666.67),0)</f>
        <v>1815</v>
      </c>
      <c r="C5" s="429" t="s">
        <v>469</v>
      </c>
      <c r="D5" s="420"/>
      <c r="E5" s="420"/>
      <c r="F5" s="420"/>
      <c r="G5" s="420"/>
      <c r="H5" s="420"/>
      <c r="I5" s="420"/>
      <c r="J5" s="420"/>
      <c r="K5" s="420"/>
    </row>
    <row r="6" spans="1:31" s="2103" customFormat="1" ht="16.5" customHeight="1">
      <c r="A6" s="2845" t="s">
        <v>1841</v>
      </c>
      <c r="B6" s="2846"/>
      <c r="C6" s="2847">
        <f ca="1">SUM(C10:K10)</f>
        <v>516104</v>
      </c>
      <c r="D6" s="2846"/>
      <c r="E6" s="2846"/>
      <c r="F6" s="2846"/>
      <c r="G6" s="2846"/>
      <c r="H6" s="2846"/>
      <c r="I6" s="2846"/>
      <c r="J6" s="2846"/>
      <c r="K6" s="2848"/>
    </row>
    <row r="7" spans="1:31" s="2105" customFormat="1" ht="14.4">
      <c r="A7" s="2849" t="s">
        <v>470</v>
      </c>
      <c r="B7" s="2850" t="s">
        <v>471</v>
      </c>
      <c r="C7" s="434" t="s">
        <v>3206</v>
      </c>
      <c r="D7" s="434" t="s">
        <v>3454</v>
      </c>
      <c r="E7" s="434" t="s">
        <v>1678</v>
      </c>
      <c r="F7" s="434" t="s">
        <v>3457</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27564</v>
      </c>
      <c r="D8" s="2851">
        <f>典型户型修正!V24</f>
        <v>15944</v>
      </c>
      <c r="E8" s="2851">
        <f>'不动产比较法-办公'!B3</f>
        <v>12806</v>
      </c>
      <c r="F8" s="3564">
        <f ca="1">不动产收益法!C43</f>
        <v>2345</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2224</v>
      </c>
      <c r="D10" s="3044">
        <f>典型户型修正!S22-典型户型修正!S28</f>
        <v>140835</v>
      </c>
      <c r="E10" s="3044">
        <f>'不动产比较法-办公'!B2</f>
        <v>350064</v>
      </c>
      <c r="F10" s="3044">
        <f ca="1">不动产收益法!C40</f>
        <v>22981</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138002</v>
      </c>
      <c r="D13" s="2861"/>
      <c r="E13" s="2862"/>
      <c r="F13" s="2863"/>
      <c r="G13" s="2829"/>
      <c r="H13" s="2830"/>
      <c r="I13" s="2830"/>
      <c r="J13" s="2830"/>
      <c r="K13" s="2831"/>
    </row>
    <row r="14" spans="1:31" s="2108" customFormat="1" ht="13.5" customHeight="1">
      <c r="A14" s="2859" t="s">
        <v>1848</v>
      </c>
      <c r="B14" s="2860" t="s">
        <v>480</v>
      </c>
      <c r="C14" s="53">
        <f ca="1">ROUND(C13*F14,0)</f>
        <v>4140</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2070</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151405</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3447</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3095</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10322</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12124</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12124</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27526</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207829</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207829</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30272</v>
      </c>
      <c r="D33" s="465">
        <f ca="1">C34</f>
        <v>0.1852</v>
      </c>
      <c r="E33" s="467" t="s">
        <v>495</v>
      </c>
      <c r="F33" s="477">
        <f ca="1">IF(B1="",'数据-取费表'!Q16,INDIRECT("'数据-取费表'!q"&amp;$K$1))</f>
        <v>0.18</v>
      </c>
      <c r="G33" s="2833"/>
      <c r="H33" s="2834"/>
      <c r="I33" s="2834"/>
      <c r="J33" s="2834"/>
      <c r="K33" s="2835"/>
    </row>
    <row r="34" spans="1:11" s="2115" customFormat="1" ht="13.5" customHeight="1">
      <c r="A34" s="373" t="s">
        <v>1855</v>
      </c>
      <c r="B34" s="2880" t="s">
        <v>502</v>
      </c>
      <c r="C34" s="470">
        <f ca="1">ROUND((1+C25)*F33,4)</f>
        <v>0.1852</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30272</v>
      </c>
      <c r="D35" s="1621"/>
      <c r="E35" s="2881"/>
      <c r="F35" s="1622"/>
      <c r="G35" s="2839"/>
      <c r="H35" s="2840"/>
      <c r="I35" s="2840"/>
      <c r="J35" s="2840"/>
      <c r="K35" s="2841"/>
    </row>
    <row r="36" spans="1:11" s="2077" customFormat="1" ht="13.5" customHeight="1" thickBot="1">
      <c r="A36" s="282" t="s">
        <v>1843</v>
      </c>
      <c r="B36" s="2843"/>
      <c r="C36" s="2882">
        <f ca="1">ROUND((C6-C30-C33)/(1+D30+D33),0)</f>
        <v>203233</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ColWidth="9" defaultRowHeight="13.8"/>
  <cols>
    <col min="1" max="1" width="10.44140625" style="1330" customWidth="1"/>
    <col min="2" max="2" width="15.77734375" style="1330" customWidth="1"/>
    <col min="3" max="3" width="15.10937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2639" t="s">
        <v>720</v>
      </c>
      <c r="C1" s="2640" t="s">
        <v>721</v>
      </c>
      <c r="D1" s="2641" t="s">
        <v>3314</v>
      </c>
      <c r="E1" s="2642"/>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4.4">
      <c r="A4" s="510" t="s">
        <v>522</v>
      </c>
      <c r="B4" s="511"/>
      <c r="C4" s="3783" t="s">
        <v>523</v>
      </c>
      <c r="D4" s="3784"/>
      <c r="E4" s="3808" t="s">
        <v>524</v>
      </c>
      <c r="F4" s="3809"/>
      <c r="G4" s="3783" t="s">
        <v>525</v>
      </c>
      <c r="H4" s="3784"/>
      <c r="I4" s="3783" t="s">
        <v>526</v>
      </c>
      <c r="J4" s="3784"/>
      <c r="K4" s="850" t="s">
        <v>527</v>
      </c>
      <c r="L4" s="2125"/>
      <c r="M4" s="2126"/>
      <c r="N4" s="2126"/>
      <c r="O4" s="2126"/>
      <c r="P4" s="3785" t="s">
        <v>528</v>
      </c>
      <c r="Q4" s="3786"/>
      <c r="R4" s="3771" t="s">
        <v>524</v>
      </c>
      <c r="S4" s="3772"/>
      <c r="T4" s="3771" t="s">
        <v>525</v>
      </c>
      <c r="U4" s="3772"/>
      <c r="V4" s="3791" t="s">
        <v>526</v>
      </c>
      <c r="W4" s="3791"/>
      <c r="X4" s="1559"/>
      <c r="Y4" s="3771" t="s">
        <v>528</v>
      </c>
      <c r="Z4" s="3772"/>
      <c r="AA4" s="3766" t="s">
        <v>524</v>
      </c>
      <c r="AB4" s="3766" t="s">
        <v>525</v>
      </c>
      <c r="AC4" s="3766" t="s">
        <v>526</v>
      </c>
    </row>
    <row r="5" spans="1:29">
      <c r="A5" s="513"/>
      <c r="B5" s="514"/>
      <c r="C5" s="3876" t="s">
        <v>3321</v>
      </c>
      <c r="D5" s="3795"/>
      <c r="E5" s="3875" t="s">
        <v>3322</v>
      </c>
      <c r="F5" s="3811"/>
      <c r="G5" s="3876" t="s">
        <v>3323</v>
      </c>
      <c r="H5" s="3795"/>
      <c r="I5" s="3876" t="s">
        <v>3342</v>
      </c>
      <c r="J5" s="3795"/>
      <c r="K5" s="851"/>
      <c r="L5" s="2125"/>
      <c r="M5" s="2126"/>
      <c r="N5" s="2126"/>
      <c r="O5" s="2126"/>
      <c r="P5" s="3787"/>
      <c r="Q5" s="3788"/>
      <c r="R5" s="3773"/>
      <c r="S5" s="3774"/>
      <c r="T5" s="3773"/>
      <c r="U5" s="3774"/>
      <c r="V5" s="3791"/>
      <c r="W5" s="3791"/>
      <c r="X5" s="1559"/>
      <c r="Y5" s="3773"/>
      <c r="Z5" s="3774"/>
      <c r="AA5" s="3767"/>
      <c r="AB5" s="3767"/>
      <c r="AC5" s="3767"/>
    </row>
    <row r="6" spans="1:29" ht="15" thickBot="1">
      <c r="A6" s="515"/>
      <c r="B6" s="516"/>
      <c r="C6" s="3792" t="s">
        <v>2933</v>
      </c>
      <c r="D6" s="3793"/>
      <c r="E6" s="3812" t="s">
        <v>2933</v>
      </c>
      <c r="F6" s="3813"/>
      <c r="G6" s="3792" t="s">
        <v>2933</v>
      </c>
      <c r="H6" s="3793"/>
      <c r="I6" s="3792" t="s">
        <v>2933</v>
      </c>
      <c r="J6" s="3793"/>
      <c r="K6" s="851" t="s">
        <v>529</v>
      </c>
      <c r="L6" s="2125"/>
      <c r="M6" s="2126"/>
      <c r="N6" s="2126"/>
      <c r="O6" s="2126"/>
      <c r="P6" s="3789"/>
      <c r="Q6" s="3790"/>
      <c r="R6" s="3773"/>
      <c r="S6" s="3774"/>
      <c r="T6" s="3775"/>
      <c r="U6" s="3776"/>
      <c r="V6" s="3791"/>
      <c r="W6" s="3791"/>
      <c r="X6" s="1559"/>
      <c r="Y6" s="3775"/>
      <c r="Z6" s="3776"/>
      <c r="AA6" s="3768"/>
      <c r="AB6" s="3768"/>
      <c r="AC6" s="3768"/>
    </row>
    <row r="7" spans="1:29" s="1213" customFormat="1" ht="15" thickBot="1">
      <c r="A7" s="2928"/>
      <c r="B7" s="2935" t="s">
        <v>530</v>
      </c>
      <c r="C7" s="517">
        <f>'数据-取费表'!B2</f>
        <v>43924</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69" t="s">
        <v>531</v>
      </c>
      <c r="Q7" s="3778"/>
      <c r="R7" s="1560" t="s">
        <v>13</v>
      </c>
      <c r="S7" s="1561">
        <f t="shared" ref="S7:S15" si="0">F7</f>
        <v>0</v>
      </c>
      <c r="T7" s="1560" t="s">
        <v>13</v>
      </c>
      <c r="U7" s="1561">
        <f t="shared" ref="U7:U15" si="1">H7</f>
        <v>0</v>
      </c>
      <c r="V7" s="1560" t="s">
        <v>13</v>
      </c>
      <c r="W7" s="1561">
        <f t="shared" ref="W7:W15" si="2">J7</f>
        <v>0</v>
      </c>
      <c r="X7" s="1562"/>
      <c r="Y7" s="3769" t="s">
        <v>531</v>
      </c>
      <c r="Z7" s="3770"/>
      <c r="AA7" s="1563" t="e">
        <f>D7/F7</f>
        <v>#DIV/0!</v>
      </c>
      <c r="AB7" s="1563" t="e">
        <f>D7/H7</f>
        <v>#DIV/0!</v>
      </c>
      <c r="AC7" s="1563" t="e">
        <f>D7/J7</f>
        <v>#DIV/0!</v>
      </c>
    </row>
    <row r="8" spans="1:29" s="1213" customFormat="1" ht="15" thickBot="1">
      <c r="A8" s="2929"/>
      <c r="B8" s="2936" t="s">
        <v>532</v>
      </c>
      <c r="C8" s="523" t="s">
        <v>577</v>
      </c>
      <c r="D8" s="518">
        <v>100</v>
      </c>
      <c r="E8" s="3518" t="s">
        <v>3343</v>
      </c>
      <c r="F8" s="520">
        <f>SUMIF(61:61,E8,62:62)-SUMIF(61:61,C8,62:62)+100</f>
        <v>100</v>
      </c>
      <c r="G8" s="3502" t="s">
        <v>3343</v>
      </c>
      <c r="H8" s="518">
        <f>SUMIF(61:61,G8,62:62)-SUMIF(61:61,C8,62:62)+100</f>
        <v>100</v>
      </c>
      <c r="I8" s="3518" t="s">
        <v>3343</v>
      </c>
      <c r="J8" s="518">
        <f>SUMIF(61:61,I8,62:62)-SUMIF(61:61,C8,62:62)+100</f>
        <v>100</v>
      </c>
      <c r="K8" s="852"/>
      <c r="L8" s="2127"/>
      <c r="M8" s="2128"/>
      <c r="N8" s="2128"/>
      <c r="O8" s="2128"/>
      <c r="P8" s="3769" t="s">
        <v>534</v>
      </c>
      <c r="Q8" s="3770"/>
      <c r="R8" s="1560" t="s">
        <v>13</v>
      </c>
      <c r="S8" s="1561">
        <f t="shared" si="0"/>
        <v>100</v>
      </c>
      <c r="T8" s="1560" t="s">
        <v>13</v>
      </c>
      <c r="U8" s="1561">
        <f t="shared" si="1"/>
        <v>100</v>
      </c>
      <c r="V8" s="1560" t="s">
        <v>13</v>
      </c>
      <c r="W8" s="1561">
        <f t="shared" si="2"/>
        <v>100</v>
      </c>
      <c r="X8" s="1562"/>
      <c r="Y8" s="3769" t="s">
        <v>534</v>
      </c>
      <c r="Z8" s="3770"/>
      <c r="AA8" s="1563">
        <f t="shared" ref="AA8:AA46" si="3">D8/F8</f>
        <v>1</v>
      </c>
      <c r="AB8" s="1563">
        <f t="shared" ref="AB8:AB46" si="4">D8/H8</f>
        <v>1</v>
      </c>
      <c r="AC8" s="1563">
        <f t="shared" ref="AC8:AC46" si="5">D8/J8</f>
        <v>1</v>
      </c>
    </row>
    <row r="9" spans="1:29" s="1213" customFormat="1" ht="14.4">
      <c r="A9" s="2930"/>
      <c r="B9" s="2937" t="s">
        <v>2760</v>
      </c>
      <c r="C9" s="3503" t="s">
        <v>3344</v>
      </c>
      <c r="D9" s="252">
        <v>100</v>
      </c>
      <c r="E9" s="3505" t="s">
        <v>3344</v>
      </c>
      <c r="F9" s="856">
        <f>SUMIF(63:63,E9,64:64)-SUMIF(63:63,C9,64:64)+100</f>
        <v>100</v>
      </c>
      <c r="G9" s="3504" t="s">
        <v>3344</v>
      </c>
      <c r="H9" s="252">
        <f>SUMIF(63:63,G9,64:64)-SUMIF(63:63,C9,64:64)+100</f>
        <v>100</v>
      </c>
      <c r="I9" s="3504" t="s">
        <v>3345</v>
      </c>
      <c r="J9" s="252">
        <f>SUMIF(63:63,I9,64:64)-SUMIF(63:63,C9,64:64)+100</f>
        <v>100</v>
      </c>
      <c r="K9" s="852"/>
      <c r="L9" s="2127"/>
      <c r="M9" s="2128"/>
      <c r="N9" s="2128"/>
      <c r="O9" s="2129"/>
      <c r="P9" s="3777" t="s">
        <v>536</v>
      </c>
      <c r="Q9" s="1144" t="str">
        <f t="shared" ref="Q9:Q15" si="6">B9</f>
        <v>用途</v>
      </c>
      <c r="R9" s="1560" t="s">
        <v>8</v>
      </c>
      <c r="S9" s="1561">
        <f t="shared" si="0"/>
        <v>100</v>
      </c>
      <c r="T9" s="1560" t="s">
        <v>8</v>
      </c>
      <c r="U9" s="1561">
        <f t="shared" si="1"/>
        <v>100</v>
      </c>
      <c r="V9" s="1560" t="s">
        <v>8</v>
      </c>
      <c r="W9" s="1561">
        <f t="shared" si="2"/>
        <v>100</v>
      </c>
      <c r="X9" s="1562"/>
      <c r="Y9" s="3734" t="s">
        <v>537</v>
      </c>
      <c r="Z9" s="1143" t="str">
        <f t="shared" ref="Z9:Z15" si="7">Q9</f>
        <v>用途</v>
      </c>
      <c r="AA9" s="1563">
        <f t="shared" si="3"/>
        <v>1</v>
      </c>
      <c r="AB9" s="1563">
        <f t="shared" si="4"/>
        <v>1</v>
      </c>
      <c r="AC9" s="1563">
        <f t="shared" si="5"/>
        <v>1</v>
      </c>
    </row>
    <row r="10" spans="1:29" s="1331" customFormat="1" ht="28.8">
      <c r="A10" s="2931"/>
      <c r="B10" s="2936" t="s">
        <v>2761</v>
      </c>
      <c r="C10" s="858" t="s">
        <v>3326</v>
      </c>
      <c r="D10" s="253">
        <v>100</v>
      </c>
      <c r="E10" s="3550" t="s">
        <v>3326</v>
      </c>
      <c r="F10" s="860">
        <f>SUMIF(65:65,E10,66:66)-SUMIF(65:65,C10,66:66)+100</f>
        <v>100</v>
      </c>
      <c r="G10" s="858" t="s">
        <v>3326</v>
      </c>
      <c r="H10" s="253">
        <f>SUMIF(65:65,G10,66:66)-SUMIF(65:65,C10,66:66)+100</f>
        <v>100</v>
      </c>
      <c r="I10" s="858" t="s">
        <v>3326</v>
      </c>
      <c r="J10" s="253">
        <f>SUMIF(65:65,I10,66:66)-SUMIF(65:65,C10,66:66)+100</f>
        <v>100</v>
      </c>
      <c r="K10" s="861">
        <v>2</v>
      </c>
      <c r="L10" s="2130"/>
      <c r="M10" s="2170"/>
      <c r="N10" s="2170"/>
      <c r="O10" s="2131"/>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77"/>
      <c r="Q11" s="1144" t="str">
        <f t="shared" si="6"/>
        <v>容积率</v>
      </c>
      <c r="R11" s="1560" t="s">
        <v>11</v>
      </c>
      <c r="S11" s="1561">
        <f t="shared" si="0"/>
        <v>100</v>
      </c>
      <c r="T11" s="1560" t="s">
        <v>11</v>
      </c>
      <c r="U11" s="1561">
        <f t="shared" si="1"/>
        <v>100</v>
      </c>
      <c r="V11" s="1560" t="s">
        <v>11</v>
      </c>
      <c r="W11" s="1561">
        <f t="shared" si="2"/>
        <v>100</v>
      </c>
      <c r="X11" s="1562"/>
      <c r="Y11" s="373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77"/>
      <c r="Q12" s="1144">
        <f t="shared" si="6"/>
        <v>111</v>
      </c>
      <c r="R12" s="1560" t="s">
        <v>11</v>
      </c>
      <c r="S12" s="1561">
        <f t="shared" si="0"/>
        <v>100</v>
      </c>
      <c r="T12" s="1560" t="s">
        <v>11</v>
      </c>
      <c r="U12" s="1561">
        <f t="shared" si="1"/>
        <v>100</v>
      </c>
      <c r="V12" s="1560" t="s">
        <v>11</v>
      </c>
      <c r="W12" s="1561">
        <f t="shared" si="2"/>
        <v>100</v>
      </c>
      <c r="X12" s="1562"/>
      <c r="Y12" s="3734"/>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77"/>
      <c r="Q13" s="1144">
        <f t="shared" si="6"/>
        <v>111</v>
      </c>
      <c r="R13" s="1560" t="s">
        <v>11</v>
      </c>
      <c r="S13" s="1561">
        <f t="shared" si="0"/>
        <v>100</v>
      </c>
      <c r="T13" s="1560" t="s">
        <v>11</v>
      </c>
      <c r="U13" s="1561">
        <f t="shared" si="1"/>
        <v>100</v>
      </c>
      <c r="V13" s="1560" t="s">
        <v>11</v>
      </c>
      <c r="W13" s="1561">
        <f t="shared" si="2"/>
        <v>100</v>
      </c>
      <c r="X13" s="1562"/>
      <c r="Y13" s="3734"/>
      <c r="Z13" s="1143">
        <f t="shared" si="7"/>
        <v>111</v>
      </c>
      <c r="AA13" s="1563">
        <f t="shared" si="3"/>
        <v>1</v>
      </c>
      <c r="AB13" s="1563">
        <f t="shared" si="4"/>
        <v>1</v>
      </c>
      <c r="AC13" s="1563">
        <f t="shared" si="5"/>
        <v>1</v>
      </c>
    </row>
    <row r="14" spans="1:29" ht="15.6"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77"/>
      <c r="Q14" s="1144">
        <f t="shared" si="6"/>
        <v>111</v>
      </c>
      <c r="R14" s="1560" t="s">
        <v>11</v>
      </c>
      <c r="S14" s="1561">
        <f t="shared" si="0"/>
        <v>100</v>
      </c>
      <c r="T14" s="1560" t="s">
        <v>11</v>
      </c>
      <c r="U14" s="1561">
        <f t="shared" si="1"/>
        <v>100</v>
      </c>
      <c r="V14" s="1560" t="s">
        <v>11</v>
      </c>
      <c r="W14" s="1561">
        <f t="shared" si="2"/>
        <v>100</v>
      </c>
      <c r="X14" s="1562"/>
      <c r="Y14" s="3734"/>
      <c r="Z14" s="1143">
        <f t="shared" si="7"/>
        <v>111</v>
      </c>
      <c r="AA14" s="1563">
        <f t="shared" si="3"/>
        <v>1</v>
      </c>
      <c r="AB14" s="1563">
        <f t="shared" si="4"/>
        <v>1</v>
      </c>
      <c r="AC14" s="1563">
        <f t="shared" si="5"/>
        <v>1</v>
      </c>
    </row>
    <row r="15" spans="1:29" ht="115.2">
      <c r="A15" s="2926" t="s">
        <v>2758</v>
      </c>
      <c r="B15" s="3545" t="s">
        <v>295</v>
      </c>
      <c r="C15" s="864" t="str">
        <f>估价对象房地状况!C3</f>
        <v>估价对象位于太湖商圈，周边办公楼项目较多（无锡金融中心等），入驻率较高，办公集聚程度较好</v>
      </c>
      <c r="D15" s="547">
        <v>100</v>
      </c>
      <c r="E15" s="3522" t="s">
        <v>3449</v>
      </c>
      <c r="F15" s="549">
        <f>SUMIF(76:76,E16,77:77)-SUMIF(76:76,C16,77:77)+100</f>
        <v>100</v>
      </c>
      <c r="G15" s="3523" t="s">
        <v>3449</v>
      </c>
      <c r="H15" s="547">
        <f>SUMIF(76:76,G16,77:77)-SUMIF(76:76,C16,77:77)+100</f>
        <v>100</v>
      </c>
      <c r="I15" s="3522" t="s">
        <v>3452</v>
      </c>
      <c r="J15" s="547">
        <f>SUMIF(76:76,I16,77:77)-SUMIF(76:76,C16,77:77)+100</f>
        <v>100</v>
      </c>
      <c r="K15" s="865">
        <v>2</v>
      </c>
      <c r="L15" s="2134"/>
      <c r="M15" s="2126"/>
      <c r="N15" s="2126"/>
      <c r="O15" s="2133"/>
      <c r="P15" s="3779" t="s">
        <v>541</v>
      </c>
      <c r="Q15" s="1564" t="str">
        <f t="shared" si="6"/>
        <v>居住社区成熟度</v>
      </c>
      <c r="R15" s="1565" t="s">
        <v>11</v>
      </c>
      <c r="S15" s="1566">
        <f t="shared" si="0"/>
        <v>100</v>
      </c>
      <c r="T15" s="1565" t="s">
        <v>11</v>
      </c>
      <c r="U15" s="1566">
        <f t="shared" si="1"/>
        <v>100</v>
      </c>
      <c r="V15" s="1565" t="s">
        <v>11</v>
      </c>
      <c r="W15" s="1566">
        <f t="shared" si="2"/>
        <v>100</v>
      </c>
      <c r="X15" s="1559"/>
      <c r="Y15" s="3779" t="s">
        <v>541</v>
      </c>
      <c r="Z15" s="1567" t="str">
        <f t="shared" si="7"/>
        <v>居住社区成熟度</v>
      </c>
      <c r="AA15" s="1568">
        <f t="shared" si="3"/>
        <v>1</v>
      </c>
      <c r="AB15" s="1568">
        <f t="shared" si="4"/>
        <v>1</v>
      </c>
      <c r="AC15" s="1568">
        <f t="shared" si="5"/>
        <v>1</v>
      </c>
    </row>
    <row r="16" spans="1:29" ht="15">
      <c r="A16" s="530"/>
      <c r="B16" s="866"/>
      <c r="C16" s="3499" t="s">
        <v>3346</v>
      </c>
      <c r="D16" s="553"/>
      <c r="E16" s="3494" t="s">
        <v>3346</v>
      </c>
      <c r="F16" s="555"/>
      <c r="G16" s="3493" t="s">
        <v>3346</v>
      </c>
      <c r="H16" s="557"/>
      <c r="I16" s="3494" t="s">
        <v>3288</v>
      </c>
      <c r="J16" s="553"/>
      <c r="K16" s="867"/>
      <c r="L16" s="2134"/>
      <c r="M16" s="2126"/>
      <c r="N16" s="2126"/>
      <c r="O16" s="2133"/>
      <c r="P16" s="3780"/>
      <c r="Q16" s="1564"/>
      <c r="R16" s="1565"/>
      <c r="S16" s="1566"/>
      <c r="T16" s="1565"/>
      <c r="U16" s="1566"/>
      <c r="V16" s="1565"/>
      <c r="W16" s="1566"/>
      <c r="X16" s="1559"/>
      <c r="Y16" s="3780"/>
      <c r="Z16" s="1567"/>
      <c r="AA16" s="1568">
        <v>1</v>
      </c>
      <c r="AB16" s="1568">
        <v>1</v>
      </c>
      <c r="AC16" s="1568">
        <v>1</v>
      </c>
    </row>
    <row r="17" spans="1:29" ht="115.2">
      <c r="A17" s="530"/>
      <c r="B17" s="868" t="s">
        <v>296</v>
      </c>
      <c r="C17" s="869" t="str">
        <f>估价对象房地状况!C6</f>
        <v>估价对象临立信大道、公共交通线路较多（135路、156路等）及地铁1号线、停车便捷度较高，综合评价交通便捷度较好</v>
      </c>
      <c r="D17" s="557">
        <v>100</v>
      </c>
      <c r="E17" s="560" t="s">
        <v>3399</v>
      </c>
      <c r="F17" s="561">
        <f>SUMIF(78:78,E18,79:79)-SUMIF(78:78,C18,79:79)+100</f>
        <v>100</v>
      </c>
      <c r="G17" s="562" t="s">
        <v>3399</v>
      </c>
      <c r="H17" s="563">
        <f>SUMIF(78:78,G18,79:79)-SUMIF(78:78,C18,79:79)+100</f>
        <v>100</v>
      </c>
      <c r="I17" s="560" t="s">
        <v>3400</v>
      </c>
      <c r="J17" s="563">
        <f>SUMIF(78:78,I18,79:79)-SUMIF(78:78,C18,79:79)+100</f>
        <v>100</v>
      </c>
      <c r="K17" s="865">
        <v>2</v>
      </c>
      <c r="L17" s="2134"/>
      <c r="M17" s="2126"/>
      <c r="N17" s="2126"/>
      <c r="O17" s="2133"/>
      <c r="P17" s="3780"/>
      <c r="Q17" s="1564" t="str">
        <f>B17</f>
        <v>交通便捷度</v>
      </c>
      <c r="R17" s="1565" t="s">
        <v>11</v>
      </c>
      <c r="S17" s="1566">
        <f>F17</f>
        <v>100</v>
      </c>
      <c r="T17" s="1565" t="s">
        <v>11</v>
      </c>
      <c r="U17" s="1566">
        <f>H17</f>
        <v>100</v>
      </c>
      <c r="V17" s="1565" t="s">
        <v>11</v>
      </c>
      <c r="W17" s="1566">
        <f>J17</f>
        <v>100</v>
      </c>
      <c r="X17" s="1559"/>
      <c r="Y17" s="3780"/>
      <c r="Z17" s="1567" t="str">
        <f>Q17</f>
        <v>交通便捷度</v>
      </c>
      <c r="AA17" s="1568">
        <f t="shared" si="3"/>
        <v>1</v>
      </c>
      <c r="AB17" s="1568">
        <f t="shared" si="4"/>
        <v>1</v>
      </c>
      <c r="AC17" s="1568">
        <f t="shared" si="5"/>
        <v>1</v>
      </c>
    </row>
    <row r="18" spans="1:29" ht="15">
      <c r="A18" s="530"/>
      <c r="B18" s="592"/>
      <c r="C18" s="3506" t="s">
        <v>3346</v>
      </c>
      <c r="D18" s="557"/>
      <c r="E18" s="3507" t="s">
        <v>3346</v>
      </c>
      <c r="F18" s="561"/>
      <c r="G18" s="3508" t="s">
        <v>3346</v>
      </c>
      <c r="H18" s="553"/>
      <c r="I18" s="3507" t="s">
        <v>3346</v>
      </c>
      <c r="J18" s="553"/>
      <c r="K18" s="867"/>
      <c r="L18" s="2134"/>
      <c r="M18" s="2126"/>
      <c r="N18" s="2126"/>
      <c r="O18" s="2133"/>
      <c r="P18" s="3780"/>
      <c r="Q18" s="1564"/>
      <c r="R18" s="1565"/>
      <c r="S18" s="1566"/>
      <c r="T18" s="1565"/>
      <c r="U18" s="1566"/>
      <c r="V18" s="1565"/>
      <c r="W18" s="1566"/>
      <c r="X18" s="1559"/>
      <c r="Y18" s="3780"/>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3402</v>
      </c>
      <c r="F19" s="568">
        <f>SUMIF(80:80,E20,81:81)-SUMIF(80:80,C20,81:81)+100</f>
        <v>100</v>
      </c>
      <c r="G19" s="3525" t="s">
        <v>3402</v>
      </c>
      <c r="H19" s="557">
        <f>SUMIF(80:80,G20,81:81)-SUMIF(80:80,C20,81:81)+100</f>
        <v>100</v>
      </c>
      <c r="I19" s="3524" t="s">
        <v>3401</v>
      </c>
      <c r="J19" s="557">
        <f>SUMIF(80:80,I20,81:81)-SUMIF(80:80,C20,81:81)+100</f>
        <v>100</v>
      </c>
      <c r="K19" s="865">
        <v>2</v>
      </c>
      <c r="L19" s="2134"/>
      <c r="M19" s="2126"/>
      <c r="N19" s="2126"/>
      <c r="O19" s="2133"/>
      <c r="P19" s="3780"/>
      <c r="Q19" s="1564" t="str">
        <f>B19</f>
        <v>公共配套设施</v>
      </c>
      <c r="R19" s="1565" t="s">
        <v>11</v>
      </c>
      <c r="S19" s="1566">
        <f>F19</f>
        <v>100</v>
      </c>
      <c r="T19" s="1565" t="s">
        <v>11</v>
      </c>
      <c r="U19" s="1566">
        <f>H19</f>
        <v>100</v>
      </c>
      <c r="V19" s="1565" t="s">
        <v>11</v>
      </c>
      <c r="W19" s="1566">
        <f>J19</f>
        <v>100</v>
      </c>
      <c r="X19" s="1559"/>
      <c r="Y19" s="3780"/>
      <c r="Z19" s="1567" t="str">
        <f>Q19</f>
        <v>公共配套设施</v>
      </c>
      <c r="AA19" s="1568">
        <f t="shared" si="3"/>
        <v>1</v>
      </c>
      <c r="AB19" s="1568">
        <f t="shared" si="4"/>
        <v>1</v>
      </c>
      <c r="AC19" s="1568">
        <f t="shared" si="5"/>
        <v>1</v>
      </c>
    </row>
    <row r="20" spans="1:29" ht="15">
      <c r="A20" s="530"/>
      <c r="B20" s="592"/>
      <c r="C20" s="3499" t="s">
        <v>3346</v>
      </c>
      <c r="D20" s="553"/>
      <c r="E20" s="3494" t="s">
        <v>3346</v>
      </c>
      <c r="F20" s="555"/>
      <c r="G20" s="3493" t="s">
        <v>3346</v>
      </c>
      <c r="H20" s="553"/>
      <c r="I20" s="3494" t="s">
        <v>3346</v>
      </c>
      <c r="J20" s="553"/>
      <c r="K20" s="867"/>
      <c r="L20" s="2134"/>
      <c r="M20" s="2126"/>
      <c r="N20" s="2126"/>
      <c r="O20" s="2133"/>
      <c r="P20" s="3780"/>
      <c r="Q20" s="1564"/>
      <c r="R20" s="1565"/>
      <c r="S20" s="1566"/>
      <c r="T20" s="1565"/>
      <c r="U20" s="1566"/>
      <c r="V20" s="1565"/>
      <c r="W20" s="1566"/>
      <c r="X20" s="1559"/>
      <c r="Y20" s="3780"/>
      <c r="Z20" s="1567"/>
      <c r="AA20" s="1568">
        <v>1</v>
      </c>
      <c r="AB20" s="1568">
        <v>1</v>
      </c>
      <c r="AC20" s="1568">
        <v>1</v>
      </c>
    </row>
    <row r="21" spans="1:29" ht="41.4">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80"/>
      <c r="Q21" s="2595" t="str">
        <f>B21</f>
        <v>基础设施水平</v>
      </c>
      <c r="R21" s="1565" t="s">
        <v>11</v>
      </c>
      <c r="S21" s="1566">
        <f>F21</f>
        <v>100</v>
      </c>
      <c r="T21" s="1565" t="s">
        <v>11</v>
      </c>
      <c r="U21" s="1566">
        <f>H21</f>
        <v>100</v>
      </c>
      <c r="V21" s="1565" t="s">
        <v>11</v>
      </c>
      <c r="W21" s="1566">
        <f>J21</f>
        <v>100</v>
      </c>
      <c r="X21" s="2597"/>
      <c r="Y21" s="3780"/>
      <c r="Z21" s="2596" t="str">
        <f>Q21</f>
        <v>基础设施水平</v>
      </c>
      <c r="AA21" s="1568">
        <f t="shared" ref="AA21" si="8">D21/F21</f>
        <v>1</v>
      </c>
      <c r="AB21" s="1568">
        <f t="shared" ref="AB21" si="9">D21/H21</f>
        <v>1</v>
      </c>
      <c r="AC21" s="1568">
        <f t="shared" ref="AC21" si="10">D21/J21</f>
        <v>1</v>
      </c>
    </row>
    <row r="22" spans="1:29" ht="15">
      <c r="A22" s="530"/>
      <c r="B22" s="915"/>
      <c r="C22" s="3506" t="s">
        <v>3348</v>
      </c>
      <c r="D22" s="553"/>
      <c r="E22" s="3499" t="s">
        <v>3348</v>
      </c>
      <c r="F22" s="555"/>
      <c r="G22" s="3499" t="s">
        <v>3348</v>
      </c>
      <c r="H22" s="553"/>
      <c r="I22" s="3499" t="s">
        <v>3348</v>
      </c>
      <c r="J22" s="553"/>
      <c r="K22" s="2615"/>
      <c r="L22" s="2134"/>
      <c r="M22" s="2126"/>
      <c r="N22" s="2126"/>
      <c r="O22" s="2133"/>
      <c r="P22" s="3780"/>
      <c r="Q22" s="2595"/>
      <c r="R22" s="1565"/>
      <c r="S22" s="1566"/>
      <c r="T22" s="1565"/>
      <c r="U22" s="1566"/>
      <c r="V22" s="1565"/>
      <c r="W22" s="1566"/>
      <c r="X22" s="2597"/>
      <c r="Y22" s="3780"/>
      <c r="Z22" s="2596"/>
      <c r="AA22" s="1568">
        <v>1</v>
      </c>
      <c r="AB22" s="1568">
        <v>1</v>
      </c>
      <c r="AC22" s="1568">
        <v>1</v>
      </c>
    </row>
    <row r="23" spans="1:29" ht="115.2">
      <c r="A23" s="530"/>
      <c r="B23" s="868" t="s">
        <v>297</v>
      </c>
      <c r="C23" s="869" t="str">
        <f>估价对象房地状况!C9</f>
        <v>区域内有尚贤河湿地公园，自然环境较好；无大学等人文设施，人文环境较差；综合评价环境状况一般</v>
      </c>
      <c r="D23" s="557">
        <v>100</v>
      </c>
      <c r="E23" s="3526" t="s">
        <v>3424</v>
      </c>
      <c r="F23" s="561">
        <f>SUMIF(84:84,E24,85:85)-SUMIF(84:84,C24,85:85)+100</f>
        <v>100</v>
      </c>
      <c r="G23" s="3527" t="s">
        <v>3424</v>
      </c>
      <c r="H23" s="557">
        <f>SUMIF(84:84,G24,85:85)-SUMIF(84:84,C24,85:85)+100</f>
        <v>100</v>
      </c>
      <c r="I23" s="3526" t="s">
        <v>3431</v>
      </c>
      <c r="J23" s="557">
        <f>SUMIF(84:84,I24,85:85)-SUMIF(84:84,C24,85:85)+100</f>
        <v>100</v>
      </c>
      <c r="K23" s="865">
        <v>2</v>
      </c>
      <c r="L23" s="2134"/>
      <c r="M23" s="2126"/>
      <c r="N23" s="2126"/>
      <c r="O23" s="2133"/>
      <c r="P23" s="3780"/>
      <c r="Q23" s="1564" t="str">
        <f>B23</f>
        <v>自然及人文环境</v>
      </c>
      <c r="R23" s="1565" t="s">
        <v>11</v>
      </c>
      <c r="S23" s="1566">
        <f>F23</f>
        <v>100</v>
      </c>
      <c r="T23" s="1565" t="s">
        <v>11</v>
      </c>
      <c r="U23" s="1566">
        <f>H23</f>
        <v>100</v>
      </c>
      <c r="V23" s="1565" t="s">
        <v>11</v>
      </c>
      <c r="W23" s="1566">
        <f>J23</f>
        <v>100</v>
      </c>
      <c r="X23" s="1559"/>
      <c r="Y23" s="3780"/>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80"/>
      <c r="Q24" s="1564"/>
      <c r="R24" s="1565"/>
      <c r="S24" s="1566"/>
      <c r="T24" s="1565"/>
      <c r="U24" s="1566"/>
      <c r="V24" s="1565"/>
      <c r="W24" s="1566"/>
      <c r="X24" s="1559"/>
      <c r="Y24" s="3780"/>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80"/>
      <c r="Q25" s="1564" t="str">
        <f t="shared" ref="Q25:Q46" si="11">B25</f>
        <v>楼层-1</v>
      </c>
      <c r="R25" s="1565" t="s">
        <v>11</v>
      </c>
      <c r="S25" s="1566">
        <f>F25</f>
        <v>100</v>
      </c>
      <c r="T25" s="1565" t="s">
        <v>11</v>
      </c>
      <c r="U25" s="1566">
        <f>H25</f>
        <v>100</v>
      </c>
      <c r="V25" s="1565" t="s">
        <v>11</v>
      </c>
      <c r="W25" s="1566">
        <f>J25</f>
        <v>100</v>
      </c>
      <c r="X25" s="1559"/>
      <c r="Y25" s="3780"/>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80"/>
      <c r="Q26" s="1564" t="str">
        <f t="shared" si="11"/>
        <v>朝向</v>
      </c>
      <c r="R26" s="1565" t="s">
        <v>11</v>
      </c>
      <c r="S26" s="1566">
        <f>F26</f>
        <v>100</v>
      </c>
      <c r="T26" s="1565" t="s">
        <v>11</v>
      </c>
      <c r="U26" s="1566">
        <f>H26</f>
        <v>100</v>
      </c>
      <c r="V26" s="1565" t="s">
        <v>11</v>
      </c>
      <c r="W26" s="1566">
        <f>J26</f>
        <v>100</v>
      </c>
      <c r="X26" s="1559"/>
      <c r="Y26" s="3780"/>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80"/>
      <c r="Q27" s="1144" t="str">
        <f t="shared" si="11"/>
        <v>道路级别</v>
      </c>
      <c r="R27" s="1560" t="s">
        <v>11</v>
      </c>
      <c r="S27" s="1561">
        <f>F27</f>
        <v>100</v>
      </c>
      <c r="T27" s="1560" t="s">
        <v>11</v>
      </c>
      <c r="U27" s="1561">
        <f>H27</f>
        <v>100</v>
      </c>
      <c r="V27" s="1560" t="s">
        <v>11</v>
      </c>
      <c r="W27" s="1561">
        <f>J27</f>
        <v>100</v>
      </c>
      <c r="X27" s="1562"/>
      <c r="Y27" s="3780"/>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80"/>
      <c r="Q28" s="1564">
        <f t="shared" si="11"/>
        <v>111</v>
      </c>
      <c r="R28" s="1565" t="s">
        <v>11</v>
      </c>
      <c r="S28" s="1566">
        <f t="shared" ref="S28:S46" si="12">F28</f>
        <v>100</v>
      </c>
      <c r="T28" s="1565" t="s">
        <v>11</v>
      </c>
      <c r="U28" s="1566">
        <f t="shared" ref="U28:U46" si="13">H28</f>
        <v>100</v>
      </c>
      <c r="V28" s="1565" t="s">
        <v>11</v>
      </c>
      <c r="W28" s="1566">
        <f t="shared" ref="W28:W46" si="14">J28</f>
        <v>100</v>
      </c>
      <c r="X28" s="1559"/>
      <c r="Y28" s="3780"/>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80"/>
      <c r="Q29" s="1564">
        <f t="shared" si="11"/>
        <v>111</v>
      </c>
      <c r="R29" s="1565" t="s">
        <v>11</v>
      </c>
      <c r="S29" s="1566">
        <f t="shared" si="12"/>
        <v>100</v>
      </c>
      <c r="T29" s="1565" t="s">
        <v>11</v>
      </c>
      <c r="U29" s="1566">
        <f t="shared" si="13"/>
        <v>100</v>
      </c>
      <c r="V29" s="1565" t="s">
        <v>11</v>
      </c>
      <c r="W29" s="1566">
        <f t="shared" si="14"/>
        <v>100</v>
      </c>
      <c r="X29" s="1559"/>
      <c r="Y29" s="3780"/>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80"/>
      <c r="Q30" s="1564">
        <f t="shared" si="11"/>
        <v>111</v>
      </c>
      <c r="R30" s="1565" t="s">
        <v>11</v>
      </c>
      <c r="S30" s="1566">
        <f t="shared" si="12"/>
        <v>100</v>
      </c>
      <c r="T30" s="1565" t="s">
        <v>11</v>
      </c>
      <c r="U30" s="1566">
        <f t="shared" si="13"/>
        <v>100</v>
      </c>
      <c r="V30" s="1565" t="s">
        <v>11</v>
      </c>
      <c r="W30" s="1566">
        <f t="shared" si="14"/>
        <v>100</v>
      </c>
      <c r="X30" s="1559"/>
      <c r="Y30" s="3780"/>
      <c r="Z30" s="1567">
        <f t="shared" si="15"/>
        <v>111</v>
      </c>
      <c r="AA30" s="1568">
        <f t="shared" si="3"/>
        <v>1</v>
      </c>
      <c r="AB30" s="1568">
        <f t="shared" si="4"/>
        <v>1</v>
      </c>
      <c r="AC30" s="1568">
        <f t="shared" si="5"/>
        <v>1</v>
      </c>
    </row>
    <row r="31" spans="1:29" ht="15.6"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80"/>
      <c r="Q31" s="1564">
        <f t="shared" si="11"/>
        <v>111</v>
      </c>
      <c r="R31" s="1565" t="s">
        <v>11</v>
      </c>
      <c r="S31" s="1566">
        <f t="shared" si="12"/>
        <v>100</v>
      </c>
      <c r="T31" s="1565" t="s">
        <v>11</v>
      </c>
      <c r="U31" s="1566">
        <f t="shared" si="13"/>
        <v>100</v>
      </c>
      <c r="V31" s="1565" t="s">
        <v>11</v>
      </c>
      <c r="W31" s="1566">
        <f t="shared" si="14"/>
        <v>100</v>
      </c>
      <c r="X31" s="1559"/>
      <c r="Y31" s="3780"/>
      <c r="Z31" s="1567">
        <f t="shared" si="15"/>
        <v>111</v>
      </c>
      <c r="AA31" s="1568">
        <f t="shared" si="3"/>
        <v>1</v>
      </c>
      <c r="AB31" s="1568">
        <f t="shared" si="4"/>
        <v>1</v>
      </c>
      <c r="AC31" s="1568">
        <f t="shared" si="5"/>
        <v>1</v>
      </c>
    </row>
    <row r="32" spans="1:29" ht="15">
      <c r="A32" s="2924" t="s">
        <v>2759</v>
      </c>
      <c r="B32" s="172" t="s">
        <v>726</v>
      </c>
      <c r="C32" s="3510" t="s">
        <v>3349</v>
      </c>
      <c r="D32" s="594">
        <v>100</v>
      </c>
      <c r="E32" s="3519" t="s">
        <v>3349</v>
      </c>
      <c r="F32" s="572">
        <f>SUMIF(100:100,E32,101:101)-SUMIF(100:100,C32,101:101)+100</f>
        <v>100</v>
      </c>
      <c r="G32" s="3510" t="s">
        <v>3349</v>
      </c>
      <c r="H32" s="594">
        <f>SUMIF(100:100,G32,101:101)-SUMIF(100:100,C32,101:101)+100</f>
        <v>100</v>
      </c>
      <c r="I32" s="3519" t="s">
        <v>3349</v>
      </c>
      <c r="J32" s="538">
        <f>SUMIF(100:100,I32,101:101)-SUMIF(100:100,C32,101:101)+100</f>
        <v>100</v>
      </c>
      <c r="K32" s="861">
        <v>2</v>
      </c>
      <c r="L32" s="2134"/>
      <c r="M32" s="2126"/>
      <c r="N32" s="2126"/>
      <c r="O32" s="2133"/>
      <c r="P32" s="3781" t="s">
        <v>551</v>
      </c>
      <c r="Q32" s="1564" t="str">
        <f t="shared" si="11"/>
        <v>建筑类型</v>
      </c>
      <c r="R32" s="1565" t="s">
        <v>11</v>
      </c>
      <c r="S32" s="1566">
        <f t="shared" si="12"/>
        <v>100</v>
      </c>
      <c r="T32" s="1565" t="s">
        <v>11</v>
      </c>
      <c r="U32" s="1566">
        <f t="shared" si="13"/>
        <v>100</v>
      </c>
      <c r="V32" s="1565" t="s">
        <v>11</v>
      </c>
      <c r="W32" s="1566">
        <f t="shared" si="14"/>
        <v>100</v>
      </c>
      <c r="X32" s="1559"/>
      <c r="Y32" s="3782"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782"/>
      <c r="Q33" s="1597" t="str">
        <f t="shared" si="11"/>
        <v>项目建筑规模</v>
      </c>
      <c r="R33" s="1569" t="s">
        <v>11</v>
      </c>
      <c r="S33" s="1570">
        <f t="shared" si="12"/>
        <v>100</v>
      </c>
      <c r="T33" s="1569" t="s">
        <v>11</v>
      </c>
      <c r="U33" s="1570">
        <f t="shared" si="13"/>
        <v>100</v>
      </c>
      <c r="V33" s="1569" t="s">
        <v>11</v>
      </c>
      <c r="W33" s="1570">
        <f t="shared" si="14"/>
        <v>100</v>
      </c>
      <c r="X33" s="1571"/>
      <c r="Y33" s="3782"/>
      <c r="Z33" s="1572" t="str">
        <f t="shared" si="15"/>
        <v>项目建筑规模</v>
      </c>
      <c r="AA33" s="1568">
        <f t="shared" si="3"/>
        <v>1</v>
      </c>
      <c r="AB33" s="1568">
        <f t="shared" si="4"/>
        <v>1</v>
      </c>
      <c r="AC33" s="1568">
        <f t="shared" si="5"/>
        <v>1</v>
      </c>
    </row>
    <row r="34" spans="1:29" ht="15">
      <c r="A34" s="591"/>
      <c r="B34" s="525" t="s">
        <v>728</v>
      </c>
      <c r="C34" s="3511" t="s">
        <v>3350</v>
      </c>
      <c r="D34" s="538">
        <v>100</v>
      </c>
      <c r="E34" s="3512" t="s">
        <v>3350</v>
      </c>
      <c r="F34" s="572">
        <f>SUMIF(105:105,E34,106:106)-SUMIF(105:105,C34,106:106)+100</f>
        <v>100</v>
      </c>
      <c r="G34" s="3511" t="s">
        <v>3350</v>
      </c>
      <c r="H34" s="538">
        <f>SUMIF(105:105,G34,106:106)-SUMIF(105:105,C34,106:106)+100</f>
        <v>100</v>
      </c>
      <c r="I34" s="3512" t="s">
        <v>3350</v>
      </c>
      <c r="J34" s="538">
        <f>SUMIF(105:105,I34,106:106)-SUMIF(105:105,C34,106:106)+100</f>
        <v>100</v>
      </c>
      <c r="K34" s="861">
        <v>2</v>
      </c>
      <c r="L34" s="2134"/>
      <c r="M34" s="2126"/>
      <c r="N34" s="2126"/>
      <c r="O34" s="2133"/>
      <c r="P34" s="3782"/>
      <c r="Q34" s="1564" t="str">
        <f t="shared" si="11"/>
        <v>建筑结构</v>
      </c>
      <c r="R34" s="1565" t="s">
        <v>11</v>
      </c>
      <c r="S34" s="1566">
        <f t="shared" si="12"/>
        <v>100</v>
      </c>
      <c r="T34" s="1565" t="s">
        <v>11</v>
      </c>
      <c r="U34" s="1566">
        <f t="shared" si="13"/>
        <v>100</v>
      </c>
      <c r="V34" s="1565" t="s">
        <v>11</v>
      </c>
      <c r="W34" s="1566">
        <f t="shared" si="14"/>
        <v>100</v>
      </c>
      <c r="X34" s="1559"/>
      <c r="Y34" s="3782"/>
      <c r="Z34" s="1567" t="str">
        <f t="shared" si="15"/>
        <v>建筑结构</v>
      </c>
      <c r="AA34" s="1568">
        <f t="shared" si="3"/>
        <v>1</v>
      </c>
      <c r="AB34" s="1568">
        <f t="shared" si="4"/>
        <v>1</v>
      </c>
      <c r="AC34" s="1568">
        <f t="shared" si="5"/>
        <v>1</v>
      </c>
    </row>
    <row r="35" spans="1:29" ht="15">
      <c r="A35" s="591"/>
      <c r="B35" s="525" t="s">
        <v>729</v>
      </c>
      <c r="C35" s="3495" t="s">
        <v>3346</v>
      </c>
      <c r="D35" s="538">
        <v>100</v>
      </c>
      <c r="E35" s="3520" t="s">
        <v>3346</v>
      </c>
      <c r="F35" s="572">
        <f>SUMIF(107:107,E35,108:108)-SUMIF(107:107,C35,108:108)+100</f>
        <v>100</v>
      </c>
      <c r="G35" s="3495" t="s">
        <v>3346</v>
      </c>
      <c r="H35" s="538">
        <f>SUMIF(107:107,G35,108:108)-SUMIF(107:107,C35,108:108)+100</f>
        <v>100</v>
      </c>
      <c r="I35" s="3520" t="s">
        <v>3346</v>
      </c>
      <c r="J35" s="538">
        <f>SUMIF(107:107,I35,108:108)-SUMIF(107:107,C35,108:108)+100</f>
        <v>100</v>
      </c>
      <c r="K35" s="861">
        <v>2</v>
      </c>
      <c r="L35" s="2134"/>
      <c r="M35" s="2126"/>
      <c r="N35" s="2126"/>
      <c r="O35" s="2133"/>
      <c r="P35" s="3782"/>
      <c r="Q35" s="1564" t="str">
        <f t="shared" si="11"/>
        <v>建筑品质</v>
      </c>
      <c r="R35" s="1565" t="s">
        <v>11</v>
      </c>
      <c r="S35" s="1566">
        <f t="shared" si="12"/>
        <v>100</v>
      </c>
      <c r="T35" s="1565" t="s">
        <v>11</v>
      </c>
      <c r="U35" s="1566">
        <f t="shared" si="13"/>
        <v>100</v>
      </c>
      <c r="V35" s="1565" t="s">
        <v>11</v>
      </c>
      <c r="W35" s="1566">
        <f t="shared" si="14"/>
        <v>100</v>
      </c>
      <c r="X35" s="1559"/>
      <c r="Y35" s="3782"/>
      <c r="Z35" s="1567" t="str">
        <f t="shared" si="15"/>
        <v>建筑品质</v>
      </c>
      <c r="AA35" s="1568">
        <f t="shared" si="3"/>
        <v>1</v>
      </c>
      <c r="AB35" s="1568">
        <f t="shared" si="4"/>
        <v>1</v>
      </c>
      <c r="AC35" s="1568">
        <f t="shared" si="5"/>
        <v>1</v>
      </c>
    </row>
    <row r="36" spans="1:29" ht="15">
      <c r="A36" s="591"/>
      <c r="B36" s="525" t="s">
        <v>730</v>
      </c>
      <c r="C36" s="3495" t="s">
        <v>3351</v>
      </c>
      <c r="D36" s="538">
        <v>100</v>
      </c>
      <c r="E36" s="3520" t="s">
        <v>3351</v>
      </c>
      <c r="F36" s="572">
        <f>SUMIF(109:109,E36,110:110)-SUMIF(109:109,C36,110:110)+100</f>
        <v>100</v>
      </c>
      <c r="G36" s="3495" t="s">
        <v>3351</v>
      </c>
      <c r="H36" s="538">
        <f>SUMIF(109:109,G36,110:110)-SUMIF(109:109,C36,110:110)+100</f>
        <v>100</v>
      </c>
      <c r="I36" s="3520" t="s">
        <v>3351</v>
      </c>
      <c r="J36" s="538">
        <f>SUMIF(109:109,I36,110:110)-SUMIF(109:109,C36,110:110)+100</f>
        <v>100</v>
      </c>
      <c r="K36" s="861">
        <v>2</v>
      </c>
      <c r="L36" s="2134"/>
      <c r="M36" s="2126"/>
      <c r="N36" s="2126"/>
      <c r="O36" s="2133"/>
      <c r="P36" s="3782"/>
      <c r="Q36" s="1564" t="str">
        <f t="shared" si="11"/>
        <v>公共部分装修</v>
      </c>
      <c r="R36" s="1565" t="s">
        <v>11</v>
      </c>
      <c r="S36" s="1566">
        <f t="shared" si="12"/>
        <v>100</v>
      </c>
      <c r="T36" s="1565" t="s">
        <v>11</v>
      </c>
      <c r="U36" s="1566">
        <f t="shared" si="13"/>
        <v>100</v>
      </c>
      <c r="V36" s="1565" t="s">
        <v>11</v>
      </c>
      <c r="W36" s="1566">
        <f t="shared" si="14"/>
        <v>100</v>
      </c>
      <c r="X36" s="1559"/>
      <c r="Y36" s="3782"/>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782"/>
      <c r="Q37" s="1144" t="str">
        <f t="shared" si="11"/>
        <v>成新度</v>
      </c>
      <c r="R37" s="1560" t="s">
        <v>11</v>
      </c>
      <c r="S37" s="1561">
        <f t="shared" si="12"/>
        <v>100</v>
      </c>
      <c r="T37" s="1560" t="s">
        <v>11</v>
      </c>
      <c r="U37" s="1561">
        <f t="shared" si="13"/>
        <v>100</v>
      </c>
      <c r="V37" s="1560" t="s">
        <v>11</v>
      </c>
      <c r="W37" s="1561">
        <f t="shared" si="14"/>
        <v>100</v>
      </c>
      <c r="X37" s="1562"/>
      <c r="Y37" s="3782"/>
      <c r="Z37" s="1143" t="str">
        <f t="shared" si="15"/>
        <v>成新度</v>
      </c>
      <c r="AA37" s="1563">
        <f t="shared" si="3"/>
        <v>1</v>
      </c>
      <c r="AB37" s="1563">
        <f t="shared" si="4"/>
        <v>1</v>
      </c>
      <c r="AC37" s="1563">
        <f t="shared" si="5"/>
        <v>1</v>
      </c>
    </row>
    <row r="38" spans="1:29" ht="15">
      <c r="A38" s="591"/>
      <c r="B38" s="525" t="s">
        <v>732</v>
      </c>
      <c r="C38" s="3495" t="s">
        <v>3352</v>
      </c>
      <c r="D38" s="538">
        <v>100</v>
      </c>
      <c r="E38" s="3520" t="s">
        <v>3352</v>
      </c>
      <c r="F38" s="572">
        <f>SUMIF(114:114,E38,115:115)-SUMIF(114:114,C38,115:115)+100</f>
        <v>100</v>
      </c>
      <c r="G38" s="3495" t="s">
        <v>3352</v>
      </c>
      <c r="H38" s="538">
        <f>SUMIF(114:114,G38,115:115)-SUMIF(114:114,C38,115:115)+100</f>
        <v>100</v>
      </c>
      <c r="I38" s="3520" t="s">
        <v>3352</v>
      </c>
      <c r="J38" s="538">
        <f>SUMIF(114:114,I38,115:115)-SUMIF(114:114,C38,115:115)+100</f>
        <v>100</v>
      </c>
      <c r="K38" s="861">
        <v>2</v>
      </c>
      <c r="L38" s="2134"/>
      <c r="M38" s="2126"/>
      <c r="N38" s="2126"/>
      <c r="O38" s="2133"/>
      <c r="P38" s="3782" t="s">
        <v>551</v>
      </c>
      <c r="Q38" s="1564" t="str">
        <f t="shared" si="11"/>
        <v>物业管理</v>
      </c>
      <c r="R38" s="1565" t="s">
        <v>11</v>
      </c>
      <c r="S38" s="1566">
        <f t="shared" si="12"/>
        <v>100</v>
      </c>
      <c r="T38" s="1565" t="s">
        <v>11</v>
      </c>
      <c r="U38" s="1566">
        <f t="shared" si="13"/>
        <v>100</v>
      </c>
      <c r="V38" s="1565" t="s">
        <v>11</v>
      </c>
      <c r="W38" s="1566">
        <f t="shared" si="14"/>
        <v>100</v>
      </c>
      <c r="X38" s="1559"/>
      <c r="Y38" s="3782" t="s">
        <v>551</v>
      </c>
      <c r="Z38" s="1567" t="str">
        <f t="shared" si="15"/>
        <v>物业管理</v>
      </c>
      <c r="AA38" s="1568">
        <f t="shared" si="3"/>
        <v>1</v>
      </c>
      <c r="AB38" s="1568">
        <f t="shared" si="4"/>
        <v>1</v>
      </c>
      <c r="AC38" s="1568">
        <f t="shared" si="5"/>
        <v>1</v>
      </c>
    </row>
    <row r="39" spans="1:29" ht="15">
      <c r="A39" s="591"/>
      <c r="B39" s="1887" t="s">
        <v>2568</v>
      </c>
      <c r="C39" s="3495" t="s">
        <v>3348</v>
      </c>
      <c r="D39" s="538">
        <v>100</v>
      </c>
      <c r="E39" s="3520" t="s">
        <v>3348</v>
      </c>
      <c r="F39" s="572">
        <f>SUMIF(116:116,E39,117:117)-SUMIF(116:116,C39,117:117)+100</f>
        <v>100</v>
      </c>
      <c r="G39" s="3495" t="s">
        <v>3348</v>
      </c>
      <c r="H39" s="538">
        <f>SUMIF(116:116,G39,117:117)-SUMIF(116:116,C39,117:117)+100</f>
        <v>100</v>
      </c>
      <c r="I39" s="3520" t="s">
        <v>3348</v>
      </c>
      <c r="J39" s="538">
        <f>SUMIF(116:116,I39,117:117)-SUMIF(116:116,C39,117:117)+100</f>
        <v>100</v>
      </c>
      <c r="K39" s="861">
        <v>2</v>
      </c>
      <c r="L39" s="2134"/>
      <c r="M39" s="2126"/>
      <c r="N39" s="2126"/>
      <c r="O39" s="2133"/>
      <c r="P39" s="3782"/>
      <c r="Q39" s="1564" t="str">
        <f t="shared" si="11"/>
        <v>市政基础设施</v>
      </c>
      <c r="R39" s="1565" t="s">
        <v>11</v>
      </c>
      <c r="S39" s="1566">
        <f t="shared" si="12"/>
        <v>100</v>
      </c>
      <c r="T39" s="1565" t="s">
        <v>11</v>
      </c>
      <c r="U39" s="1566">
        <f t="shared" si="13"/>
        <v>100</v>
      </c>
      <c r="V39" s="1565" t="s">
        <v>11</v>
      </c>
      <c r="W39" s="1566">
        <f t="shared" si="14"/>
        <v>100</v>
      </c>
      <c r="X39" s="1559"/>
      <c r="Y39" s="3782"/>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782"/>
      <c r="Q40" s="1564" t="str">
        <f t="shared" si="11"/>
        <v>房型</v>
      </c>
      <c r="R40" s="1565" t="s">
        <v>11</v>
      </c>
      <c r="S40" s="1566">
        <f t="shared" si="12"/>
        <v>100</v>
      </c>
      <c r="T40" s="1565" t="s">
        <v>11</v>
      </c>
      <c r="U40" s="1566">
        <f t="shared" si="13"/>
        <v>100</v>
      </c>
      <c r="V40" s="1565" t="s">
        <v>11</v>
      </c>
      <c r="W40" s="1566">
        <f t="shared" si="14"/>
        <v>100</v>
      </c>
      <c r="X40" s="1559"/>
      <c r="Y40" s="3782"/>
      <c r="Z40" s="1567" t="str">
        <f t="shared" si="15"/>
        <v>房型</v>
      </c>
      <c r="AA40" s="1568">
        <f t="shared" si="3"/>
        <v>1</v>
      </c>
      <c r="AB40" s="1568">
        <f t="shared" si="4"/>
        <v>1</v>
      </c>
      <c r="AC40" s="1568">
        <f t="shared" si="5"/>
        <v>1</v>
      </c>
    </row>
    <row r="41" spans="1:29" s="1332" customFormat="1" ht="28.8">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782"/>
      <c r="Q41" s="1597" t="str">
        <f t="shared" si="11"/>
        <v>单套/主力户型建筑面积</v>
      </c>
      <c r="R41" s="1569" t="s">
        <v>11</v>
      </c>
      <c r="S41" s="1570">
        <f t="shared" si="12"/>
        <v>100</v>
      </c>
      <c r="T41" s="1569" t="s">
        <v>11</v>
      </c>
      <c r="U41" s="1570">
        <f t="shared" si="13"/>
        <v>100</v>
      </c>
      <c r="V41" s="1569" t="s">
        <v>11</v>
      </c>
      <c r="W41" s="1570">
        <f t="shared" si="14"/>
        <v>100</v>
      </c>
      <c r="X41" s="1571"/>
      <c r="Y41" s="3782"/>
      <c r="Z41" s="1572" t="str">
        <f t="shared" si="15"/>
        <v>单套/主力户型建筑面积</v>
      </c>
      <c r="AA41" s="1568">
        <f t="shared" si="3"/>
        <v>1</v>
      </c>
      <c r="AB41" s="1568">
        <f t="shared" si="4"/>
        <v>1</v>
      </c>
      <c r="AC41" s="1568">
        <f t="shared" si="5"/>
        <v>1</v>
      </c>
    </row>
    <row r="42" spans="1:29" ht="15">
      <c r="A42" s="591"/>
      <c r="B42" s="525" t="s">
        <v>735</v>
      </c>
      <c r="C42" s="3549" t="s">
        <v>3451</v>
      </c>
      <c r="D42" s="538">
        <v>100</v>
      </c>
      <c r="E42" s="3520" t="s">
        <v>3351</v>
      </c>
      <c r="F42" s="572">
        <f>SUMIF(122:122,E42,123:123)-SUMIF(122:122,C42,123:123)+100</f>
        <v>100</v>
      </c>
      <c r="G42" s="3495" t="s">
        <v>3353</v>
      </c>
      <c r="H42" s="538">
        <f>SUMIF(122:122,G42,123:123)-SUMIF(122:122,C42,123:123)+100</f>
        <v>94</v>
      </c>
      <c r="I42" s="3520" t="s">
        <v>3354</v>
      </c>
      <c r="J42" s="538">
        <f>SUMIF(122:122,I42,123:123)-SUMIF(122:122,C42,123:123)+100</f>
        <v>94</v>
      </c>
      <c r="K42" s="861">
        <v>2</v>
      </c>
      <c r="L42" s="2134"/>
      <c r="M42" s="2126"/>
      <c r="N42" s="2126"/>
      <c r="O42" s="2133"/>
      <c r="P42" s="3782"/>
      <c r="Q42" s="1564" t="str">
        <f t="shared" si="11"/>
        <v>内部装修</v>
      </c>
      <c r="R42" s="1565" t="s">
        <v>11</v>
      </c>
      <c r="S42" s="1566">
        <f t="shared" si="12"/>
        <v>100</v>
      </c>
      <c r="T42" s="1565" t="s">
        <v>11</v>
      </c>
      <c r="U42" s="1566">
        <f t="shared" si="13"/>
        <v>94</v>
      </c>
      <c r="V42" s="1565" t="s">
        <v>11</v>
      </c>
      <c r="W42" s="1566">
        <f t="shared" si="14"/>
        <v>94</v>
      </c>
      <c r="X42" s="1559"/>
      <c r="Y42" s="3782"/>
      <c r="Z42" s="1567" t="str">
        <f t="shared" si="15"/>
        <v>内部装修</v>
      </c>
      <c r="AA42" s="1568">
        <f t="shared" si="3"/>
        <v>1</v>
      </c>
      <c r="AB42" s="1568">
        <f t="shared" si="4"/>
        <v>1.0638297872340425</v>
      </c>
      <c r="AC42" s="1568">
        <f t="shared" si="5"/>
        <v>1.0638297872340425</v>
      </c>
    </row>
    <row r="43" spans="1:29" ht="28.8">
      <c r="A43" s="591"/>
      <c r="B43" s="525" t="s">
        <v>736</v>
      </c>
      <c r="C43" s="3495" t="s">
        <v>3346</v>
      </c>
      <c r="D43" s="538">
        <v>100</v>
      </c>
      <c r="E43" s="3520" t="s">
        <v>3346</v>
      </c>
      <c r="F43" s="572">
        <f>SUMIF(124:124,E43,125:125)-SUMIF(124:124,C43,125:125)+100</f>
        <v>100</v>
      </c>
      <c r="G43" s="3495" t="s">
        <v>3346</v>
      </c>
      <c r="H43" s="538">
        <f>SUMIF(124:124,G43,125:125)-SUMIF(124:124,C43,125:125)+100</f>
        <v>100</v>
      </c>
      <c r="I43" s="3520" t="s">
        <v>3346</v>
      </c>
      <c r="J43" s="538">
        <f>SUMIF(124:124,I43,125:125)-SUMIF(124:124,C43,125:125)+100</f>
        <v>100</v>
      </c>
      <c r="K43" s="861">
        <v>2</v>
      </c>
      <c r="L43" s="2134"/>
      <c r="M43" s="2126"/>
      <c r="N43" s="2126"/>
      <c r="O43" s="2133"/>
      <c r="P43" s="3782"/>
      <c r="Q43" s="1564" t="str">
        <f t="shared" si="11"/>
        <v>内部装修维护情况</v>
      </c>
      <c r="R43" s="1565" t="s">
        <v>11</v>
      </c>
      <c r="S43" s="1566">
        <f t="shared" si="12"/>
        <v>100</v>
      </c>
      <c r="T43" s="1565" t="s">
        <v>11</v>
      </c>
      <c r="U43" s="1566">
        <f t="shared" si="13"/>
        <v>100</v>
      </c>
      <c r="V43" s="1565" t="s">
        <v>11</v>
      </c>
      <c r="W43" s="1566">
        <f t="shared" si="14"/>
        <v>100</v>
      </c>
      <c r="X43" s="1559"/>
      <c r="Y43" s="3782"/>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782"/>
      <c r="Q44" s="1144">
        <f t="shared" si="11"/>
        <v>111</v>
      </c>
      <c r="R44" s="1560" t="s">
        <v>11</v>
      </c>
      <c r="S44" s="1561">
        <f t="shared" si="12"/>
        <v>100</v>
      </c>
      <c r="T44" s="1560" t="s">
        <v>11</v>
      </c>
      <c r="U44" s="1561">
        <f t="shared" si="13"/>
        <v>100</v>
      </c>
      <c r="V44" s="1560" t="s">
        <v>11</v>
      </c>
      <c r="W44" s="1561">
        <f t="shared" si="14"/>
        <v>100</v>
      </c>
      <c r="X44" s="1562"/>
      <c r="Y44" s="3782"/>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782"/>
      <c r="Q45" s="1564">
        <f t="shared" si="11"/>
        <v>111</v>
      </c>
      <c r="R45" s="1565" t="s">
        <v>11</v>
      </c>
      <c r="S45" s="1566">
        <f t="shared" si="12"/>
        <v>100</v>
      </c>
      <c r="T45" s="1565" t="s">
        <v>11</v>
      </c>
      <c r="U45" s="1566">
        <f t="shared" si="13"/>
        <v>100</v>
      </c>
      <c r="V45" s="1565" t="s">
        <v>11</v>
      </c>
      <c r="W45" s="1566">
        <f t="shared" si="14"/>
        <v>100</v>
      </c>
      <c r="X45" s="1559"/>
      <c r="Y45" s="3782"/>
      <c r="Z45" s="1567">
        <f t="shared" si="15"/>
        <v>111</v>
      </c>
      <c r="AA45" s="1568">
        <f t="shared" si="3"/>
        <v>1</v>
      </c>
      <c r="AB45" s="1568">
        <f t="shared" si="4"/>
        <v>1</v>
      </c>
      <c r="AC45" s="1568">
        <f t="shared" si="5"/>
        <v>1</v>
      </c>
    </row>
    <row r="46" spans="1:29" ht="15.6"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79"/>
      <c r="Q46" s="1564">
        <f t="shared" si="11"/>
        <v>1</v>
      </c>
      <c r="R46" s="1565" t="s">
        <v>10</v>
      </c>
      <c r="S46" s="1566">
        <f t="shared" si="12"/>
        <v>100</v>
      </c>
      <c r="T46" s="1565" t="s">
        <v>10</v>
      </c>
      <c r="U46" s="1566">
        <f t="shared" si="13"/>
        <v>100</v>
      </c>
      <c r="V46" s="1565" t="s">
        <v>10</v>
      </c>
      <c r="W46" s="1566">
        <f t="shared" si="14"/>
        <v>100</v>
      </c>
      <c r="X46" s="1559"/>
      <c r="Y46" s="3879"/>
      <c r="Z46" s="1567">
        <f t="shared" si="15"/>
        <v>1</v>
      </c>
      <c r="AA46" s="1568">
        <f t="shared" si="3"/>
        <v>1</v>
      </c>
      <c r="AB46" s="1568">
        <f t="shared" si="4"/>
        <v>1</v>
      </c>
      <c r="AC46" s="1568">
        <f t="shared" si="5"/>
        <v>1</v>
      </c>
    </row>
    <row r="47" spans="1:29" ht="14.4">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77" t="str">
        <f>A47</f>
        <v>成交单价（元/平方米）</v>
      </c>
      <c r="Q47" s="3777"/>
      <c r="R47" s="3878">
        <f>E47</f>
        <v>17000</v>
      </c>
      <c r="S47" s="3878"/>
      <c r="T47" s="3878">
        <f>G47</f>
        <v>14000</v>
      </c>
      <c r="U47" s="3878"/>
      <c r="V47" s="3878">
        <f>I47</f>
        <v>13500</v>
      </c>
      <c r="W47" s="3878"/>
      <c r="X47" s="1551"/>
      <c r="Y47" s="1573"/>
      <c r="Z47" s="1551"/>
      <c r="AA47" s="1551"/>
      <c r="AB47" s="1551"/>
      <c r="AC47" s="1551"/>
    </row>
    <row r="48" spans="1:29" ht="1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77" t="str">
        <f>A48</f>
        <v>比较价格（元/平方米）</v>
      </c>
      <c r="Q48" s="3777"/>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1551"/>
      <c r="Y48" s="1551"/>
      <c r="Z48" s="1551"/>
      <c r="AA48" s="1551"/>
      <c r="AB48" s="1551"/>
      <c r="AC48" s="1551"/>
    </row>
    <row r="49" spans="1:29" ht="15" thickBot="1">
      <c r="A49" s="618" t="s">
        <v>2935</v>
      </c>
      <c r="B49" s="619"/>
      <c r="C49" s="2652" t="e">
        <f>R49</f>
        <v>#DIV/0!</v>
      </c>
      <c r="D49" s="2652"/>
      <c r="E49" s="2652"/>
      <c r="F49" s="2652"/>
      <c r="G49" s="2652"/>
      <c r="H49" s="2652"/>
      <c r="I49" s="2652"/>
      <c r="J49" s="2652"/>
      <c r="K49" s="1600"/>
      <c r="L49" s="2136"/>
      <c r="M49" s="2137"/>
      <c r="N49" s="2137"/>
      <c r="O49" s="2137"/>
      <c r="P49" s="3798" t="str">
        <f>A49</f>
        <v>估价对象XX用房的比较价格（楼面单价，元/平方米）</v>
      </c>
      <c r="Q49" s="3799"/>
      <c r="R49" s="3877" t="e">
        <f>IF(F1="售价",ROUND(AVERAGE(R48:V48),0),ROUND(AVERAGE(R48:V48),1))</f>
        <v>#DIV/0!</v>
      </c>
      <c r="S49" s="3877"/>
      <c r="T49" s="3877"/>
      <c r="U49" s="3877"/>
      <c r="V49" s="3877"/>
      <c r="W49" s="3877"/>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2.2"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4.4">
      <c r="A58" s="642" t="s">
        <v>530</v>
      </c>
      <c r="B58" s="643"/>
      <c r="C58" s="2821"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4.4">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4.4"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ht="14.4">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4.4"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9.4"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4.4"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4.4"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4.4"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4.4"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4.4"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4.4"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4.4"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4.4"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ht="14.4">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4.4"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4.4"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4.4"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4.4"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4.4"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4.4"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4.4"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4.4"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4.4"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4.4"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4.4"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4.4"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4.4"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4.4"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4.4"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4.4"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4.4"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ht="14.4">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4.4"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4.4"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4.4"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4.4"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4.4"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4.4"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4.4"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4.4"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4.4"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9.4"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4.4"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3351</v>
      </c>
      <c r="D122" s="3482" t="s">
        <v>3355</v>
      </c>
      <c r="E122" s="3482" t="s">
        <v>3356</v>
      </c>
      <c r="F122" s="3521" t="s">
        <v>3353</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4.4"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9.4"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4.4"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4.4"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4.4"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4.4"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4.4"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4.4"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ht="15.6">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ht="15.6">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6">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6">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6">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6">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6.2"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ht="14.4">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ht="14.4">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B47" sqref="B47"/>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13"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501" t="s">
        <v>778</v>
      </c>
      <c r="C1" s="502" t="s">
        <v>721</v>
      </c>
      <c r="D1" s="846" t="s">
        <v>1678</v>
      </c>
      <c r="E1" s="504"/>
      <c r="F1" s="2824" t="s">
        <v>3334</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350064</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12806</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4.4">
      <c r="A4" s="510" t="s">
        <v>522</v>
      </c>
      <c r="B4" s="511"/>
      <c r="C4" s="3783" t="s">
        <v>523</v>
      </c>
      <c r="D4" s="3784"/>
      <c r="E4" s="3808" t="s">
        <v>524</v>
      </c>
      <c r="F4" s="3809"/>
      <c r="G4" s="3783" t="s">
        <v>525</v>
      </c>
      <c r="H4" s="3784"/>
      <c r="I4" s="3783" t="s">
        <v>526</v>
      </c>
      <c r="J4" s="3784"/>
      <c r="K4" s="512" t="s">
        <v>527</v>
      </c>
      <c r="L4" s="2125"/>
      <c r="M4" s="2126"/>
      <c r="N4" s="2126"/>
      <c r="O4" s="2126"/>
      <c r="P4" s="3880" t="s">
        <v>528</v>
      </c>
      <c r="Q4" s="3786"/>
      <c r="R4" s="3771" t="s">
        <v>524</v>
      </c>
      <c r="S4" s="3772"/>
      <c r="T4" s="3771" t="s">
        <v>525</v>
      </c>
      <c r="U4" s="3772"/>
      <c r="V4" s="3791" t="s">
        <v>526</v>
      </c>
      <c r="W4" s="3791"/>
      <c r="X4" s="1559"/>
      <c r="Y4" s="3771" t="s">
        <v>528</v>
      </c>
      <c r="Z4" s="3772"/>
      <c r="AA4" s="3766" t="s">
        <v>524</v>
      </c>
      <c r="AB4" s="3766" t="s">
        <v>525</v>
      </c>
      <c r="AC4" s="3766" t="s">
        <v>526</v>
      </c>
    </row>
    <row r="5" spans="1:29">
      <c r="A5" s="513"/>
      <c r="B5" s="514"/>
      <c r="C5" s="3876" t="s">
        <v>3321</v>
      </c>
      <c r="D5" s="3795"/>
      <c r="E5" s="3875" t="s">
        <v>3612</v>
      </c>
      <c r="F5" s="3811"/>
      <c r="G5" s="3876" t="s">
        <v>3611</v>
      </c>
      <c r="H5" s="3795"/>
      <c r="I5" s="3876" t="s">
        <v>3357</v>
      </c>
      <c r="J5" s="3795"/>
      <c r="K5" s="512"/>
      <c r="L5" s="2125"/>
      <c r="M5" s="2126"/>
      <c r="N5" s="2126"/>
      <c r="O5" s="2126"/>
      <c r="P5" s="3881"/>
      <c r="Q5" s="3788"/>
      <c r="R5" s="3773"/>
      <c r="S5" s="3774"/>
      <c r="T5" s="3773"/>
      <c r="U5" s="3774"/>
      <c r="V5" s="3791"/>
      <c r="W5" s="3791"/>
      <c r="X5" s="1559"/>
      <c r="Y5" s="3773"/>
      <c r="Z5" s="3774"/>
      <c r="AA5" s="3767"/>
      <c r="AB5" s="3767"/>
      <c r="AC5" s="3767"/>
    </row>
    <row r="6" spans="1:29" ht="15" thickBot="1">
      <c r="A6" s="515"/>
      <c r="B6" s="516"/>
      <c r="C6" s="3792" t="s">
        <v>2933</v>
      </c>
      <c r="D6" s="3793"/>
      <c r="E6" s="3812" t="s">
        <v>2933</v>
      </c>
      <c r="F6" s="3813"/>
      <c r="G6" s="3792" t="s">
        <v>2933</v>
      </c>
      <c r="H6" s="3793"/>
      <c r="I6" s="3792" t="s">
        <v>2933</v>
      </c>
      <c r="J6" s="3793"/>
      <c r="K6" s="512" t="s">
        <v>529</v>
      </c>
      <c r="L6" s="2125"/>
      <c r="M6" s="2126"/>
      <c r="N6" s="2126"/>
      <c r="O6" s="2126"/>
      <c r="P6" s="3882"/>
      <c r="Q6" s="3790"/>
      <c r="R6" s="3773"/>
      <c r="S6" s="3774"/>
      <c r="T6" s="3775"/>
      <c r="U6" s="3776"/>
      <c r="V6" s="3791"/>
      <c r="W6" s="3791"/>
      <c r="X6" s="1559"/>
      <c r="Y6" s="3775"/>
      <c r="Z6" s="3776"/>
      <c r="AA6" s="3768"/>
      <c r="AB6" s="3768"/>
      <c r="AC6" s="3768"/>
    </row>
    <row r="7" spans="1:29" s="1213" customFormat="1" ht="15" thickBot="1">
      <c r="A7" s="2928"/>
      <c r="B7" s="2935" t="s">
        <v>530</v>
      </c>
      <c r="C7" s="517">
        <f>'数据-取费表'!B2</f>
        <v>43924</v>
      </c>
      <c r="D7" s="518">
        <v>100</v>
      </c>
      <c r="E7" s="519">
        <v>43922</v>
      </c>
      <c r="F7" s="520">
        <f>SUMIF(59:59,YEAR(E7)&amp;"-"&amp;MONTH(E7),60:60)</f>
        <v>100</v>
      </c>
      <c r="G7" s="519">
        <v>43922</v>
      </c>
      <c r="H7" s="518">
        <f>SUMIF(59:59,YEAR(G7)&amp;"-"&amp;MONTH(G7),60:60)</f>
        <v>100</v>
      </c>
      <c r="I7" s="519">
        <v>43922</v>
      </c>
      <c r="J7" s="518">
        <f>SUMIF(59:59,YEAR(I7)&amp;"-"&amp;MONTH(I7),60:60)</f>
        <v>100</v>
      </c>
      <c r="K7" s="522"/>
      <c r="L7" s="2127"/>
      <c r="M7" s="2128"/>
      <c r="N7" s="2128"/>
      <c r="O7" s="2128"/>
      <c r="P7" s="3778" t="s">
        <v>531</v>
      </c>
      <c r="Q7" s="3778"/>
      <c r="R7" s="1560" t="s">
        <v>8</v>
      </c>
      <c r="S7" s="1561">
        <f t="shared" ref="S7:S15" si="0">F7</f>
        <v>100</v>
      </c>
      <c r="T7" s="1560" t="s">
        <v>8</v>
      </c>
      <c r="U7" s="1561">
        <f t="shared" ref="U7:U15" si="1">H7</f>
        <v>100</v>
      </c>
      <c r="V7" s="1560" t="s">
        <v>8</v>
      </c>
      <c r="W7" s="1561">
        <f t="shared" ref="W7:W15" si="2">J7</f>
        <v>100</v>
      </c>
      <c r="X7" s="1562"/>
      <c r="Y7" s="3769" t="s">
        <v>531</v>
      </c>
      <c r="Z7" s="3770"/>
      <c r="AA7" s="1563">
        <f>D7/F7</f>
        <v>1</v>
      </c>
      <c r="AB7" s="1563">
        <f>D7/H7</f>
        <v>1</v>
      </c>
      <c r="AC7" s="1563">
        <f>D7/J7</f>
        <v>1</v>
      </c>
    </row>
    <row r="8" spans="1:29" s="1213" customFormat="1" ht="15" thickBot="1">
      <c r="A8" s="2929"/>
      <c r="B8" s="2936" t="s">
        <v>532</v>
      </c>
      <c r="C8" s="523" t="s">
        <v>577</v>
      </c>
      <c r="D8" s="518">
        <v>100</v>
      </c>
      <c r="E8" s="3502" t="s">
        <v>3358</v>
      </c>
      <c r="F8" s="520">
        <f>SUMIF(62:62,E8,63:63)-SUMIF(62:62,C8,63:63)+100</f>
        <v>100</v>
      </c>
      <c r="G8" s="3502" t="s">
        <v>3358</v>
      </c>
      <c r="H8" s="518">
        <f>SUMIF(62:62,G8,63:63)-SUMIF(62:62,C8,63:63)+100</f>
        <v>100</v>
      </c>
      <c r="I8" s="3502" t="s">
        <v>3358</v>
      </c>
      <c r="J8" s="518">
        <f>SUMIF(62:62,I8,63:63)-SUMIF(62:62,C8,63:63)+100</f>
        <v>100</v>
      </c>
      <c r="K8" s="522"/>
      <c r="L8" s="2127"/>
      <c r="M8" s="2128"/>
      <c r="N8" s="2128"/>
      <c r="O8" s="2128"/>
      <c r="P8" s="3778" t="s">
        <v>534</v>
      </c>
      <c r="Q8" s="3770"/>
      <c r="R8" s="1560" t="s">
        <v>8</v>
      </c>
      <c r="S8" s="1561">
        <f t="shared" si="0"/>
        <v>100</v>
      </c>
      <c r="T8" s="1560" t="s">
        <v>8</v>
      </c>
      <c r="U8" s="1561">
        <f t="shared" si="1"/>
        <v>100</v>
      </c>
      <c r="V8" s="1560" t="s">
        <v>8</v>
      </c>
      <c r="W8" s="1561">
        <f t="shared" si="2"/>
        <v>100</v>
      </c>
      <c r="X8" s="1562"/>
      <c r="Y8" s="3769" t="s">
        <v>534</v>
      </c>
      <c r="Z8" s="3770"/>
      <c r="AA8" s="1563">
        <f t="shared" ref="AA8:AA47" si="3">D8/F8</f>
        <v>1</v>
      </c>
      <c r="AB8" s="1563">
        <f t="shared" ref="AB8:AB47" si="4">D8/H8</f>
        <v>1</v>
      </c>
      <c r="AC8" s="1563">
        <f t="shared" ref="AC8:AC47" si="5">D8/J8</f>
        <v>1</v>
      </c>
    </row>
    <row r="9" spans="1:29" s="1213" customFormat="1" ht="14.4">
      <c r="A9" s="2930"/>
      <c r="B9" s="2937" t="s">
        <v>2760</v>
      </c>
      <c r="C9" s="3503" t="s">
        <v>3359</v>
      </c>
      <c r="D9" s="252">
        <v>100</v>
      </c>
      <c r="E9" s="3504" t="s">
        <v>3359</v>
      </c>
      <c r="F9" s="252">
        <f>SUMIF(64:64,E9,65:65)-SUMIF(64:64,C9,65:65)+100</f>
        <v>100</v>
      </c>
      <c r="G9" s="3505" t="s">
        <v>3359</v>
      </c>
      <c r="H9" s="252">
        <f>SUMIF(64:64,G9,65:65)-SUMIF(64:64,C9,65:65)+100</f>
        <v>100</v>
      </c>
      <c r="I9" s="3505" t="s">
        <v>3359</v>
      </c>
      <c r="J9" s="252">
        <f>SUMIF(64:64,I9,65:65)-SUMIF(64:64,C9,65:65)+100</f>
        <v>100</v>
      </c>
      <c r="K9" s="522"/>
      <c r="L9" s="2127"/>
      <c r="M9" s="2128"/>
      <c r="N9" s="2128"/>
      <c r="O9" s="2128"/>
      <c r="P9" s="3777" t="s">
        <v>536</v>
      </c>
      <c r="Q9" s="1144" t="str">
        <f t="shared" ref="Q9:Q15" si="6">B9</f>
        <v>用途</v>
      </c>
      <c r="R9" s="1560" t="s">
        <v>8</v>
      </c>
      <c r="S9" s="1561">
        <f t="shared" si="0"/>
        <v>100</v>
      </c>
      <c r="T9" s="1560" t="s">
        <v>8</v>
      </c>
      <c r="U9" s="1561">
        <f t="shared" si="1"/>
        <v>100</v>
      </c>
      <c r="V9" s="1560" t="s">
        <v>8</v>
      </c>
      <c r="W9" s="1561">
        <f t="shared" si="2"/>
        <v>100</v>
      </c>
      <c r="X9" s="1562"/>
      <c r="Y9" s="3734" t="s">
        <v>537</v>
      </c>
      <c r="Z9" s="1143" t="str">
        <f t="shared" ref="Z9:Z15" si="7">Q9</f>
        <v>用途</v>
      </c>
      <c r="AA9" s="1563">
        <f t="shared" si="3"/>
        <v>1</v>
      </c>
      <c r="AB9" s="1563">
        <f t="shared" si="4"/>
        <v>1</v>
      </c>
      <c r="AC9" s="1563">
        <f t="shared" si="5"/>
        <v>1</v>
      </c>
    </row>
    <row r="10" spans="1:29" s="1331" customFormat="1" ht="28.8">
      <c r="A10" s="2931"/>
      <c r="B10" s="2936" t="s">
        <v>2761</v>
      </c>
      <c r="C10" s="858" t="s">
        <v>3326</v>
      </c>
      <c r="D10" s="253">
        <v>100</v>
      </c>
      <c r="E10" s="3551" t="s">
        <v>3326</v>
      </c>
      <c r="F10" s="253">
        <f>SUMIF(66:66,E10,67:67)-SUMIF(66:66,C10,67:67)+100</f>
        <v>100</v>
      </c>
      <c r="G10" s="859" t="s">
        <v>3326</v>
      </c>
      <c r="H10" s="253">
        <f>SUMIF(66:66,G10,67:67)-SUMIF(66:66,C10,67:67)+100</f>
        <v>100</v>
      </c>
      <c r="I10" s="858" t="s">
        <v>3326</v>
      </c>
      <c r="J10" s="253">
        <f>SUMIF(66:66,I10,67:67)-SUMIF(66:66,C10,67:67)+100</f>
        <v>100</v>
      </c>
      <c r="K10" s="581">
        <v>2</v>
      </c>
      <c r="L10" s="2130"/>
      <c r="M10" s="2170"/>
      <c r="N10" s="2170"/>
      <c r="O10" s="2170"/>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77"/>
      <c r="Q11" s="1144" t="str">
        <f t="shared" si="6"/>
        <v>容积率</v>
      </c>
      <c r="R11" s="1560" t="s">
        <v>8</v>
      </c>
      <c r="S11" s="1561">
        <f t="shared" si="0"/>
        <v>100</v>
      </c>
      <c r="T11" s="1560" t="s">
        <v>8</v>
      </c>
      <c r="U11" s="1561">
        <f t="shared" si="1"/>
        <v>100</v>
      </c>
      <c r="V11" s="1560" t="s">
        <v>8</v>
      </c>
      <c r="W11" s="1561">
        <f t="shared" si="2"/>
        <v>100</v>
      </c>
      <c r="X11" s="1562"/>
      <c r="Y11" s="373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77"/>
      <c r="Q12" s="1144">
        <f t="shared" si="6"/>
        <v>111</v>
      </c>
      <c r="R12" s="1560" t="s">
        <v>8</v>
      </c>
      <c r="S12" s="1561">
        <f t="shared" si="0"/>
        <v>100</v>
      </c>
      <c r="T12" s="1560" t="s">
        <v>8</v>
      </c>
      <c r="U12" s="1561">
        <f t="shared" si="1"/>
        <v>100</v>
      </c>
      <c r="V12" s="1560" t="s">
        <v>8</v>
      </c>
      <c r="W12" s="1561">
        <f t="shared" si="2"/>
        <v>100</v>
      </c>
      <c r="X12" s="1562"/>
      <c r="Y12" s="3734"/>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77"/>
      <c r="Q13" s="1144">
        <f t="shared" si="6"/>
        <v>111</v>
      </c>
      <c r="R13" s="1560" t="s">
        <v>8</v>
      </c>
      <c r="S13" s="1561">
        <f t="shared" si="0"/>
        <v>100</v>
      </c>
      <c r="T13" s="1560" t="s">
        <v>8</v>
      </c>
      <c r="U13" s="1561">
        <f t="shared" si="1"/>
        <v>100</v>
      </c>
      <c r="V13" s="1560" t="s">
        <v>8</v>
      </c>
      <c r="W13" s="1561">
        <f t="shared" si="2"/>
        <v>100</v>
      </c>
      <c r="X13" s="1562"/>
      <c r="Y13" s="3734"/>
      <c r="Z13" s="1143">
        <f t="shared" si="7"/>
        <v>111</v>
      </c>
      <c r="AA13" s="1563">
        <f t="shared" si="3"/>
        <v>1</v>
      </c>
      <c r="AB13" s="1563">
        <f t="shared" si="4"/>
        <v>1</v>
      </c>
      <c r="AC13" s="1563">
        <f t="shared" si="5"/>
        <v>1</v>
      </c>
    </row>
    <row r="14" spans="1:29" ht="15.6"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77"/>
      <c r="Q14" s="1144">
        <f t="shared" si="6"/>
        <v>111</v>
      </c>
      <c r="R14" s="1560" t="s">
        <v>8</v>
      </c>
      <c r="S14" s="1561">
        <f t="shared" si="0"/>
        <v>100</v>
      </c>
      <c r="T14" s="1560" t="s">
        <v>8</v>
      </c>
      <c r="U14" s="1561">
        <f t="shared" si="1"/>
        <v>100</v>
      </c>
      <c r="V14" s="1560" t="s">
        <v>8</v>
      </c>
      <c r="W14" s="1561">
        <f t="shared" si="2"/>
        <v>100</v>
      </c>
      <c r="X14" s="1562"/>
      <c r="Y14" s="3734"/>
      <c r="Z14" s="1143">
        <f t="shared" si="7"/>
        <v>111</v>
      </c>
      <c r="AA14" s="1563">
        <f t="shared" si="3"/>
        <v>1</v>
      </c>
      <c r="AB14" s="1563">
        <f t="shared" si="4"/>
        <v>1</v>
      </c>
      <c r="AC14" s="1563">
        <f t="shared" si="5"/>
        <v>1</v>
      </c>
    </row>
    <row r="15" spans="1:29" ht="110.4">
      <c r="A15" s="2926" t="s">
        <v>2758</v>
      </c>
      <c r="B15" s="545" t="s">
        <v>543</v>
      </c>
      <c r="C15" s="546" t="str">
        <f>估价对象房地状况!C5</f>
        <v>估价对象位于太湖商圈，周边办公楼项目较多（无锡金融中心等），入驻率较高，办公集聚程度较好</v>
      </c>
      <c r="D15" s="547">
        <v>100</v>
      </c>
      <c r="E15" s="3523" t="s">
        <v>3403</v>
      </c>
      <c r="F15" s="547">
        <f>SUMIF(77:77,E16,78:78)-SUMIF(77:77,C16,78:78)+100</f>
        <v>100</v>
      </c>
      <c r="G15" s="3522" t="s">
        <v>3403</v>
      </c>
      <c r="H15" s="547">
        <f>SUMIF(77:77,G16,78:78)-SUMIF(77:77,C16,78:78)+100</f>
        <v>100</v>
      </c>
      <c r="I15" s="3522" t="s">
        <v>3404</v>
      </c>
      <c r="J15" s="547">
        <f>SUMIF(77:77,I16,78:78)-SUMIF(77:77,C16,78:78)+100</f>
        <v>100</v>
      </c>
      <c r="K15" s="891"/>
      <c r="L15" s="2134"/>
      <c r="M15" s="2126"/>
      <c r="N15" s="2126"/>
      <c r="O15" s="2126"/>
      <c r="P15" s="3779" t="s">
        <v>541</v>
      </c>
      <c r="Q15" s="1564" t="str">
        <f t="shared" si="6"/>
        <v>办公集聚程度</v>
      </c>
      <c r="R15" s="1565" t="s">
        <v>8</v>
      </c>
      <c r="S15" s="1566">
        <f t="shared" si="0"/>
        <v>100</v>
      </c>
      <c r="T15" s="1565" t="s">
        <v>8</v>
      </c>
      <c r="U15" s="1566">
        <f t="shared" si="1"/>
        <v>100</v>
      </c>
      <c r="V15" s="1565" t="s">
        <v>8</v>
      </c>
      <c r="W15" s="1566">
        <f t="shared" si="2"/>
        <v>100</v>
      </c>
      <c r="X15" s="1559"/>
      <c r="Y15" s="3779" t="s">
        <v>541</v>
      </c>
      <c r="Z15" s="1567" t="str">
        <f t="shared" si="7"/>
        <v>办公集聚程度</v>
      </c>
      <c r="AA15" s="1568">
        <f t="shared" si="3"/>
        <v>1</v>
      </c>
      <c r="AB15" s="1568">
        <f t="shared" si="4"/>
        <v>1</v>
      </c>
      <c r="AC15" s="1568">
        <f t="shared" si="5"/>
        <v>1</v>
      </c>
    </row>
    <row r="16" spans="1:29" ht="15">
      <c r="A16" s="530"/>
      <c r="B16" s="551"/>
      <c r="C16" s="3492" t="s">
        <v>3360</v>
      </c>
      <c r="D16" s="553"/>
      <c r="E16" s="3499" t="s">
        <v>3360</v>
      </c>
      <c r="F16" s="553"/>
      <c r="G16" s="3492" t="s">
        <v>3360</v>
      </c>
      <c r="H16" s="557"/>
      <c r="I16" s="3499" t="s">
        <v>3360</v>
      </c>
      <c r="J16" s="553"/>
      <c r="K16" s="892"/>
      <c r="L16" s="2134"/>
      <c r="M16" s="2126"/>
      <c r="N16" s="2126"/>
      <c r="O16" s="2126"/>
      <c r="P16" s="3780"/>
      <c r="Q16" s="1564"/>
      <c r="R16" s="1565"/>
      <c r="S16" s="1566"/>
      <c r="T16" s="1565"/>
      <c r="U16" s="1566"/>
      <c r="V16" s="1565"/>
      <c r="W16" s="1566"/>
      <c r="X16" s="1559"/>
      <c r="Y16" s="3780"/>
      <c r="Z16" s="1567"/>
      <c r="AA16" s="1568">
        <v>1</v>
      </c>
      <c r="AB16" s="1568">
        <v>1</v>
      </c>
      <c r="AC16" s="1568">
        <v>1</v>
      </c>
    </row>
    <row r="17" spans="1:29" ht="129.6">
      <c r="A17" s="530"/>
      <c r="B17" s="558" t="s">
        <v>296</v>
      </c>
      <c r="C17" s="570" t="str">
        <f>估价对象房地状况!C6</f>
        <v>估价对象临立信大道、公共交通线路较多（135路、156路等）及地铁1号线、停车便捷度较高，综合评价交通便捷度较好</v>
      </c>
      <c r="D17" s="557">
        <v>100</v>
      </c>
      <c r="E17" s="562"/>
      <c r="F17" s="557">
        <f>SUMIF(79:79,E18,80:80)-SUMIF(79:79,C18,80:80)+100</f>
        <v>100</v>
      </c>
      <c r="G17" s="560"/>
      <c r="H17" s="563">
        <f>SUMIF(79:79,G18,80:80)-SUMIF(79:79,C18,80:80)+100</f>
        <v>100</v>
      </c>
      <c r="I17" s="560" t="s">
        <v>3405</v>
      </c>
      <c r="J17" s="563">
        <f>SUMIF(79:79,I18,80:80)-SUMIF(79:79,C18,80:80)+100</f>
        <v>100</v>
      </c>
      <c r="K17" s="891"/>
      <c r="L17" s="2134"/>
      <c r="M17" s="2126"/>
      <c r="N17" s="2126"/>
      <c r="O17" s="2126"/>
      <c r="P17" s="3780"/>
      <c r="Q17" s="1564" t="str">
        <f>B17</f>
        <v>交通便捷度</v>
      </c>
      <c r="R17" s="1565" t="s">
        <v>8</v>
      </c>
      <c r="S17" s="1566">
        <f>F17</f>
        <v>100</v>
      </c>
      <c r="T17" s="1565" t="s">
        <v>8</v>
      </c>
      <c r="U17" s="1566">
        <f>H17</f>
        <v>100</v>
      </c>
      <c r="V17" s="1565" t="s">
        <v>8</v>
      </c>
      <c r="W17" s="1566">
        <f>J17</f>
        <v>100</v>
      </c>
      <c r="X17" s="1559"/>
      <c r="Y17" s="3780"/>
      <c r="Z17" s="1567" t="str">
        <f>Q17</f>
        <v>交通便捷度</v>
      </c>
      <c r="AA17" s="1568">
        <f t="shared" si="3"/>
        <v>1</v>
      </c>
      <c r="AB17" s="1568">
        <f t="shared" si="4"/>
        <v>1</v>
      </c>
      <c r="AC17" s="1568">
        <f t="shared" si="5"/>
        <v>1</v>
      </c>
    </row>
    <row r="18" spans="1:29" ht="15">
      <c r="A18" s="530"/>
      <c r="B18" s="564"/>
      <c r="C18" s="3500" t="s">
        <v>3360</v>
      </c>
      <c r="D18" s="557"/>
      <c r="E18" s="3508" t="s">
        <v>3360</v>
      </c>
      <c r="F18" s="557"/>
      <c r="G18" s="3507" t="s">
        <v>3360</v>
      </c>
      <c r="H18" s="553"/>
      <c r="I18" s="3507" t="s">
        <v>3360</v>
      </c>
      <c r="J18" s="553"/>
      <c r="K18" s="892"/>
      <c r="L18" s="2134"/>
      <c r="M18" s="2126"/>
      <c r="N18" s="2126"/>
      <c r="O18" s="2126"/>
      <c r="P18" s="3780"/>
      <c r="Q18" s="1564"/>
      <c r="R18" s="1565"/>
      <c r="S18" s="1566"/>
      <c r="T18" s="1565"/>
      <c r="U18" s="1566"/>
      <c r="V18" s="1565"/>
      <c r="W18" s="1566"/>
      <c r="X18" s="1559"/>
      <c r="Y18" s="3780"/>
      <c r="Z18" s="1567"/>
      <c r="AA18" s="1568">
        <v>1</v>
      </c>
      <c r="AB18" s="1568">
        <v>1</v>
      </c>
      <c r="AC18" s="1568">
        <v>1</v>
      </c>
    </row>
    <row r="19" spans="1:29" ht="110.4">
      <c r="A19" s="530"/>
      <c r="B19" s="2619" t="s">
        <v>2550</v>
      </c>
      <c r="C19" s="570" t="str">
        <f>估价对象房地状况!C7</f>
        <v>估价对象所在区域内有农业银行、无锡市第二中医医院、无锡金桥双语实验学校，公共配套设施水平较好</v>
      </c>
      <c r="D19" s="563">
        <v>100</v>
      </c>
      <c r="E19" s="3525"/>
      <c r="F19" s="563">
        <f>SUMIF(81:81,E20,82:82)-SUMIF(81:81,C20,82:82)+100</f>
        <v>100</v>
      </c>
      <c r="G19" s="3524"/>
      <c r="H19" s="557">
        <f>SUMIF(81:81,G20,82:82)-SUMIF(81:81,C20,82:82)+100</f>
        <v>100</v>
      </c>
      <c r="I19" s="3524" t="s">
        <v>3429</v>
      </c>
      <c r="J19" s="557">
        <f>SUMIF(81:81,I20,82:82)-SUMIF(81:81,C20,82:82)+100</f>
        <v>100</v>
      </c>
      <c r="K19" s="891"/>
      <c r="L19" s="2134"/>
      <c r="M19" s="2126"/>
      <c r="N19" s="2126"/>
      <c r="O19" s="2126"/>
      <c r="P19" s="3780"/>
      <c r="Q19" s="1564" t="str">
        <f>B19</f>
        <v>公共配套设施</v>
      </c>
      <c r="R19" s="1565" t="s">
        <v>8</v>
      </c>
      <c r="S19" s="1566">
        <f>F19</f>
        <v>100</v>
      </c>
      <c r="T19" s="1565" t="s">
        <v>8</v>
      </c>
      <c r="U19" s="1566">
        <f>H19</f>
        <v>100</v>
      </c>
      <c r="V19" s="1565" t="s">
        <v>8</v>
      </c>
      <c r="W19" s="1566">
        <f>J19</f>
        <v>100</v>
      </c>
      <c r="X19" s="1559"/>
      <c r="Y19" s="3780"/>
      <c r="Z19" s="1567" t="str">
        <f>Q19</f>
        <v>公共配套设施</v>
      </c>
      <c r="AA19" s="1568">
        <f t="shared" si="3"/>
        <v>1</v>
      </c>
      <c r="AB19" s="1568">
        <f t="shared" si="4"/>
        <v>1</v>
      </c>
      <c r="AC19" s="1568">
        <f t="shared" si="5"/>
        <v>1</v>
      </c>
    </row>
    <row r="20" spans="1:29" ht="15">
      <c r="A20" s="530"/>
      <c r="B20" s="564"/>
      <c r="C20" s="3492" t="s">
        <v>3360</v>
      </c>
      <c r="D20" s="553"/>
      <c r="E20" s="3493" t="s">
        <v>3360</v>
      </c>
      <c r="F20" s="553"/>
      <c r="G20" s="3494" t="s">
        <v>3360</v>
      </c>
      <c r="H20" s="553"/>
      <c r="I20" s="3494" t="s">
        <v>3360</v>
      </c>
      <c r="J20" s="553"/>
      <c r="K20" s="892"/>
      <c r="L20" s="2134"/>
      <c r="M20" s="2126"/>
      <c r="N20" s="2126"/>
      <c r="O20" s="2126"/>
      <c r="P20" s="3780"/>
      <c r="Q20" s="1564"/>
      <c r="R20" s="1565"/>
      <c r="S20" s="1566"/>
      <c r="T20" s="1565"/>
      <c r="U20" s="1566"/>
      <c r="V20" s="1565"/>
      <c r="W20" s="1566"/>
      <c r="X20" s="1559"/>
      <c r="Y20" s="3780"/>
      <c r="Z20" s="1567"/>
      <c r="AA20" s="1568">
        <v>1</v>
      </c>
      <c r="AB20" s="1568">
        <v>1</v>
      </c>
      <c r="AC20" s="1568">
        <v>1</v>
      </c>
    </row>
    <row r="21" spans="1:29" ht="41.4">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80"/>
      <c r="Q21" s="2595" t="str">
        <f>B21</f>
        <v>基础设施水平</v>
      </c>
      <c r="R21" s="1565" t="s">
        <v>8</v>
      </c>
      <c r="S21" s="1566">
        <f>F21</f>
        <v>100</v>
      </c>
      <c r="T21" s="1565" t="s">
        <v>8</v>
      </c>
      <c r="U21" s="1566">
        <f>H21</f>
        <v>100</v>
      </c>
      <c r="V21" s="1565" t="s">
        <v>8</v>
      </c>
      <c r="W21" s="1566">
        <f>J21</f>
        <v>100</v>
      </c>
      <c r="X21" s="2597"/>
      <c r="Y21" s="3780"/>
      <c r="Z21" s="2596" t="str">
        <f>Q21</f>
        <v>基础设施水平</v>
      </c>
      <c r="AA21" s="1568">
        <f t="shared" ref="AA21" si="8">D21/F21</f>
        <v>1</v>
      </c>
      <c r="AB21" s="1568">
        <f t="shared" ref="AB21" si="9">D21/H21</f>
        <v>1</v>
      </c>
      <c r="AC21" s="1568">
        <f t="shared" ref="AC21" si="10">D21/J21</f>
        <v>1</v>
      </c>
    </row>
    <row r="22" spans="1:29" ht="15">
      <c r="A22" s="530"/>
      <c r="B22" s="575"/>
      <c r="C22" s="3500" t="s">
        <v>3361</v>
      </c>
      <c r="D22" s="553"/>
      <c r="E22" s="3499" t="s">
        <v>3361</v>
      </c>
      <c r="F22" s="553"/>
      <c r="G22" s="3492" t="s">
        <v>3362</v>
      </c>
      <c r="H22" s="553"/>
      <c r="I22" s="3492" t="s">
        <v>3361</v>
      </c>
      <c r="J22" s="553"/>
      <c r="K22" s="2618"/>
      <c r="L22" s="2134"/>
      <c r="M22" s="2126"/>
      <c r="N22" s="2126"/>
      <c r="O22" s="2126"/>
      <c r="P22" s="3780"/>
      <c r="Q22" s="2595"/>
      <c r="R22" s="1565"/>
      <c r="S22" s="1566"/>
      <c r="T22" s="1565"/>
      <c r="U22" s="1566"/>
      <c r="V22" s="1565"/>
      <c r="W22" s="1566"/>
      <c r="X22" s="2597"/>
      <c r="Y22" s="3780"/>
      <c r="Z22" s="2596"/>
      <c r="AA22" s="1568">
        <v>1</v>
      </c>
      <c r="AB22" s="1568">
        <v>1</v>
      </c>
      <c r="AC22" s="1568">
        <v>1</v>
      </c>
    </row>
    <row r="23" spans="1:29" ht="115.2">
      <c r="A23" s="530"/>
      <c r="B23" s="558" t="s">
        <v>779</v>
      </c>
      <c r="C23" s="570" t="str">
        <f>估价对象房地状况!C9</f>
        <v>区域内有尚贤河湿地公园，自然环境较好；无大学等人文设施，人文环境较差；综合评价环境状况一般</v>
      </c>
      <c r="D23" s="557">
        <v>100</v>
      </c>
      <c r="E23" s="3527"/>
      <c r="F23" s="557">
        <f>SUMIF(85:85,E24,86:86)-SUMIF(85:85,C24,86:86)+100</f>
        <v>100</v>
      </c>
      <c r="G23" s="3526"/>
      <c r="H23" s="557">
        <f>SUMIF(85:85,G24,86:86)-SUMIF(85:85,C24,86:86)+100</f>
        <v>100</v>
      </c>
      <c r="I23" s="3526" t="s">
        <v>3426</v>
      </c>
      <c r="J23" s="557">
        <f>SUMIF(85:85,I24,86:86)-SUMIF(85:85,C24,86:86)+100</f>
        <v>100</v>
      </c>
      <c r="K23" s="891"/>
      <c r="L23" s="2134"/>
      <c r="M23" s="2126"/>
      <c r="N23" s="2126"/>
      <c r="O23" s="2126"/>
      <c r="P23" s="3780"/>
      <c r="Q23" s="1564" t="str">
        <f>B23</f>
        <v>环境质量</v>
      </c>
      <c r="R23" s="1565" t="s">
        <v>8</v>
      </c>
      <c r="S23" s="1566">
        <f>F23</f>
        <v>100</v>
      </c>
      <c r="T23" s="1565" t="s">
        <v>8</v>
      </c>
      <c r="U23" s="1566">
        <f>H23</f>
        <v>100</v>
      </c>
      <c r="V23" s="1565" t="s">
        <v>8</v>
      </c>
      <c r="W23" s="1566">
        <f>J23</f>
        <v>100</v>
      </c>
      <c r="X23" s="1559"/>
      <c r="Y23" s="3780"/>
      <c r="Z23" s="1567" t="str">
        <f>Q23</f>
        <v>环境质量</v>
      </c>
      <c r="AA23" s="1568">
        <f t="shared" si="3"/>
        <v>1</v>
      </c>
      <c r="AB23" s="1568">
        <f t="shared" si="4"/>
        <v>1</v>
      </c>
      <c r="AC23" s="1568">
        <f t="shared" si="5"/>
        <v>1</v>
      </c>
    </row>
    <row r="24" spans="1:29" ht="15">
      <c r="A24" s="530"/>
      <c r="B24" s="575"/>
      <c r="C24" s="3492" t="s">
        <v>3425</v>
      </c>
      <c r="D24" s="553"/>
      <c r="E24" s="3493" t="s">
        <v>3425</v>
      </c>
      <c r="F24" s="553"/>
      <c r="G24" s="3494" t="s">
        <v>3425</v>
      </c>
      <c r="H24" s="553"/>
      <c r="I24" s="3494" t="s">
        <v>3425</v>
      </c>
      <c r="J24" s="553"/>
      <c r="K24" s="892"/>
      <c r="L24" s="2134"/>
      <c r="M24" s="2126"/>
      <c r="N24" s="2126"/>
      <c r="O24" s="2126"/>
      <c r="P24" s="3780"/>
      <c r="Q24" s="1564"/>
      <c r="R24" s="1565"/>
      <c r="S24" s="1566"/>
      <c r="T24" s="1565"/>
      <c r="U24" s="1566"/>
      <c r="V24" s="1565"/>
      <c r="W24" s="1566"/>
      <c r="X24" s="1559"/>
      <c r="Y24" s="3780"/>
      <c r="Z24" s="1567"/>
      <c r="AA24" s="1568">
        <v>1</v>
      </c>
      <c r="AB24" s="1568">
        <v>1</v>
      </c>
      <c r="AC24" s="1568">
        <v>1</v>
      </c>
    </row>
    <row r="25" spans="1:29" ht="28.8">
      <c r="A25" s="513"/>
      <c r="B25" s="558" t="s">
        <v>549</v>
      </c>
      <c r="C25" s="905" t="s">
        <v>3374</v>
      </c>
      <c r="D25" s="538">
        <v>100</v>
      </c>
      <c r="E25" s="537" t="s">
        <v>3374</v>
      </c>
      <c r="F25" s="538">
        <f>SUMIF(87:87,E26,88:88)-SUMIF(87:87,C26,88:88)+100</f>
        <v>100</v>
      </c>
      <c r="G25" s="905" t="s">
        <v>3374</v>
      </c>
      <c r="H25" s="538">
        <f>SUMIF(87:87,G26,88:88)-SUMIF(87:87,C26,88:88)+100</f>
        <v>100</v>
      </c>
      <c r="I25" s="3541" t="s">
        <v>3430</v>
      </c>
      <c r="J25" s="538">
        <f>SUMIF(87:87,I26,88:88)-SUMIF(87:87,C26,88:88)+100</f>
        <v>102</v>
      </c>
      <c r="K25" s="891">
        <v>2</v>
      </c>
      <c r="L25" s="2134"/>
      <c r="M25" s="2126"/>
      <c r="N25" s="2126"/>
      <c r="O25" s="2126"/>
      <c r="P25" s="3780"/>
      <c r="Q25" s="1564" t="str">
        <f>B25</f>
        <v>毗邻道路的类型与等级</v>
      </c>
      <c r="R25" s="1565" t="s">
        <v>8</v>
      </c>
      <c r="S25" s="1566">
        <f>F25</f>
        <v>100</v>
      </c>
      <c r="T25" s="1565" t="s">
        <v>8</v>
      </c>
      <c r="U25" s="1566">
        <f>H25</f>
        <v>100</v>
      </c>
      <c r="V25" s="1565" t="s">
        <v>8</v>
      </c>
      <c r="W25" s="1566">
        <f>J25</f>
        <v>102</v>
      </c>
      <c r="X25" s="1559"/>
      <c r="Y25" s="3780"/>
      <c r="Z25" s="1567" t="str">
        <f>Q25</f>
        <v>毗邻道路的类型与等级</v>
      </c>
      <c r="AA25" s="1568">
        <f t="shared" si="3"/>
        <v>1</v>
      </c>
      <c r="AB25" s="1568">
        <f t="shared" si="4"/>
        <v>1</v>
      </c>
      <c r="AC25" s="1568">
        <f t="shared" si="5"/>
        <v>0.98039215686274506</v>
      </c>
    </row>
    <row r="26" spans="1:29" ht="15">
      <c r="A26" s="513"/>
      <c r="B26" s="564"/>
      <c r="C26" s="3528" t="s">
        <v>3371</v>
      </c>
      <c r="D26" s="538"/>
      <c r="E26" s="3509" t="s">
        <v>3371</v>
      </c>
      <c r="F26" s="538"/>
      <c r="G26" s="3528" t="s">
        <v>3371</v>
      </c>
      <c r="H26" s="538"/>
      <c r="I26" s="580" t="s">
        <v>3369</v>
      </c>
      <c r="J26" s="538"/>
      <c r="K26" s="892"/>
      <c r="L26" s="2134"/>
      <c r="M26" s="2126"/>
      <c r="N26" s="2126"/>
      <c r="O26" s="2126"/>
      <c r="P26" s="3780"/>
      <c r="Q26" s="1564"/>
      <c r="R26" s="1565"/>
      <c r="S26" s="1566"/>
      <c r="T26" s="1565"/>
      <c r="U26" s="1566"/>
      <c r="V26" s="1565"/>
      <c r="W26" s="1566"/>
      <c r="X26" s="1559"/>
      <c r="Y26" s="3780"/>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80"/>
      <c r="Q27" s="1564" t="str">
        <f t="shared" ref="Q27:Q47" si="11">B27</f>
        <v>楼层</v>
      </c>
      <c r="R27" s="1565" t="s">
        <v>8</v>
      </c>
      <c r="S27" s="1566">
        <f>F27</f>
        <v>100</v>
      </c>
      <c r="T27" s="1565" t="s">
        <v>8</v>
      </c>
      <c r="U27" s="1566">
        <f>H27</f>
        <v>100</v>
      </c>
      <c r="V27" s="1565" t="s">
        <v>8</v>
      </c>
      <c r="W27" s="1566">
        <f>J27</f>
        <v>100</v>
      </c>
      <c r="X27" s="1559"/>
      <c r="Y27" s="3780"/>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80"/>
      <c r="Q28" s="1144" t="str">
        <f t="shared" si="11"/>
        <v>朝向</v>
      </c>
      <c r="R28" s="1560" t="s">
        <v>8</v>
      </c>
      <c r="S28" s="1561">
        <f>F28</f>
        <v>100</v>
      </c>
      <c r="T28" s="1560" t="s">
        <v>8</v>
      </c>
      <c r="U28" s="1561">
        <f>H28</f>
        <v>100</v>
      </c>
      <c r="V28" s="1560" t="s">
        <v>8</v>
      </c>
      <c r="W28" s="1561">
        <f>J28</f>
        <v>100</v>
      </c>
      <c r="X28" s="1562"/>
      <c r="Y28" s="3780"/>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80"/>
      <c r="Q29" s="1564">
        <f t="shared" si="11"/>
        <v>111</v>
      </c>
      <c r="R29" s="1565" t="s">
        <v>8</v>
      </c>
      <c r="S29" s="1566">
        <f t="shared" ref="S29:S47" si="12">F29</f>
        <v>100</v>
      </c>
      <c r="T29" s="1565" t="s">
        <v>8</v>
      </c>
      <c r="U29" s="1566">
        <f t="shared" ref="U29:U47" si="13">H29</f>
        <v>100</v>
      </c>
      <c r="V29" s="1565" t="s">
        <v>8</v>
      </c>
      <c r="W29" s="1566">
        <f t="shared" ref="W29:W47" si="14">J29</f>
        <v>100</v>
      </c>
      <c r="X29" s="1559"/>
      <c r="Y29" s="3780"/>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80"/>
      <c r="Q30" s="1564">
        <f t="shared" si="11"/>
        <v>111</v>
      </c>
      <c r="R30" s="1565" t="s">
        <v>8</v>
      </c>
      <c r="S30" s="1566">
        <f t="shared" si="12"/>
        <v>100</v>
      </c>
      <c r="T30" s="1565" t="s">
        <v>8</v>
      </c>
      <c r="U30" s="1566">
        <f t="shared" si="13"/>
        <v>100</v>
      </c>
      <c r="V30" s="1565" t="s">
        <v>8</v>
      </c>
      <c r="W30" s="1566">
        <f t="shared" si="14"/>
        <v>100</v>
      </c>
      <c r="X30" s="1559"/>
      <c r="Y30" s="3780"/>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80"/>
      <c r="Q31" s="1564">
        <f t="shared" si="11"/>
        <v>111</v>
      </c>
      <c r="R31" s="1565" t="s">
        <v>8</v>
      </c>
      <c r="S31" s="1566">
        <f t="shared" si="12"/>
        <v>100</v>
      </c>
      <c r="T31" s="1565" t="s">
        <v>8</v>
      </c>
      <c r="U31" s="1566">
        <f t="shared" si="13"/>
        <v>100</v>
      </c>
      <c r="V31" s="1565" t="s">
        <v>8</v>
      </c>
      <c r="W31" s="1566">
        <f t="shared" si="14"/>
        <v>100</v>
      </c>
      <c r="X31" s="1559"/>
      <c r="Y31" s="3780"/>
      <c r="Z31" s="1567">
        <f t="shared" si="15"/>
        <v>111</v>
      </c>
      <c r="AA31" s="1568">
        <f t="shared" si="3"/>
        <v>1</v>
      </c>
      <c r="AB31" s="1568">
        <f t="shared" si="4"/>
        <v>1</v>
      </c>
      <c r="AC31" s="1568">
        <f t="shared" si="5"/>
        <v>1</v>
      </c>
    </row>
    <row r="32" spans="1:29" ht="15.6"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80"/>
      <c r="Q32" s="1564">
        <f t="shared" si="11"/>
        <v>111</v>
      </c>
      <c r="R32" s="1565" t="s">
        <v>8</v>
      </c>
      <c r="S32" s="1566">
        <f t="shared" si="12"/>
        <v>100</v>
      </c>
      <c r="T32" s="1565" t="s">
        <v>8</v>
      </c>
      <c r="U32" s="1566">
        <f t="shared" si="13"/>
        <v>100</v>
      </c>
      <c r="V32" s="1565" t="s">
        <v>8</v>
      </c>
      <c r="W32" s="1566">
        <f t="shared" si="14"/>
        <v>100</v>
      </c>
      <c r="X32" s="1559"/>
      <c r="Y32" s="3780"/>
      <c r="Z32" s="1567">
        <f t="shared" si="15"/>
        <v>111</v>
      </c>
      <c r="AA32" s="1568">
        <f t="shared" si="3"/>
        <v>1</v>
      </c>
      <c r="AB32" s="1568">
        <f t="shared" si="4"/>
        <v>1</v>
      </c>
      <c r="AC32" s="1568">
        <f t="shared" si="5"/>
        <v>1</v>
      </c>
    </row>
    <row r="33" spans="1:29" ht="15">
      <c r="A33" s="2924" t="s">
        <v>2759</v>
      </c>
      <c r="B33" s="172" t="s">
        <v>781</v>
      </c>
      <c r="C33" s="3529" t="s">
        <v>3363</v>
      </c>
      <c r="D33" s="594">
        <v>100</v>
      </c>
      <c r="E33" s="3529" t="s">
        <v>3363</v>
      </c>
      <c r="F33" s="572">
        <f>SUMIF(101:101,E33,102:102)-SUMIF(101:101,C33,102:102)+100</f>
        <v>100</v>
      </c>
      <c r="G33" s="3529" t="s">
        <v>3364</v>
      </c>
      <c r="H33" s="538">
        <f>SUMIF(101:101,G33,102:102)-SUMIF(101:101,C33,102:102)+100</f>
        <v>100</v>
      </c>
      <c r="I33" s="3529" t="s">
        <v>3363</v>
      </c>
      <c r="J33" s="594">
        <f>SUMIF(101:101,I33,102:102)-SUMIF(101:101,C33,102:102)+100</f>
        <v>100</v>
      </c>
      <c r="K33" s="581"/>
      <c r="L33" s="2134"/>
      <c r="M33" s="2126"/>
      <c r="N33" s="2126"/>
      <c r="O33" s="2126"/>
      <c r="P33" s="3781" t="s">
        <v>551</v>
      </c>
      <c r="Q33" s="1564" t="str">
        <f t="shared" si="11"/>
        <v>建筑类型</v>
      </c>
      <c r="R33" s="1565" t="s">
        <v>8</v>
      </c>
      <c r="S33" s="1566">
        <f t="shared" si="12"/>
        <v>100</v>
      </c>
      <c r="T33" s="1565" t="s">
        <v>8</v>
      </c>
      <c r="U33" s="1566">
        <f t="shared" si="13"/>
        <v>100</v>
      </c>
      <c r="V33" s="1565" t="s">
        <v>8</v>
      </c>
      <c r="W33" s="1566">
        <f t="shared" si="14"/>
        <v>100</v>
      </c>
      <c r="X33" s="1559"/>
      <c r="Y33" s="3782"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782"/>
      <c r="Q34" s="1597" t="str">
        <f t="shared" si="11"/>
        <v>项目建筑规模</v>
      </c>
      <c r="R34" s="1569" t="s">
        <v>8</v>
      </c>
      <c r="S34" s="1570">
        <f t="shared" si="12"/>
        <v>100</v>
      </c>
      <c r="T34" s="1569" t="s">
        <v>8</v>
      </c>
      <c r="U34" s="1570">
        <f t="shared" si="13"/>
        <v>100</v>
      </c>
      <c r="V34" s="1569" t="s">
        <v>8</v>
      </c>
      <c r="W34" s="1570">
        <f t="shared" si="14"/>
        <v>100</v>
      </c>
      <c r="X34" s="1571"/>
      <c r="Y34" s="3782"/>
      <c r="Z34" s="1572" t="str">
        <f t="shared" si="15"/>
        <v>项目建筑规模</v>
      </c>
      <c r="AA34" s="1568">
        <f t="shared" si="3"/>
        <v>1</v>
      </c>
      <c r="AB34" s="1568">
        <f t="shared" si="4"/>
        <v>1</v>
      </c>
      <c r="AC34" s="1568">
        <f t="shared" si="5"/>
        <v>1</v>
      </c>
    </row>
    <row r="35" spans="1:29" ht="15">
      <c r="A35" s="591"/>
      <c r="B35" s="525" t="s">
        <v>728</v>
      </c>
      <c r="C35" s="3530" t="s">
        <v>3365</v>
      </c>
      <c r="D35" s="538">
        <v>100</v>
      </c>
      <c r="E35" s="3530" t="s">
        <v>3365</v>
      </c>
      <c r="F35" s="572">
        <f>SUMIF(106:106,E35,107:107)-SUMIF(106:106,C35,107:107)+100</f>
        <v>100</v>
      </c>
      <c r="G35" s="3530" t="s">
        <v>3366</v>
      </c>
      <c r="H35" s="538">
        <f>SUMIF(106:106,G35,107:107)-SUMIF(106:106,C35,107:107)+100</f>
        <v>100</v>
      </c>
      <c r="I35" s="3530" t="s">
        <v>3365</v>
      </c>
      <c r="J35" s="538">
        <f>SUMIF(106:106,I35,107:107)-SUMIF(106:106,C35,107:107)+100</f>
        <v>100</v>
      </c>
      <c r="K35" s="581"/>
      <c r="L35" s="2134"/>
      <c r="M35" s="2126"/>
      <c r="N35" s="2126"/>
      <c r="O35" s="2126"/>
      <c r="P35" s="3782"/>
      <c r="Q35" s="1564" t="str">
        <f t="shared" si="11"/>
        <v>建筑结构</v>
      </c>
      <c r="R35" s="1565" t="s">
        <v>8</v>
      </c>
      <c r="S35" s="1566">
        <f t="shared" si="12"/>
        <v>100</v>
      </c>
      <c r="T35" s="1565" t="s">
        <v>8</v>
      </c>
      <c r="U35" s="1566">
        <f t="shared" si="13"/>
        <v>100</v>
      </c>
      <c r="V35" s="1565" t="s">
        <v>8</v>
      </c>
      <c r="W35" s="1566">
        <f t="shared" si="14"/>
        <v>100</v>
      </c>
      <c r="X35" s="1559"/>
      <c r="Y35" s="3782"/>
      <c r="Z35" s="1567" t="str">
        <f t="shared" si="15"/>
        <v>建筑结构</v>
      </c>
      <c r="AA35" s="1568">
        <f t="shared" si="3"/>
        <v>1</v>
      </c>
      <c r="AB35" s="1568">
        <f t="shared" si="4"/>
        <v>1</v>
      </c>
      <c r="AC35" s="1568">
        <f t="shared" si="5"/>
        <v>1</v>
      </c>
    </row>
    <row r="36" spans="1:29" ht="15">
      <c r="A36" s="591"/>
      <c r="B36" s="525" t="s">
        <v>764</v>
      </c>
      <c r="C36" s="3530" t="s">
        <v>3360</v>
      </c>
      <c r="D36" s="538">
        <v>100</v>
      </c>
      <c r="E36" s="3530" t="s">
        <v>3360</v>
      </c>
      <c r="F36" s="572">
        <f>SUMIF(108:108,E36,109:109)-SUMIF(108:108,C36,109:109)+100</f>
        <v>100</v>
      </c>
      <c r="G36" s="3530" t="s">
        <v>3360</v>
      </c>
      <c r="H36" s="538">
        <f>SUMIF(108:108,G36,109:109)-SUMIF(108:108,C36,109:109)+100</f>
        <v>100</v>
      </c>
      <c r="I36" s="3530" t="s">
        <v>3360</v>
      </c>
      <c r="J36" s="538">
        <f>SUMIF(108:108,I36,109:109)-SUMIF(108:108,C36,109:109)+100</f>
        <v>100</v>
      </c>
      <c r="K36" s="581"/>
      <c r="L36" s="2134"/>
      <c r="M36" s="2126"/>
      <c r="N36" s="2126"/>
      <c r="O36" s="2126"/>
      <c r="P36" s="3782"/>
      <c r="Q36" s="1564" t="str">
        <f t="shared" si="11"/>
        <v>公共部分装修</v>
      </c>
      <c r="R36" s="1565" t="s">
        <v>8</v>
      </c>
      <c r="S36" s="1566">
        <f t="shared" si="12"/>
        <v>100</v>
      </c>
      <c r="T36" s="1565" t="s">
        <v>8</v>
      </c>
      <c r="U36" s="1566">
        <f t="shared" si="13"/>
        <v>100</v>
      </c>
      <c r="V36" s="1565" t="s">
        <v>8</v>
      </c>
      <c r="W36" s="1566">
        <f t="shared" si="14"/>
        <v>100</v>
      </c>
      <c r="X36" s="1559"/>
      <c r="Y36" s="3782"/>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782"/>
      <c r="Q37" s="1564" t="str">
        <f t="shared" si="11"/>
        <v>成新度</v>
      </c>
      <c r="R37" s="1565" t="s">
        <v>8</v>
      </c>
      <c r="S37" s="1566">
        <f t="shared" si="12"/>
        <v>100</v>
      </c>
      <c r="T37" s="1565" t="s">
        <v>8</v>
      </c>
      <c r="U37" s="1566">
        <f t="shared" si="13"/>
        <v>100</v>
      </c>
      <c r="V37" s="1565" t="s">
        <v>8</v>
      </c>
      <c r="W37" s="1566">
        <f t="shared" si="14"/>
        <v>100</v>
      </c>
      <c r="X37" s="1559"/>
      <c r="Y37" s="3782"/>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782"/>
      <c r="Q38" s="1144" t="str">
        <f t="shared" si="11"/>
        <v>写字楼等级</v>
      </c>
      <c r="R38" s="1560" t="s">
        <v>8</v>
      </c>
      <c r="S38" s="1561">
        <f t="shared" si="12"/>
        <v>100</v>
      </c>
      <c r="T38" s="1560" t="s">
        <v>8</v>
      </c>
      <c r="U38" s="1561">
        <f t="shared" si="13"/>
        <v>100</v>
      </c>
      <c r="V38" s="1560" t="s">
        <v>8</v>
      </c>
      <c r="W38" s="1561">
        <f t="shared" si="14"/>
        <v>100</v>
      </c>
      <c r="X38" s="1562"/>
      <c r="Y38" s="3782"/>
      <c r="Z38" s="1143" t="str">
        <f t="shared" si="15"/>
        <v>写字楼等级</v>
      </c>
      <c r="AA38" s="1563">
        <f t="shared" si="3"/>
        <v>1</v>
      </c>
      <c r="AB38" s="1563">
        <f t="shared" si="4"/>
        <v>1</v>
      </c>
      <c r="AC38" s="1563">
        <f t="shared" si="5"/>
        <v>1</v>
      </c>
    </row>
    <row r="39" spans="1:29" ht="15">
      <c r="A39" s="591"/>
      <c r="B39" s="525" t="s">
        <v>783</v>
      </c>
      <c r="C39" s="3530" t="s">
        <v>3367</v>
      </c>
      <c r="D39" s="538">
        <v>100</v>
      </c>
      <c r="E39" s="3530" t="s">
        <v>3367</v>
      </c>
      <c r="F39" s="572">
        <f>SUMIF(115:115,E39,116:116)-SUMIF(115:115,C39,116:116)+100</f>
        <v>100</v>
      </c>
      <c r="G39" s="3530" t="s">
        <v>3367</v>
      </c>
      <c r="H39" s="538">
        <f>SUMIF(115:115,G39,116:116)-SUMIF(115:115,C39,116:116)+100</f>
        <v>100</v>
      </c>
      <c r="I39" s="3530" t="s">
        <v>3367</v>
      </c>
      <c r="J39" s="538">
        <f>SUMIF(115:115,I39,116:116)-SUMIF(115:115,C39,116:116)+100</f>
        <v>100</v>
      </c>
      <c r="K39" s="581"/>
      <c r="L39" s="2134"/>
      <c r="M39" s="2126"/>
      <c r="N39" s="2126"/>
      <c r="O39" s="2126"/>
      <c r="P39" s="3782" t="s">
        <v>551</v>
      </c>
      <c r="Q39" s="1564" t="str">
        <f t="shared" si="11"/>
        <v>物业管理</v>
      </c>
      <c r="R39" s="1565" t="s">
        <v>8</v>
      </c>
      <c r="S39" s="1566">
        <f t="shared" si="12"/>
        <v>100</v>
      </c>
      <c r="T39" s="1565" t="s">
        <v>8</v>
      </c>
      <c r="U39" s="1566">
        <f t="shared" si="13"/>
        <v>100</v>
      </c>
      <c r="V39" s="1565" t="s">
        <v>8</v>
      </c>
      <c r="W39" s="1566">
        <f t="shared" si="14"/>
        <v>100</v>
      </c>
      <c r="X39" s="1559"/>
      <c r="Y39" s="3782" t="s">
        <v>551</v>
      </c>
      <c r="Z39" s="1567" t="str">
        <f t="shared" si="15"/>
        <v>物业管理</v>
      </c>
      <c r="AA39" s="1568">
        <f t="shared" si="3"/>
        <v>1</v>
      </c>
      <c r="AB39" s="1568">
        <f t="shared" si="4"/>
        <v>1</v>
      </c>
      <c r="AC39" s="1568">
        <f t="shared" si="5"/>
        <v>1</v>
      </c>
    </row>
    <row r="40" spans="1:29" ht="15">
      <c r="A40" s="591"/>
      <c r="B40" s="1887" t="s">
        <v>2569</v>
      </c>
      <c r="C40" s="3530" t="s">
        <v>3361</v>
      </c>
      <c r="D40" s="538">
        <v>100</v>
      </c>
      <c r="E40" s="3530" t="s">
        <v>3361</v>
      </c>
      <c r="F40" s="572">
        <f>SUMIF(117:117,E40,118:118)-SUMIF(117:117,C40,118:118)+100</f>
        <v>100</v>
      </c>
      <c r="G40" s="3530" t="s">
        <v>3361</v>
      </c>
      <c r="H40" s="538">
        <f>SUMIF(117:117,G40,118:118)-SUMIF(117:117,C40,118:118)+100</f>
        <v>100</v>
      </c>
      <c r="I40" s="3530" t="s">
        <v>3361</v>
      </c>
      <c r="J40" s="538">
        <f>SUMIF(117:117,I40,118:118)-SUMIF(117:117,C40,118:118)+100</f>
        <v>100</v>
      </c>
      <c r="K40" s="581"/>
      <c r="L40" s="2134"/>
      <c r="M40" s="2126"/>
      <c r="N40" s="2126"/>
      <c r="O40" s="2126"/>
      <c r="P40" s="3782"/>
      <c r="Q40" s="1564" t="str">
        <f t="shared" si="11"/>
        <v>市政基础设施</v>
      </c>
      <c r="R40" s="1565" t="s">
        <v>8</v>
      </c>
      <c r="S40" s="1566">
        <f t="shared" si="12"/>
        <v>100</v>
      </c>
      <c r="T40" s="1565" t="s">
        <v>8</v>
      </c>
      <c r="U40" s="1566">
        <f t="shared" si="13"/>
        <v>100</v>
      </c>
      <c r="V40" s="1565" t="s">
        <v>8</v>
      </c>
      <c r="W40" s="1566">
        <f t="shared" si="14"/>
        <v>100</v>
      </c>
      <c r="X40" s="1559"/>
      <c r="Y40" s="3782"/>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782"/>
      <c r="Q41" s="1564" t="str">
        <f t="shared" si="11"/>
        <v>层高</v>
      </c>
      <c r="R41" s="1565" t="s">
        <v>8</v>
      </c>
      <c r="S41" s="1566">
        <f t="shared" si="12"/>
        <v>100</v>
      </c>
      <c r="T41" s="1565" t="s">
        <v>8</v>
      </c>
      <c r="U41" s="1566">
        <f t="shared" si="13"/>
        <v>100</v>
      </c>
      <c r="V41" s="1565" t="s">
        <v>8</v>
      </c>
      <c r="W41" s="1566">
        <f t="shared" si="14"/>
        <v>100</v>
      </c>
      <c r="X41" s="1559"/>
      <c r="Y41" s="3782"/>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782"/>
      <c r="Q42" s="1597" t="str">
        <f t="shared" si="11"/>
        <v>单套建筑面积</v>
      </c>
      <c r="R42" s="1569" t="s">
        <v>8</v>
      </c>
      <c r="S42" s="1570">
        <f t="shared" si="12"/>
        <v>100</v>
      </c>
      <c r="T42" s="1569" t="s">
        <v>8</v>
      </c>
      <c r="U42" s="1570">
        <f t="shared" si="13"/>
        <v>100</v>
      </c>
      <c r="V42" s="1569" t="s">
        <v>8</v>
      </c>
      <c r="W42" s="1570">
        <f t="shared" si="14"/>
        <v>100</v>
      </c>
      <c r="X42" s="1571"/>
      <c r="Y42" s="3782"/>
      <c r="Z42" s="1572" t="str">
        <f t="shared" si="15"/>
        <v>单套建筑面积</v>
      </c>
      <c r="AA42" s="1568">
        <f t="shared" si="3"/>
        <v>1</v>
      </c>
      <c r="AB42" s="1568">
        <f t="shared" si="4"/>
        <v>1</v>
      </c>
      <c r="AC42" s="1568">
        <f t="shared" si="5"/>
        <v>1</v>
      </c>
    </row>
    <row r="43" spans="1:29" ht="15">
      <c r="A43" s="591"/>
      <c r="B43" s="525" t="s">
        <v>771</v>
      </c>
      <c r="C43" s="3530" t="s">
        <v>3368</v>
      </c>
      <c r="D43" s="538">
        <v>100</v>
      </c>
      <c r="E43" s="3530" t="s">
        <v>3368</v>
      </c>
      <c r="F43" s="572">
        <f>SUMIF(123:123,E43,124:124)-SUMIF(123:123,C43,124:124)+100</f>
        <v>100</v>
      </c>
      <c r="G43" s="3530" t="s">
        <v>3368</v>
      </c>
      <c r="H43" s="538">
        <f>SUMIF(123:123,G43,124:124)-SUMIF(123:123,C43,124:124)+100</f>
        <v>100</v>
      </c>
      <c r="I43" s="3530" t="s">
        <v>3368</v>
      </c>
      <c r="J43" s="538">
        <f>SUMIF(123:123,I43,124:124)-SUMIF(123:123,C43,124:124)+100</f>
        <v>100</v>
      </c>
      <c r="K43" s="581"/>
      <c r="L43" s="2134"/>
      <c r="M43" s="2126"/>
      <c r="N43" s="2126"/>
      <c r="O43" s="2126"/>
      <c r="P43" s="3782"/>
      <c r="Q43" s="1564" t="str">
        <f t="shared" si="11"/>
        <v>内部装修</v>
      </c>
      <c r="R43" s="1565" t="s">
        <v>8</v>
      </c>
      <c r="S43" s="1566">
        <f t="shared" si="12"/>
        <v>100</v>
      </c>
      <c r="T43" s="1565" t="s">
        <v>8</v>
      </c>
      <c r="U43" s="1566">
        <f t="shared" si="13"/>
        <v>100</v>
      </c>
      <c r="V43" s="1565" t="s">
        <v>8</v>
      </c>
      <c r="W43" s="1566">
        <f t="shared" si="14"/>
        <v>100</v>
      </c>
      <c r="X43" s="1559"/>
      <c r="Y43" s="3782"/>
      <c r="Z43" s="1567" t="str">
        <f t="shared" si="15"/>
        <v>内部装修</v>
      </c>
      <c r="AA43" s="1568">
        <f t="shared" si="3"/>
        <v>1</v>
      </c>
      <c r="AB43" s="1568">
        <f t="shared" si="4"/>
        <v>1</v>
      </c>
      <c r="AC43" s="1568">
        <f t="shared" si="5"/>
        <v>1</v>
      </c>
    </row>
    <row r="44" spans="1:29" ht="28.8">
      <c r="A44" s="591"/>
      <c r="B44" s="525" t="s">
        <v>736</v>
      </c>
      <c r="C44" s="3530" t="s">
        <v>3360</v>
      </c>
      <c r="D44" s="538">
        <v>100</v>
      </c>
      <c r="E44" s="3495" t="s">
        <v>3360</v>
      </c>
      <c r="F44" s="572">
        <f>SUMIF(125:125,E44,126:126)-SUMIF(125:125,C44,126:126)+100</f>
        <v>100</v>
      </c>
      <c r="G44" s="3495" t="s">
        <v>3360</v>
      </c>
      <c r="H44" s="538">
        <f>SUMIF(125:125,G44,126:126)-SUMIF(125:125,C44,126:126)+100</f>
        <v>100</v>
      </c>
      <c r="I44" s="3495" t="s">
        <v>3360</v>
      </c>
      <c r="J44" s="538">
        <f>SUMIF(125:125,I44,126:126)-SUMIF(125:125,C44,126:126)+100</f>
        <v>100</v>
      </c>
      <c r="K44" s="581"/>
      <c r="L44" s="2134"/>
      <c r="M44" s="2126"/>
      <c r="N44" s="2126"/>
      <c r="O44" s="2126"/>
      <c r="P44" s="3782"/>
      <c r="Q44" s="1564" t="str">
        <f t="shared" si="11"/>
        <v>内部装修维护情况</v>
      </c>
      <c r="R44" s="1565" t="s">
        <v>8</v>
      </c>
      <c r="S44" s="1566">
        <f t="shared" si="12"/>
        <v>100</v>
      </c>
      <c r="T44" s="1565" t="s">
        <v>8</v>
      </c>
      <c r="U44" s="1566">
        <f t="shared" si="13"/>
        <v>100</v>
      </c>
      <c r="V44" s="1565" t="s">
        <v>8</v>
      </c>
      <c r="W44" s="1566">
        <f t="shared" si="14"/>
        <v>100</v>
      </c>
      <c r="X44" s="1559"/>
      <c r="Y44" s="3782"/>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782"/>
      <c r="Q45" s="1144">
        <f t="shared" si="11"/>
        <v>111</v>
      </c>
      <c r="R45" s="1560" t="s">
        <v>8</v>
      </c>
      <c r="S45" s="1561">
        <f t="shared" si="12"/>
        <v>100</v>
      </c>
      <c r="T45" s="1560" t="s">
        <v>8</v>
      </c>
      <c r="U45" s="1561">
        <f t="shared" si="13"/>
        <v>100</v>
      </c>
      <c r="V45" s="1560" t="s">
        <v>8</v>
      </c>
      <c r="W45" s="1561">
        <f t="shared" si="14"/>
        <v>100</v>
      </c>
      <c r="X45" s="1562"/>
      <c r="Y45" s="3782"/>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782"/>
      <c r="Q46" s="1564">
        <f t="shared" si="11"/>
        <v>111</v>
      </c>
      <c r="R46" s="1565" t="s">
        <v>8</v>
      </c>
      <c r="S46" s="1566">
        <f t="shared" si="12"/>
        <v>100</v>
      </c>
      <c r="T46" s="1565" t="s">
        <v>8</v>
      </c>
      <c r="U46" s="1566">
        <f t="shared" si="13"/>
        <v>100</v>
      </c>
      <c r="V46" s="1565" t="s">
        <v>8</v>
      </c>
      <c r="W46" s="1566">
        <f t="shared" si="14"/>
        <v>100</v>
      </c>
      <c r="X46" s="1559"/>
      <c r="Y46" s="3782"/>
      <c r="Z46" s="1567">
        <f t="shared" si="15"/>
        <v>111</v>
      </c>
      <c r="AA46" s="1568">
        <f t="shared" si="3"/>
        <v>1</v>
      </c>
      <c r="AB46" s="1568">
        <f t="shared" si="4"/>
        <v>1</v>
      </c>
      <c r="AC46" s="1568">
        <f t="shared" si="5"/>
        <v>1</v>
      </c>
    </row>
    <row r="47" spans="1:29" ht="15.6"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79"/>
      <c r="Q47" s="1564">
        <f t="shared" si="11"/>
        <v>0.9</v>
      </c>
      <c r="R47" s="1565" t="s">
        <v>8</v>
      </c>
      <c r="S47" s="1566">
        <f t="shared" si="12"/>
        <v>100</v>
      </c>
      <c r="T47" s="1565" t="s">
        <v>8</v>
      </c>
      <c r="U47" s="1566">
        <f t="shared" si="13"/>
        <v>100</v>
      </c>
      <c r="V47" s="1565" t="s">
        <v>8</v>
      </c>
      <c r="W47" s="1566">
        <f t="shared" si="14"/>
        <v>100</v>
      </c>
      <c r="X47" s="1559"/>
      <c r="Y47" s="3879"/>
      <c r="Z47" s="1567">
        <f t="shared" si="15"/>
        <v>0.9</v>
      </c>
      <c r="AA47" s="1568">
        <f t="shared" si="3"/>
        <v>1</v>
      </c>
      <c r="AB47" s="1568">
        <f t="shared" si="4"/>
        <v>1</v>
      </c>
      <c r="AC47" s="1568">
        <f t="shared" si="5"/>
        <v>1</v>
      </c>
    </row>
    <row r="48" spans="1:29" ht="14.4">
      <c r="A48" s="604" t="s">
        <v>737</v>
      </c>
      <c r="B48" s="880"/>
      <c r="C48" s="2643" t="s">
        <v>1</v>
      </c>
      <c r="D48" s="2644"/>
      <c r="E48" s="2645">
        <f>B47*13000</f>
        <v>11700</v>
      </c>
      <c r="F48" s="2646"/>
      <c r="G48" s="2647">
        <f>B47*14000</f>
        <v>12600</v>
      </c>
      <c r="H48" s="2648"/>
      <c r="I48" s="2645">
        <f>B47*16000</f>
        <v>14400</v>
      </c>
      <c r="J48" s="2648"/>
      <c r="K48" s="1603"/>
      <c r="L48" s="2136"/>
      <c r="M48" s="2126"/>
      <c r="N48" s="2126"/>
      <c r="O48" s="2126"/>
      <c r="P48" s="3799" t="str">
        <f>A48</f>
        <v>成交单价（元/平方米）</v>
      </c>
      <c r="Q48" s="3777"/>
      <c r="R48" s="3878">
        <f>E48</f>
        <v>11700</v>
      </c>
      <c r="S48" s="3878"/>
      <c r="T48" s="3878">
        <f>G48</f>
        <v>12600</v>
      </c>
      <c r="U48" s="3878"/>
      <c r="V48" s="3878">
        <f>I48</f>
        <v>14400</v>
      </c>
      <c r="W48" s="3878"/>
      <c r="X48" s="1551"/>
      <c r="Y48" s="1573"/>
      <c r="Z48" s="1551"/>
      <c r="AA48" s="1551"/>
      <c r="AB48" s="1551"/>
      <c r="AC48" s="1551"/>
    </row>
    <row r="49" spans="1:29" ht="15" thickBot="1">
      <c r="A49" s="612" t="s">
        <v>2764</v>
      </c>
      <c r="B49" s="881"/>
      <c r="C49" s="2649">
        <f>R50</f>
        <v>12806</v>
      </c>
      <c r="D49" s="2650"/>
      <c r="E49" s="2651">
        <f>R49</f>
        <v>11700</v>
      </c>
      <c r="F49" s="2651"/>
      <c r="G49" s="2649">
        <f>T49</f>
        <v>12600</v>
      </c>
      <c r="H49" s="2650"/>
      <c r="I49" s="2651">
        <f>V49</f>
        <v>14118</v>
      </c>
      <c r="J49" s="2650"/>
      <c r="K49" s="1604"/>
      <c r="L49" s="2136"/>
      <c r="M49" s="2126"/>
      <c r="N49" s="2126"/>
      <c r="O49" s="2126"/>
      <c r="P49" s="3799" t="str">
        <f>A49</f>
        <v>比较价格（元/平方米）</v>
      </c>
      <c r="Q49" s="3777"/>
      <c r="R49" s="3878">
        <f>IF(F1="售价",ROUND(PRODUCT(R48,AA7:AA47),0),ROUND(PRODUCT(R48,AA7:AA47),1))</f>
        <v>11700</v>
      </c>
      <c r="S49" s="3878"/>
      <c r="T49" s="3878">
        <f>IF(F1="售价",ROUND(PRODUCT(T48,AB7:AB47),0),ROUND(PRODUCT(T48,AB7:AB47),1))</f>
        <v>12600</v>
      </c>
      <c r="U49" s="3878"/>
      <c r="V49" s="3878">
        <f>IF(F1="售价",ROUND(PRODUCT(V48,AC7:AC47),0),ROUND(PRODUCT(V48,AC7:AC47),1))</f>
        <v>14118</v>
      </c>
      <c r="W49" s="3878"/>
      <c r="X49" s="1551"/>
      <c r="Y49" s="1551"/>
      <c r="Z49" s="1551"/>
      <c r="AA49" s="1551"/>
      <c r="AB49" s="1551"/>
      <c r="AC49" s="1551"/>
    </row>
    <row r="50" spans="1:29" ht="15" thickBot="1">
      <c r="A50" s="618" t="s">
        <v>2935</v>
      </c>
      <c r="B50" s="619"/>
      <c r="C50" s="2652">
        <f>R50</f>
        <v>12806</v>
      </c>
      <c r="D50" s="2652"/>
      <c r="E50" s="2652"/>
      <c r="F50" s="2652"/>
      <c r="G50" s="2652"/>
      <c r="H50" s="2652"/>
      <c r="I50" s="2652"/>
      <c r="J50" s="2652"/>
      <c r="K50" s="1605"/>
      <c r="L50" s="2136"/>
      <c r="M50" s="2126"/>
      <c r="N50" s="2126"/>
      <c r="O50" s="2126"/>
      <c r="P50" s="3883" t="str">
        <f>A50</f>
        <v>估价对象XX用房的比较价格（楼面单价，元/平方米）</v>
      </c>
      <c r="Q50" s="3799"/>
      <c r="R50" s="3877">
        <f>IF(F1="售价",ROUND(AVERAGE(R49:V49),0),ROUND(AVERAGE(R49:V49),1))</f>
        <v>12806</v>
      </c>
      <c r="S50" s="3877"/>
      <c r="T50" s="3877"/>
      <c r="U50" s="3877"/>
      <c r="V50" s="3877"/>
      <c r="W50" s="3877"/>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1.9974500637484072E-2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7.6923076923076872E-2</v>
      </c>
      <c r="F54" s="624" t="str">
        <f>IF(OR(E54&gt;=0.2,E54&lt;=-0.2),"超过20%","")</f>
        <v/>
      </c>
      <c r="G54" s="623">
        <f>IF(G49&lt;I49,I49/G49-1,G49/I49-1)</f>
        <v>0.1204761904761904</v>
      </c>
      <c r="H54" s="624" t="str">
        <f>IF(OR(G54&gt;=0.2,G54&lt;=-0.2),"超过20%","")</f>
        <v/>
      </c>
      <c r="I54" s="623">
        <f>IF(I49&lt;E49,E49/I49-1,I49/E49-1)</f>
        <v>0.20666666666666678</v>
      </c>
      <c r="J54" s="624" t="str">
        <f>IF(OR(I54&gt;=0.2,I54&lt;=-0.2),"超过20%","")</f>
        <v>超过20%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7.6923076923076872E-2</v>
      </c>
      <c r="F55" s="624" t="str">
        <f>IF(OR(E55&gt;=0.3,E55&lt;=-0.3),"超过30%","")</f>
        <v/>
      </c>
      <c r="G55" s="623">
        <f>IF(G48&lt;I48,I48/G48-1,G48/I48-1)</f>
        <v>0.14285714285714279</v>
      </c>
      <c r="H55" s="624" t="str">
        <f>IF(OR(G55&gt;=0.3,G55&lt;=-0.3),"超过30%","")</f>
        <v/>
      </c>
      <c r="I55" s="623">
        <f>IF(I48&lt;E48,E48/I48-1,I48/E48-1)</f>
        <v>0.23076923076923084</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2.2"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4.4">
      <c r="A59" s="642" t="s">
        <v>530</v>
      </c>
      <c r="B59" s="643"/>
      <c r="C59" s="2819" t="str">
        <f>YEAR(C7)&amp;"-"&amp;MONTH(C7)</f>
        <v>2020-4</v>
      </c>
      <c r="D59" s="2821">
        <f>EDATE(C59,-1)</f>
        <v>43891</v>
      </c>
      <c r="E59" s="2821">
        <f t="shared" ref="E59:O59" si="16">EDATE(D59,-1)</f>
        <v>43862</v>
      </c>
      <c r="F59" s="2821">
        <f t="shared" si="16"/>
        <v>43831</v>
      </c>
      <c r="G59" s="2821">
        <f t="shared" si="16"/>
        <v>43800</v>
      </c>
      <c r="H59" s="2821">
        <f t="shared" si="16"/>
        <v>43770</v>
      </c>
      <c r="I59" s="2821">
        <f t="shared" si="16"/>
        <v>43739</v>
      </c>
      <c r="J59" s="2821">
        <f t="shared" si="16"/>
        <v>43709</v>
      </c>
      <c r="K59" s="2821">
        <f t="shared" si="16"/>
        <v>43678</v>
      </c>
      <c r="L59" s="2821">
        <f t="shared" si="16"/>
        <v>43647</v>
      </c>
      <c r="M59" s="2821">
        <f t="shared" si="16"/>
        <v>43617</v>
      </c>
      <c r="N59" s="2821">
        <f t="shared" si="16"/>
        <v>43586</v>
      </c>
      <c r="O59" s="2821">
        <f t="shared" si="16"/>
        <v>43556</v>
      </c>
      <c r="P59" s="2203"/>
      <c r="Q59" s="2153"/>
      <c r="R59" s="2153"/>
      <c r="S59" s="2153"/>
      <c r="T59" s="2153"/>
      <c r="U59" s="2153"/>
      <c r="V59" s="2153"/>
      <c r="W59" s="2153"/>
      <c r="X59" s="2153"/>
      <c r="Y59" s="2153"/>
      <c r="Z59" s="2153"/>
      <c r="AA59" s="2153"/>
      <c r="AB59" s="2153"/>
      <c r="AC59" s="2153"/>
    </row>
    <row r="60" spans="1:29" s="1213" customFormat="1">
      <c r="A60" s="644"/>
      <c r="B60" s="645"/>
      <c r="C60" s="646">
        <v>100</v>
      </c>
      <c r="D60" s="647">
        <v>99.5</v>
      </c>
      <c r="E60" s="647">
        <v>99</v>
      </c>
      <c r="F60" s="647">
        <v>98.5</v>
      </c>
      <c r="G60" s="647">
        <v>98</v>
      </c>
      <c r="H60" s="647">
        <v>97.5</v>
      </c>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4.4">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4.4"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ht="14.4">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4.4"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9.4"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4.4"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4.4"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4.4"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4.4"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4.4"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4.4"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4.4"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ht="14.4">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4.4"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9.4" thickTop="1">
      <c r="A87" s="706"/>
      <c r="B87" s="670" t="s">
        <v>786</v>
      </c>
      <c r="C87" s="3482" t="s">
        <v>3370</v>
      </c>
      <c r="D87" s="3482" t="s">
        <v>3372</v>
      </c>
      <c r="E87" s="3482" t="s">
        <v>3373</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4.4"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4.4"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4.4"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4.4"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4.4"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4.4"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4.4"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4.4"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4.4"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4.4"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4.4"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ht="14.4">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4.4"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4.4"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9.4"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4.4"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4.4"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4.4"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4.4"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4.4"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4.4"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B47" sqref="B47"/>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501" t="s">
        <v>758</v>
      </c>
      <c r="C1" s="502" t="s">
        <v>721</v>
      </c>
      <c r="D1" s="2362" t="s">
        <v>3218</v>
      </c>
      <c r="E1" s="504"/>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26534</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4.4">
      <c r="A4" s="510" t="s">
        <v>522</v>
      </c>
      <c r="B4" s="511"/>
      <c r="C4" s="3783" t="s">
        <v>523</v>
      </c>
      <c r="D4" s="3784"/>
      <c r="E4" s="3808" t="s">
        <v>524</v>
      </c>
      <c r="F4" s="3809"/>
      <c r="G4" s="3783" t="s">
        <v>525</v>
      </c>
      <c r="H4" s="3784"/>
      <c r="I4" s="3783" t="s">
        <v>526</v>
      </c>
      <c r="J4" s="3784"/>
      <c r="K4" s="512" t="s">
        <v>527</v>
      </c>
      <c r="L4" s="2125"/>
      <c r="M4" s="2126"/>
      <c r="N4" s="2126"/>
      <c r="O4" s="2126"/>
      <c r="P4" s="3785" t="s">
        <v>528</v>
      </c>
      <c r="Q4" s="3786"/>
      <c r="R4" s="3771" t="s">
        <v>524</v>
      </c>
      <c r="S4" s="3772"/>
      <c r="T4" s="3771" t="s">
        <v>525</v>
      </c>
      <c r="U4" s="3772"/>
      <c r="V4" s="3791" t="s">
        <v>526</v>
      </c>
      <c r="W4" s="3791"/>
      <c r="X4" s="1559"/>
      <c r="Y4" s="3771" t="s">
        <v>528</v>
      </c>
      <c r="Z4" s="3772"/>
      <c r="AA4" s="3766" t="s">
        <v>524</v>
      </c>
      <c r="AB4" s="3791" t="s">
        <v>525</v>
      </c>
      <c r="AC4" s="3766" t="s">
        <v>526</v>
      </c>
    </row>
    <row r="5" spans="1:29">
      <c r="A5" s="513"/>
      <c r="B5" s="514"/>
      <c r="C5" s="3876" t="s">
        <v>3321</v>
      </c>
      <c r="D5" s="3795"/>
      <c r="E5" s="3875" t="str">
        <f>'不动产比较法-办公'!E5:F5</f>
        <v>华宸汇普金融大厦</v>
      </c>
      <c r="F5" s="3811"/>
      <c r="G5" s="3876" t="s">
        <v>3613</v>
      </c>
      <c r="H5" s="3795"/>
      <c r="I5" s="3876" t="s">
        <v>3614</v>
      </c>
      <c r="J5" s="3795"/>
      <c r="K5" s="512"/>
      <c r="L5" s="2125"/>
      <c r="M5" s="2126"/>
      <c r="N5" s="2126"/>
      <c r="O5" s="2126"/>
      <c r="P5" s="3787"/>
      <c r="Q5" s="3788"/>
      <c r="R5" s="3773"/>
      <c r="S5" s="3774"/>
      <c r="T5" s="3773"/>
      <c r="U5" s="3774"/>
      <c r="V5" s="3791"/>
      <c r="W5" s="3791"/>
      <c r="X5" s="1559"/>
      <c r="Y5" s="3773"/>
      <c r="Z5" s="3774"/>
      <c r="AA5" s="3767"/>
      <c r="AB5" s="3791"/>
      <c r="AC5" s="3767"/>
    </row>
    <row r="6" spans="1:29" ht="15" thickBot="1">
      <c r="A6" s="515"/>
      <c r="B6" s="516"/>
      <c r="C6" s="3792" t="s">
        <v>2933</v>
      </c>
      <c r="D6" s="3793"/>
      <c r="E6" s="3812" t="s">
        <v>2933</v>
      </c>
      <c r="F6" s="3813"/>
      <c r="G6" s="3792" t="s">
        <v>2933</v>
      </c>
      <c r="H6" s="3793"/>
      <c r="I6" s="3792" t="s">
        <v>2933</v>
      </c>
      <c r="J6" s="3793"/>
      <c r="K6" s="512" t="s">
        <v>529</v>
      </c>
      <c r="L6" s="2125"/>
      <c r="M6" s="2126"/>
      <c r="N6" s="2126"/>
      <c r="O6" s="2126"/>
      <c r="P6" s="3789"/>
      <c r="Q6" s="3790"/>
      <c r="R6" s="3773"/>
      <c r="S6" s="3774"/>
      <c r="T6" s="3775"/>
      <c r="U6" s="3776"/>
      <c r="V6" s="3791"/>
      <c r="W6" s="3791"/>
      <c r="X6" s="1559"/>
      <c r="Y6" s="3775"/>
      <c r="Z6" s="3776"/>
      <c r="AA6" s="3768"/>
      <c r="AB6" s="3791"/>
      <c r="AC6" s="3768"/>
    </row>
    <row r="7" spans="1:29" s="1213" customFormat="1" ht="15" thickBot="1">
      <c r="A7" s="2928"/>
      <c r="B7" s="2935" t="s">
        <v>530</v>
      </c>
      <c r="C7" s="517">
        <f>'数据-取费表'!B2</f>
        <v>43924</v>
      </c>
      <c r="D7" s="518">
        <v>100</v>
      </c>
      <c r="E7" s="519">
        <v>43922</v>
      </c>
      <c r="F7" s="520">
        <f>SUMIF(58:58,YEAR(E7)&amp;"-"&amp;MONTH(E7),59:59)</f>
        <v>100</v>
      </c>
      <c r="G7" s="519">
        <v>43922</v>
      </c>
      <c r="H7" s="518">
        <f>SUMIF(58:58,YEAR(G7)&amp;"-"&amp;MONTH(G7),59:59)</f>
        <v>100</v>
      </c>
      <c r="I7" s="519">
        <v>43862</v>
      </c>
      <c r="J7" s="518">
        <f>SUMIF(58:58,YEAR(I7)&amp;"-"&amp;MONTH(I7),59:59)</f>
        <v>99</v>
      </c>
      <c r="K7" s="522"/>
      <c r="L7" s="2127"/>
      <c r="M7" s="2128"/>
      <c r="N7" s="2128"/>
      <c r="O7" s="2128"/>
      <c r="P7" s="3769" t="s">
        <v>531</v>
      </c>
      <c r="Q7" s="3778"/>
      <c r="R7" s="1560" t="s">
        <v>8</v>
      </c>
      <c r="S7" s="1561">
        <f t="shared" ref="S7:S15" si="0">F7</f>
        <v>100</v>
      </c>
      <c r="T7" s="1560" t="s">
        <v>8</v>
      </c>
      <c r="U7" s="1561">
        <f t="shared" ref="U7:U15" si="1">H7</f>
        <v>100</v>
      </c>
      <c r="V7" s="1560" t="s">
        <v>8</v>
      </c>
      <c r="W7" s="1561">
        <f t="shared" ref="W7:W15" si="2">J7</f>
        <v>99</v>
      </c>
      <c r="X7" s="1562"/>
      <c r="Y7" s="3769" t="s">
        <v>531</v>
      </c>
      <c r="Z7" s="3770"/>
      <c r="AA7" s="1563">
        <f>D7/F7</f>
        <v>1</v>
      </c>
      <c r="AB7" s="1563">
        <f>D7/H7</f>
        <v>1</v>
      </c>
      <c r="AC7" s="1563">
        <f>D7/J7</f>
        <v>1.0101010101010102</v>
      </c>
    </row>
    <row r="8" spans="1:29" s="1213" customFormat="1" ht="15" thickBot="1">
      <c r="A8" s="2929"/>
      <c r="B8" s="2936" t="s">
        <v>532</v>
      </c>
      <c r="C8" s="523" t="s">
        <v>577</v>
      </c>
      <c r="D8" s="518">
        <v>100</v>
      </c>
      <c r="E8" s="3502" t="s">
        <v>3324</v>
      </c>
      <c r="F8" s="520">
        <f>SUMIF(61:61,E8,62:62)-SUMIF(61:61,C8,62:62)+100</f>
        <v>100</v>
      </c>
      <c r="G8" s="3502" t="s">
        <v>3324</v>
      </c>
      <c r="H8" s="518">
        <f>SUMIF(61:61,G8,62:62)-SUMIF(61:61,C8,62:62)+100</f>
        <v>100</v>
      </c>
      <c r="I8" s="3502" t="s">
        <v>3324</v>
      </c>
      <c r="J8" s="518">
        <f>SUMIF(61:61,I8,62:62)-SUMIF(61:61,C8,62:62)+100</f>
        <v>100</v>
      </c>
      <c r="K8" s="522"/>
      <c r="L8" s="2127"/>
      <c r="M8" s="2128"/>
      <c r="N8" s="2128"/>
      <c r="O8" s="2128"/>
      <c r="P8" s="3769" t="s">
        <v>534</v>
      </c>
      <c r="Q8" s="3770"/>
      <c r="R8" s="1560" t="s">
        <v>8</v>
      </c>
      <c r="S8" s="1561">
        <f t="shared" si="0"/>
        <v>100</v>
      </c>
      <c r="T8" s="1560" t="s">
        <v>8</v>
      </c>
      <c r="U8" s="1561">
        <f t="shared" si="1"/>
        <v>100</v>
      </c>
      <c r="V8" s="1560" t="s">
        <v>8</v>
      </c>
      <c r="W8" s="1561">
        <f t="shared" si="2"/>
        <v>100</v>
      </c>
      <c r="X8" s="1562"/>
      <c r="Y8" s="3769" t="s">
        <v>534</v>
      </c>
      <c r="Z8" s="3770"/>
      <c r="AA8" s="1563">
        <f t="shared" ref="AA8:AA46" si="3">D8/F8</f>
        <v>1</v>
      </c>
      <c r="AB8" s="1563">
        <f t="shared" ref="AB8:AB46" si="4">D8/H8</f>
        <v>1</v>
      </c>
      <c r="AC8" s="1563">
        <f t="shared" ref="AC8:AC46" si="5">D8/J8</f>
        <v>1</v>
      </c>
    </row>
    <row r="9" spans="1:29" s="1213" customFormat="1" ht="14.4">
      <c r="A9" s="2930"/>
      <c r="B9" s="2937" t="s">
        <v>2760</v>
      </c>
      <c r="C9" s="3503" t="s">
        <v>3325</v>
      </c>
      <c r="D9" s="252">
        <v>100</v>
      </c>
      <c r="E9" s="3504" t="s">
        <v>3325</v>
      </c>
      <c r="F9" s="252">
        <f>SUMIF(63:63,E9,64:64)-SUMIF(63:63,C9,64:64)+100</f>
        <v>100</v>
      </c>
      <c r="G9" s="3505" t="s">
        <v>3325</v>
      </c>
      <c r="H9" s="252">
        <f>SUMIF(63:63,G9,64:64)-SUMIF(63:63,C9,64:64)+100</f>
        <v>100</v>
      </c>
      <c r="I9" s="3505" t="s">
        <v>3325</v>
      </c>
      <c r="J9" s="252">
        <f>SUMIF(63:63,I9,64:64)-SUMIF(63:63,C9,64:64)+100</f>
        <v>100</v>
      </c>
      <c r="K9" s="522"/>
      <c r="L9" s="2127"/>
      <c r="M9" s="2128"/>
      <c r="N9" s="2128"/>
      <c r="O9" s="2129"/>
      <c r="P9" s="3777" t="s">
        <v>536</v>
      </c>
      <c r="Q9" s="1144" t="str">
        <f t="shared" ref="Q9:Q15" si="6">B9</f>
        <v>用途</v>
      </c>
      <c r="R9" s="1560" t="s">
        <v>8</v>
      </c>
      <c r="S9" s="1561">
        <f t="shared" si="0"/>
        <v>100</v>
      </c>
      <c r="T9" s="1560" t="s">
        <v>8</v>
      </c>
      <c r="U9" s="1561">
        <f t="shared" si="1"/>
        <v>100</v>
      </c>
      <c r="V9" s="1560" t="s">
        <v>8</v>
      </c>
      <c r="W9" s="1561">
        <f t="shared" si="2"/>
        <v>100</v>
      </c>
      <c r="X9" s="1562"/>
      <c r="Y9" s="3734" t="s">
        <v>537</v>
      </c>
      <c r="Z9" s="1143" t="str">
        <f t="shared" ref="Z9:Z15" si="7">Q9</f>
        <v>用途</v>
      </c>
      <c r="AA9" s="1563">
        <f t="shared" si="3"/>
        <v>1</v>
      </c>
      <c r="AB9" s="1563">
        <f t="shared" si="4"/>
        <v>1</v>
      </c>
      <c r="AC9" s="1563">
        <f t="shared" si="5"/>
        <v>1</v>
      </c>
    </row>
    <row r="10" spans="1:29" s="1331" customFormat="1" ht="28.8">
      <c r="A10" s="2931"/>
      <c r="B10" s="2936" t="s">
        <v>2761</v>
      </c>
      <c r="C10" s="858" t="s">
        <v>3326</v>
      </c>
      <c r="D10" s="253">
        <v>100</v>
      </c>
      <c r="E10" s="858" t="s">
        <v>3326</v>
      </c>
      <c r="F10" s="253">
        <f>SUMIF(65:65,E10,66:66)-SUMIF(65:65,C10,66:66)+100</f>
        <v>100</v>
      </c>
      <c r="G10" s="859" t="s">
        <v>3326</v>
      </c>
      <c r="H10" s="253">
        <f>SUMIF(65:65,G10,66:66)-SUMIF(65:65,C10,66:66)+100</f>
        <v>100</v>
      </c>
      <c r="I10" s="858" t="s">
        <v>3326</v>
      </c>
      <c r="J10" s="253">
        <f>SUMIF(65:65,I10,66:66)-SUMIF(65:65,C10,66:66)+100</f>
        <v>100</v>
      </c>
      <c r="K10" s="581">
        <v>2</v>
      </c>
      <c r="L10" s="2130"/>
      <c r="M10" s="2170"/>
      <c r="N10" s="2170"/>
      <c r="O10" s="2131"/>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77"/>
      <c r="Q11" s="1144" t="str">
        <f t="shared" si="6"/>
        <v>容积率</v>
      </c>
      <c r="R11" s="1560" t="s">
        <v>8</v>
      </c>
      <c r="S11" s="1561">
        <f t="shared" si="0"/>
        <v>100</v>
      </c>
      <c r="T11" s="1560" t="s">
        <v>8</v>
      </c>
      <c r="U11" s="1561">
        <f t="shared" si="1"/>
        <v>100</v>
      </c>
      <c r="V11" s="1560" t="s">
        <v>8</v>
      </c>
      <c r="W11" s="1561">
        <f t="shared" si="2"/>
        <v>100</v>
      </c>
      <c r="X11" s="1562"/>
      <c r="Y11" s="3734"/>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77"/>
      <c r="Q12" s="1144">
        <f t="shared" si="6"/>
        <v>111</v>
      </c>
      <c r="R12" s="1560" t="s">
        <v>8</v>
      </c>
      <c r="S12" s="1561">
        <f t="shared" si="0"/>
        <v>100</v>
      </c>
      <c r="T12" s="1560" t="s">
        <v>8</v>
      </c>
      <c r="U12" s="1561">
        <f t="shared" si="1"/>
        <v>100</v>
      </c>
      <c r="V12" s="1560" t="s">
        <v>8</v>
      </c>
      <c r="W12" s="1561">
        <f t="shared" si="2"/>
        <v>100</v>
      </c>
      <c r="X12" s="1562"/>
      <c r="Y12" s="3734"/>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77"/>
      <c r="Q13" s="1144">
        <f t="shared" si="6"/>
        <v>111</v>
      </c>
      <c r="R13" s="1560" t="s">
        <v>8</v>
      </c>
      <c r="S13" s="1561">
        <f t="shared" si="0"/>
        <v>100</v>
      </c>
      <c r="T13" s="1560" t="s">
        <v>8</v>
      </c>
      <c r="U13" s="1561">
        <f t="shared" si="1"/>
        <v>100</v>
      </c>
      <c r="V13" s="1560" t="s">
        <v>8</v>
      </c>
      <c r="W13" s="1561">
        <f t="shared" si="2"/>
        <v>100</v>
      </c>
      <c r="X13" s="1562"/>
      <c r="Y13" s="3734"/>
      <c r="Z13" s="1143">
        <f t="shared" si="7"/>
        <v>111</v>
      </c>
      <c r="AA13" s="1563">
        <f t="shared" si="3"/>
        <v>1</v>
      </c>
      <c r="AB13" s="1563">
        <f t="shared" si="4"/>
        <v>1</v>
      </c>
      <c r="AC13" s="1563">
        <f t="shared" si="5"/>
        <v>1</v>
      </c>
    </row>
    <row r="14" spans="1:29" ht="15.6"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77"/>
      <c r="Q14" s="1144">
        <f t="shared" si="6"/>
        <v>111</v>
      </c>
      <c r="R14" s="1560" t="s">
        <v>8</v>
      </c>
      <c r="S14" s="1561">
        <f t="shared" si="0"/>
        <v>100</v>
      </c>
      <c r="T14" s="1560" t="s">
        <v>8</v>
      </c>
      <c r="U14" s="1561">
        <f t="shared" si="1"/>
        <v>100</v>
      </c>
      <c r="V14" s="1560" t="s">
        <v>8</v>
      </c>
      <c r="W14" s="1561">
        <f t="shared" si="2"/>
        <v>100</v>
      </c>
      <c r="X14" s="1562"/>
      <c r="Y14" s="3734"/>
      <c r="Z14" s="1143">
        <f t="shared" si="7"/>
        <v>111</v>
      </c>
      <c r="AA14" s="1563">
        <f t="shared" si="3"/>
        <v>1</v>
      </c>
      <c r="AB14" s="1563">
        <f t="shared" si="4"/>
        <v>1</v>
      </c>
      <c r="AC14" s="1563">
        <f t="shared" si="5"/>
        <v>1</v>
      </c>
    </row>
    <row r="15" spans="1:29" ht="110.4">
      <c r="A15" s="2926" t="s">
        <v>2758</v>
      </c>
      <c r="B15" s="166" t="s">
        <v>542</v>
      </c>
      <c r="C15" s="864" t="str">
        <f>估价对象房地状况!C4</f>
        <v>估价对象位于太湖商圈，周边商业氛围成熟（海岸城1八方汇等），人流量较大大，商业繁华度较好</v>
      </c>
      <c r="D15" s="547">
        <v>100</v>
      </c>
      <c r="E15" s="3522"/>
      <c r="F15" s="549">
        <f>SUMIF(76:76,E16,77:77)-SUMIF(76:76,C16,77:77)+100</f>
        <v>100</v>
      </c>
      <c r="G15" s="3523"/>
      <c r="H15" s="547">
        <f>SUMIF(76:76,G16,77:77)-SUMIF(76:76,C16,77:77)+100</f>
        <v>100</v>
      </c>
      <c r="I15" s="3522"/>
      <c r="J15" s="547">
        <f>SUMIF(76:76,I16,77:77)-SUMIF(76:76,C16,77:77)+100</f>
        <v>100</v>
      </c>
      <c r="K15" s="891">
        <v>4</v>
      </c>
      <c r="L15" s="2134"/>
      <c r="M15" s="2126"/>
      <c r="N15" s="2126"/>
      <c r="O15" s="2133"/>
      <c r="P15" s="3779" t="s">
        <v>541</v>
      </c>
      <c r="Q15" s="1564" t="str">
        <f t="shared" si="6"/>
        <v>商业繁华度</v>
      </c>
      <c r="R15" s="1565" t="s">
        <v>8</v>
      </c>
      <c r="S15" s="1566">
        <f t="shared" si="0"/>
        <v>100</v>
      </c>
      <c r="T15" s="1565" t="s">
        <v>8</v>
      </c>
      <c r="U15" s="1566">
        <f t="shared" si="1"/>
        <v>100</v>
      </c>
      <c r="V15" s="1565" t="s">
        <v>8</v>
      </c>
      <c r="W15" s="1566">
        <f t="shared" si="2"/>
        <v>100</v>
      </c>
      <c r="X15" s="1559"/>
      <c r="Y15" s="3779" t="s">
        <v>541</v>
      </c>
      <c r="Z15" s="1567" t="str">
        <f t="shared" si="7"/>
        <v>商业繁华度</v>
      </c>
      <c r="AA15" s="1568">
        <f t="shared" si="3"/>
        <v>1</v>
      </c>
      <c r="AB15" s="1568">
        <f t="shared" si="4"/>
        <v>1</v>
      </c>
      <c r="AC15" s="1568">
        <f t="shared" si="5"/>
        <v>1</v>
      </c>
    </row>
    <row r="16" spans="1:29" ht="15">
      <c r="A16" s="530"/>
      <c r="B16" s="866"/>
      <c r="C16" s="3499" t="s">
        <v>3301</v>
      </c>
      <c r="D16" s="553"/>
      <c r="E16" s="3499" t="s">
        <v>3301</v>
      </c>
      <c r="F16" s="555"/>
      <c r="G16" s="3499" t="s">
        <v>3288</v>
      </c>
      <c r="H16" s="557"/>
      <c r="I16" s="573" t="s">
        <v>3288</v>
      </c>
      <c r="J16" s="553"/>
      <c r="K16" s="892"/>
      <c r="L16" s="2134"/>
      <c r="M16" s="2126"/>
      <c r="N16" s="2126"/>
      <c r="O16" s="2133"/>
      <c r="P16" s="3780"/>
      <c r="Q16" s="1564"/>
      <c r="R16" s="1565"/>
      <c r="S16" s="1566"/>
      <c r="T16" s="1565"/>
      <c r="U16" s="1566"/>
      <c r="V16" s="1565"/>
      <c r="W16" s="1566"/>
      <c r="X16" s="1559"/>
      <c r="Y16" s="3780"/>
      <c r="Z16" s="1567"/>
      <c r="AA16" s="1568">
        <v>1</v>
      </c>
      <c r="AB16" s="1568">
        <v>1</v>
      </c>
      <c r="AC16" s="1568">
        <v>1</v>
      </c>
    </row>
    <row r="17" spans="1:29" ht="124.2">
      <c r="A17" s="530"/>
      <c r="B17" s="868" t="s">
        <v>296</v>
      </c>
      <c r="C17" s="869" t="str">
        <f>估价对象房地状况!C6</f>
        <v>估价对象临立信大道、公共交通线路较多（135路、156路等）及地铁1号线、停车便捷度较高，综合评价交通便捷度较好</v>
      </c>
      <c r="D17" s="557">
        <v>100</v>
      </c>
      <c r="E17" s="560"/>
      <c r="F17" s="561">
        <f>SUMIF(78:78,E18,79:79)-SUMIF(78:78,C18,79:79)+100</f>
        <v>100</v>
      </c>
      <c r="G17" s="562"/>
      <c r="H17" s="563">
        <f>SUMIF(78:78,G18,79:79)-SUMIF(78:78,C18,79:79)+100</f>
        <v>100</v>
      </c>
      <c r="I17" s="560"/>
      <c r="J17" s="563">
        <f>SUMIF(78:78,I18,79:79)-SUMIF(78:78,C18,79:79)+100</f>
        <v>100</v>
      </c>
      <c r="K17" s="891"/>
      <c r="L17" s="2134"/>
      <c r="M17" s="2126"/>
      <c r="N17" s="2126"/>
      <c r="O17" s="2133"/>
      <c r="P17" s="3780"/>
      <c r="Q17" s="1564" t="str">
        <f>B17</f>
        <v>交通便捷度</v>
      </c>
      <c r="R17" s="1565" t="s">
        <v>8</v>
      </c>
      <c r="S17" s="1566">
        <f>F17</f>
        <v>100</v>
      </c>
      <c r="T17" s="1565" t="s">
        <v>8</v>
      </c>
      <c r="U17" s="1566">
        <f>H17</f>
        <v>100</v>
      </c>
      <c r="V17" s="1565" t="s">
        <v>8</v>
      </c>
      <c r="W17" s="1566">
        <f>J17</f>
        <v>100</v>
      </c>
      <c r="X17" s="1559"/>
      <c r="Y17" s="3780"/>
      <c r="Z17" s="1567" t="str">
        <f>Q17</f>
        <v>交通便捷度</v>
      </c>
      <c r="AA17" s="1568">
        <f t="shared" si="3"/>
        <v>1</v>
      </c>
      <c r="AB17" s="1568">
        <f t="shared" si="4"/>
        <v>1</v>
      </c>
      <c r="AC17" s="1568">
        <f t="shared" si="5"/>
        <v>1</v>
      </c>
    </row>
    <row r="18" spans="1:29" ht="15">
      <c r="A18" s="530"/>
      <c r="B18" s="592"/>
      <c r="C18" s="3506" t="s">
        <v>3301</v>
      </c>
      <c r="D18" s="557"/>
      <c r="E18" s="3507" t="s">
        <v>3301</v>
      </c>
      <c r="F18" s="561"/>
      <c r="G18" s="3508" t="s">
        <v>3301</v>
      </c>
      <c r="H18" s="553"/>
      <c r="I18" s="3507" t="s">
        <v>3301</v>
      </c>
      <c r="J18" s="553"/>
      <c r="K18" s="892"/>
      <c r="L18" s="2134"/>
      <c r="M18" s="2126"/>
      <c r="N18" s="2126"/>
      <c r="O18" s="2133"/>
      <c r="P18" s="3780"/>
      <c r="Q18" s="1564"/>
      <c r="R18" s="1565"/>
      <c r="S18" s="1566"/>
      <c r="T18" s="1565"/>
      <c r="U18" s="1566"/>
      <c r="V18" s="1565"/>
      <c r="W18" s="1566"/>
      <c r="X18" s="1559"/>
      <c r="Y18" s="3780"/>
      <c r="Z18" s="1567"/>
      <c r="AA18" s="1568">
        <v>1</v>
      </c>
      <c r="AB18" s="1568">
        <v>1</v>
      </c>
      <c r="AC18" s="1568">
        <v>1</v>
      </c>
    </row>
    <row r="19" spans="1:29" ht="110.4">
      <c r="A19" s="530"/>
      <c r="B19" s="2616" t="s">
        <v>2550</v>
      </c>
      <c r="C19" s="869" t="str">
        <f>估价对象房地状况!C7</f>
        <v>估价对象所在区域内有农业银行、无锡市第二中医医院、无锡金桥双语实验学校，公共配套设施水平较好</v>
      </c>
      <c r="D19" s="563">
        <v>100</v>
      </c>
      <c r="E19" s="3524"/>
      <c r="F19" s="568">
        <f>SUMIF(80:80,E20,81:81)-SUMIF(80:80,C20,81:81)+100</f>
        <v>100</v>
      </c>
      <c r="G19" s="3525"/>
      <c r="H19" s="557">
        <f>SUMIF(80:80,G20,81:81)-SUMIF(80:80,C20,81:81)+100</f>
        <v>100</v>
      </c>
      <c r="I19" s="3524"/>
      <c r="J19" s="557">
        <f>SUMIF(80:80,I20,81:81)-SUMIF(80:80,C20,81:81)+100</f>
        <v>100</v>
      </c>
      <c r="K19" s="891"/>
      <c r="L19" s="2134"/>
      <c r="M19" s="2126"/>
      <c r="N19" s="2126"/>
      <c r="O19" s="2133"/>
      <c r="P19" s="3780"/>
      <c r="Q19" s="1564" t="str">
        <f>B19</f>
        <v>公共配套设施</v>
      </c>
      <c r="R19" s="1565" t="s">
        <v>8</v>
      </c>
      <c r="S19" s="1566">
        <f>F19</f>
        <v>100</v>
      </c>
      <c r="T19" s="1565" t="s">
        <v>8</v>
      </c>
      <c r="U19" s="1566">
        <f>H19</f>
        <v>100</v>
      </c>
      <c r="V19" s="1565" t="s">
        <v>8</v>
      </c>
      <c r="W19" s="1566">
        <f>J19</f>
        <v>100</v>
      </c>
      <c r="X19" s="1559"/>
      <c r="Y19" s="3780"/>
      <c r="Z19" s="1567" t="str">
        <f>Q19</f>
        <v>公共配套设施</v>
      </c>
      <c r="AA19" s="1568">
        <f t="shared" si="3"/>
        <v>1</v>
      </c>
      <c r="AB19" s="1568">
        <f t="shared" si="4"/>
        <v>1</v>
      </c>
      <c r="AC19" s="1568">
        <f t="shared" si="5"/>
        <v>1</v>
      </c>
    </row>
    <row r="20" spans="1:29" ht="15">
      <c r="A20" s="530"/>
      <c r="B20" s="592"/>
      <c r="C20" s="3499" t="s">
        <v>3301</v>
      </c>
      <c r="D20" s="553"/>
      <c r="E20" s="3494" t="s">
        <v>3301</v>
      </c>
      <c r="F20" s="555"/>
      <c r="G20" s="3493" t="s">
        <v>3301</v>
      </c>
      <c r="H20" s="553"/>
      <c r="I20" s="3494" t="s">
        <v>3301</v>
      </c>
      <c r="J20" s="553"/>
      <c r="K20" s="892"/>
      <c r="L20" s="2134"/>
      <c r="M20" s="2126"/>
      <c r="N20" s="2126"/>
      <c r="O20" s="2133"/>
      <c r="P20" s="3780"/>
      <c r="Q20" s="1564"/>
      <c r="R20" s="1565"/>
      <c r="S20" s="1566"/>
      <c r="T20" s="1565"/>
      <c r="U20" s="1566"/>
      <c r="V20" s="1565"/>
      <c r="W20" s="1566"/>
      <c r="X20" s="1559"/>
      <c r="Y20" s="3780"/>
      <c r="Z20" s="1567"/>
      <c r="AA20" s="1568">
        <v>1</v>
      </c>
      <c r="AB20" s="1568">
        <v>1</v>
      </c>
      <c r="AC20" s="1568">
        <v>1</v>
      </c>
    </row>
    <row r="21" spans="1:29" ht="41.4">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80"/>
      <c r="Q21" s="2595" t="str">
        <f>B21</f>
        <v>基础设施水平</v>
      </c>
      <c r="R21" s="1565" t="s">
        <v>8</v>
      </c>
      <c r="S21" s="1566">
        <f>F21</f>
        <v>100</v>
      </c>
      <c r="T21" s="1565" t="s">
        <v>8</v>
      </c>
      <c r="U21" s="1566">
        <f>H21</f>
        <v>100</v>
      </c>
      <c r="V21" s="1565" t="s">
        <v>8</v>
      </c>
      <c r="W21" s="1566">
        <f>J21</f>
        <v>100</v>
      </c>
      <c r="X21" s="2597"/>
      <c r="Y21" s="3780"/>
      <c r="Z21" s="2596" t="str">
        <f>Q21</f>
        <v>基础设施水平</v>
      </c>
      <c r="AA21" s="1568">
        <f t="shared" ref="AA21" si="8">D21/F21</f>
        <v>1</v>
      </c>
      <c r="AB21" s="1568">
        <f t="shared" ref="AB21" si="9">D21/H21</f>
        <v>1</v>
      </c>
      <c r="AC21" s="1568">
        <f t="shared" ref="AC21" si="10">D21/J21</f>
        <v>1</v>
      </c>
    </row>
    <row r="22" spans="1:29" ht="15">
      <c r="A22" s="530"/>
      <c r="B22" s="915"/>
      <c r="C22" s="3506" t="s">
        <v>3305</v>
      </c>
      <c r="D22" s="553"/>
      <c r="E22" s="3499" t="s">
        <v>3305</v>
      </c>
      <c r="F22" s="555"/>
      <c r="G22" s="3499" t="s">
        <v>3305</v>
      </c>
      <c r="H22" s="553"/>
      <c r="I22" s="3499" t="s">
        <v>3305</v>
      </c>
      <c r="J22" s="553"/>
      <c r="K22" s="2618"/>
      <c r="L22" s="2134"/>
      <c r="M22" s="2126"/>
      <c r="N22" s="2126"/>
      <c r="O22" s="2133"/>
      <c r="P22" s="3780"/>
      <c r="Q22" s="2595"/>
      <c r="R22" s="1565"/>
      <c r="S22" s="1566"/>
      <c r="T22" s="1565"/>
      <c r="U22" s="1566"/>
      <c r="V22" s="1565"/>
      <c r="W22" s="1566"/>
      <c r="X22" s="2597"/>
      <c r="Y22" s="3780"/>
      <c r="Z22" s="2596"/>
      <c r="AA22" s="1568">
        <v>1</v>
      </c>
      <c r="AB22" s="1568">
        <v>1</v>
      </c>
      <c r="AC22" s="1568">
        <v>1</v>
      </c>
    </row>
    <row r="23" spans="1:29" ht="110.4">
      <c r="A23" s="530"/>
      <c r="B23" s="868" t="s">
        <v>297</v>
      </c>
      <c r="C23" s="893" t="str">
        <f>估价对象房地状况!C9</f>
        <v>区域内有尚贤河湿地公园，自然环境较好；无大学等人文设施，人文环境较差；综合评价环境状况一般</v>
      </c>
      <c r="D23" s="557">
        <v>100</v>
      </c>
      <c r="E23" s="3526"/>
      <c r="F23" s="561">
        <f>SUMIF(84:84,E24,85:85)-SUMIF(84:84,C24,85:85)+100</f>
        <v>100</v>
      </c>
      <c r="G23" s="3527"/>
      <c r="H23" s="557">
        <f>SUMIF(84:84,G24,85:85)-SUMIF(84:84,C24,85:85)+100</f>
        <v>100</v>
      </c>
      <c r="I23" s="3526"/>
      <c r="J23" s="557">
        <f>SUMIF(84:84,I24,85:85)-SUMIF(84:84,C24,85:85)+100</f>
        <v>100</v>
      </c>
      <c r="K23" s="891"/>
      <c r="L23" s="2134"/>
      <c r="M23" s="2126"/>
      <c r="N23" s="2126"/>
      <c r="O23" s="2133"/>
      <c r="P23" s="3780"/>
      <c r="Q23" s="1564" t="str">
        <f>B23</f>
        <v>自然及人文环境</v>
      </c>
      <c r="R23" s="1565" t="s">
        <v>8</v>
      </c>
      <c r="S23" s="1566">
        <f>F23</f>
        <v>100</v>
      </c>
      <c r="T23" s="1565" t="s">
        <v>8</v>
      </c>
      <c r="U23" s="1566">
        <f>H23</f>
        <v>100</v>
      </c>
      <c r="V23" s="1565" t="s">
        <v>8</v>
      </c>
      <c r="W23" s="1566">
        <f>J23</f>
        <v>100</v>
      </c>
      <c r="X23" s="1559"/>
      <c r="Y23" s="3780"/>
      <c r="Z23" s="1567" t="str">
        <f>Q23</f>
        <v>自然及人文环境</v>
      </c>
      <c r="AA23" s="1568">
        <f t="shared" si="3"/>
        <v>1</v>
      </c>
      <c r="AB23" s="1568">
        <f t="shared" si="4"/>
        <v>1</v>
      </c>
      <c r="AC23" s="1568">
        <f t="shared" si="5"/>
        <v>1</v>
      </c>
    </row>
    <row r="24" spans="1:29" ht="15">
      <c r="A24" s="530"/>
      <c r="B24" s="592"/>
      <c r="C24" s="3499" t="s">
        <v>3306</v>
      </c>
      <c r="D24" s="553"/>
      <c r="E24" s="3494" t="s">
        <v>3306</v>
      </c>
      <c r="F24" s="555"/>
      <c r="G24" s="3493" t="s">
        <v>3306</v>
      </c>
      <c r="H24" s="553"/>
      <c r="I24" s="3494" t="s">
        <v>3427</v>
      </c>
      <c r="J24" s="553"/>
      <c r="K24" s="892"/>
      <c r="L24" s="2134"/>
      <c r="M24" s="2126"/>
      <c r="N24" s="2126"/>
      <c r="O24" s="2133"/>
      <c r="P24" s="3780"/>
      <c r="Q24" s="1564"/>
      <c r="R24" s="1565"/>
      <c r="S24" s="1566"/>
      <c r="T24" s="1565"/>
      <c r="U24" s="1566"/>
      <c r="V24" s="1565"/>
      <c r="W24" s="1566"/>
      <c r="X24" s="1559"/>
      <c r="Y24" s="3780"/>
      <c r="Z24" s="1567"/>
      <c r="AA24" s="1568">
        <v>1</v>
      </c>
      <c r="AB24" s="1568">
        <v>1</v>
      </c>
      <c r="AC24" s="1568">
        <v>1</v>
      </c>
    </row>
    <row r="25" spans="1:29" ht="15">
      <c r="A25" s="530"/>
      <c r="B25" s="525" t="s">
        <v>548</v>
      </c>
      <c r="C25" s="3509" t="s">
        <v>3327</v>
      </c>
      <c r="D25" s="538">
        <v>100</v>
      </c>
      <c r="E25" s="3509" t="s">
        <v>3327</v>
      </c>
      <c r="F25" s="572">
        <f>SUMIF(86:86,E25,87:87)-SUMIF(86:86,C25,87:87)+100</f>
        <v>100</v>
      </c>
      <c r="G25" s="3509" t="s">
        <v>3327</v>
      </c>
      <c r="H25" s="538">
        <f>SUMIF(86:86,G25,87:87)-SUMIF(86:86,C25,87:87)+100</f>
        <v>100</v>
      </c>
      <c r="I25" s="3509" t="s">
        <v>3327</v>
      </c>
      <c r="J25" s="538">
        <f>SUMIF(86:86,I25,87:87)-SUMIF(86:86,C25,87:87)+100</f>
        <v>100</v>
      </c>
      <c r="K25" s="581"/>
      <c r="L25" s="2134"/>
      <c r="M25" s="2126"/>
      <c r="N25" s="2126"/>
      <c r="O25" s="2133"/>
      <c r="P25" s="3780"/>
      <c r="Q25" s="1564" t="str">
        <f t="shared" ref="Q25:Q46" si="11">B25</f>
        <v>临街状况</v>
      </c>
      <c r="R25" s="1565" t="s">
        <v>8</v>
      </c>
      <c r="S25" s="1566">
        <f>F25</f>
        <v>100</v>
      </c>
      <c r="T25" s="1565" t="s">
        <v>8</v>
      </c>
      <c r="U25" s="1566">
        <f>H25</f>
        <v>100</v>
      </c>
      <c r="V25" s="1565" t="s">
        <v>8</v>
      </c>
      <c r="W25" s="1566">
        <f>J25</f>
        <v>100</v>
      </c>
      <c r="X25" s="1559"/>
      <c r="Y25" s="3780"/>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80"/>
      <c r="Q26" s="1564" t="str">
        <f t="shared" si="11"/>
        <v>平面位置/可视性</v>
      </c>
      <c r="R26" s="1565" t="s">
        <v>8</v>
      </c>
      <c r="S26" s="1566">
        <f>F26</f>
        <v>100</v>
      </c>
      <c r="T26" s="1565" t="s">
        <v>8</v>
      </c>
      <c r="U26" s="1566">
        <f>H26</f>
        <v>100</v>
      </c>
      <c r="V26" s="1565" t="s">
        <v>8</v>
      </c>
      <c r="W26" s="1566">
        <f>J26</f>
        <v>100</v>
      </c>
      <c r="X26" s="1559"/>
      <c r="Y26" s="3780"/>
      <c r="Z26" s="1567" t="str">
        <f>Q26</f>
        <v>平面位置/可视性</v>
      </c>
      <c r="AA26" s="1568">
        <f t="shared" si="3"/>
        <v>1</v>
      </c>
      <c r="AB26" s="1568">
        <f t="shared" si="4"/>
        <v>1</v>
      </c>
      <c r="AC26" s="1568">
        <f t="shared" si="5"/>
        <v>1</v>
      </c>
    </row>
    <row r="27" spans="1:29" s="1213" customFormat="1" ht="15">
      <c r="A27" s="534"/>
      <c r="B27" s="868" t="s">
        <v>760</v>
      </c>
      <c r="C27" s="3540" t="s">
        <v>3428</v>
      </c>
      <c r="D27" s="872">
        <v>100</v>
      </c>
      <c r="E27" s="3540" t="s">
        <v>3428</v>
      </c>
      <c r="F27" s="873">
        <f>SUMIF(90:90,E27,91:91)-SUMIF(90:90,C27,91:91)+100</f>
        <v>100</v>
      </c>
      <c r="G27" s="3540" t="s">
        <v>3428</v>
      </c>
      <c r="H27" s="872">
        <f>SUMIF(90:90,G27,91:91)-SUMIF(90:90,C27,91:91)+100</f>
        <v>100</v>
      </c>
      <c r="I27" s="3540" t="s">
        <v>3428</v>
      </c>
      <c r="J27" s="872">
        <f>SUMIF(90:90,I27,91:91)-SUMIF(90:90,C27,91:91)+100</f>
        <v>100</v>
      </c>
      <c r="K27" s="581"/>
      <c r="L27" s="2127"/>
      <c r="M27" s="2128"/>
      <c r="N27" s="2128"/>
      <c r="O27" s="2129"/>
      <c r="P27" s="3780"/>
      <c r="Q27" s="1144" t="str">
        <f t="shared" si="11"/>
        <v>人流量</v>
      </c>
      <c r="R27" s="1560" t="s">
        <v>8</v>
      </c>
      <c r="S27" s="1561">
        <f>F27</f>
        <v>100</v>
      </c>
      <c r="T27" s="1560" t="s">
        <v>8</v>
      </c>
      <c r="U27" s="1561">
        <f>H27</f>
        <v>100</v>
      </c>
      <c r="V27" s="1560" t="s">
        <v>8</v>
      </c>
      <c r="W27" s="1561">
        <f>J27</f>
        <v>100</v>
      </c>
      <c r="X27" s="1562"/>
      <c r="Y27" s="3780"/>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80"/>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80"/>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80"/>
      <c r="Q29" s="1564">
        <f t="shared" si="11"/>
        <v>111</v>
      </c>
      <c r="R29" s="1565" t="s">
        <v>8</v>
      </c>
      <c r="S29" s="1566">
        <f t="shared" si="12"/>
        <v>100</v>
      </c>
      <c r="T29" s="1565" t="s">
        <v>8</v>
      </c>
      <c r="U29" s="1566">
        <f t="shared" si="13"/>
        <v>100</v>
      </c>
      <c r="V29" s="1565" t="s">
        <v>8</v>
      </c>
      <c r="W29" s="1566">
        <f t="shared" si="14"/>
        <v>100</v>
      </c>
      <c r="X29" s="1559"/>
      <c r="Y29" s="3780"/>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80"/>
      <c r="Q30" s="1564">
        <f t="shared" si="11"/>
        <v>111</v>
      </c>
      <c r="R30" s="1565" t="s">
        <v>8</v>
      </c>
      <c r="S30" s="1566">
        <f t="shared" si="12"/>
        <v>100</v>
      </c>
      <c r="T30" s="1565" t="s">
        <v>8</v>
      </c>
      <c r="U30" s="1566">
        <f t="shared" si="13"/>
        <v>100</v>
      </c>
      <c r="V30" s="1565" t="s">
        <v>8</v>
      </c>
      <c r="W30" s="1566">
        <f t="shared" si="14"/>
        <v>100</v>
      </c>
      <c r="X30" s="1559"/>
      <c r="Y30" s="3780"/>
      <c r="Z30" s="1567">
        <f t="shared" si="15"/>
        <v>111</v>
      </c>
      <c r="AA30" s="1568">
        <f t="shared" si="3"/>
        <v>1</v>
      </c>
      <c r="AB30" s="1568">
        <f t="shared" si="4"/>
        <v>1</v>
      </c>
      <c r="AC30" s="1568">
        <f t="shared" si="5"/>
        <v>1</v>
      </c>
    </row>
    <row r="31" spans="1:29" ht="15.6"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80"/>
      <c r="Q31" s="1564">
        <f t="shared" si="11"/>
        <v>111</v>
      </c>
      <c r="R31" s="1565" t="s">
        <v>8</v>
      </c>
      <c r="S31" s="1566">
        <f t="shared" si="12"/>
        <v>100</v>
      </c>
      <c r="T31" s="1565" t="s">
        <v>8</v>
      </c>
      <c r="U31" s="1566">
        <f t="shared" si="13"/>
        <v>100</v>
      </c>
      <c r="V31" s="1565" t="s">
        <v>8</v>
      </c>
      <c r="W31" s="1566">
        <f t="shared" si="14"/>
        <v>100</v>
      </c>
      <c r="X31" s="1559"/>
      <c r="Y31" s="3780"/>
      <c r="Z31" s="1567">
        <f t="shared" si="15"/>
        <v>111</v>
      </c>
      <c r="AA31" s="1568">
        <f t="shared" si="3"/>
        <v>1</v>
      </c>
      <c r="AB31" s="1568">
        <f t="shared" si="4"/>
        <v>1</v>
      </c>
      <c r="AC31" s="1568">
        <f t="shared" si="5"/>
        <v>1</v>
      </c>
    </row>
    <row r="32" spans="1:29" ht="15">
      <c r="A32" s="2924" t="s">
        <v>2759</v>
      </c>
      <c r="B32" s="172" t="s">
        <v>763</v>
      </c>
      <c r="C32" s="3546" t="s">
        <v>3328</v>
      </c>
      <c r="D32" s="594">
        <v>100</v>
      </c>
      <c r="E32" s="3510" t="s">
        <v>3329</v>
      </c>
      <c r="F32" s="572">
        <f>SUMIF(100:100,E32,101:101)-SUMIF(100:100,C32,101:101)+100</f>
        <v>98</v>
      </c>
      <c r="G32" s="3510" t="s">
        <v>3472</v>
      </c>
      <c r="H32" s="538">
        <f>SUMIF(100:100,G32,101:101)-SUMIF(100:100,C32,101:101)+100</f>
        <v>98</v>
      </c>
      <c r="I32" s="3510" t="s">
        <v>3328</v>
      </c>
      <c r="J32" s="594">
        <f>SUMIF(100:100,I32,101:101)-SUMIF(100:100,C32,101:101)+100</f>
        <v>100</v>
      </c>
      <c r="K32" s="581">
        <v>2</v>
      </c>
      <c r="L32" s="2134"/>
      <c r="M32" s="2126"/>
      <c r="N32" s="2126"/>
      <c r="O32" s="2133"/>
      <c r="P32" s="3781" t="s">
        <v>551</v>
      </c>
      <c r="Q32" s="1564" t="str">
        <f t="shared" si="11"/>
        <v>商业类型</v>
      </c>
      <c r="R32" s="1565" t="s">
        <v>8</v>
      </c>
      <c r="S32" s="1566">
        <f t="shared" si="12"/>
        <v>98</v>
      </c>
      <c r="T32" s="1565" t="s">
        <v>8</v>
      </c>
      <c r="U32" s="1566">
        <f t="shared" si="13"/>
        <v>98</v>
      </c>
      <c r="V32" s="1565" t="s">
        <v>8</v>
      </c>
      <c r="W32" s="1566">
        <f t="shared" si="14"/>
        <v>100</v>
      </c>
      <c r="X32" s="1559"/>
      <c r="Y32" s="3782" t="s">
        <v>551</v>
      </c>
      <c r="Z32" s="1567" t="str">
        <f t="shared" si="15"/>
        <v>商业类型</v>
      </c>
      <c r="AA32" s="1568">
        <f t="shared" si="3"/>
        <v>1.0204081632653061</v>
      </c>
      <c r="AB32" s="1568">
        <f t="shared" si="4"/>
        <v>1.0204081632653061</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782"/>
      <c r="Q33" s="1597" t="str">
        <f t="shared" si="11"/>
        <v>项目建筑规模</v>
      </c>
      <c r="R33" s="1569" t="s">
        <v>8</v>
      </c>
      <c r="S33" s="1570">
        <f t="shared" si="12"/>
        <v>100</v>
      </c>
      <c r="T33" s="1569" t="s">
        <v>8</v>
      </c>
      <c r="U33" s="1570">
        <f t="shared" si="13"/>
        <v>100</v>
      </c>
      <c r="V33" s="1569" t="s">
        <v>8</v>
      </c>
      <c r="W33" s="1570">
        <f t="shared" si="14"/>
        <v>100</v>
      </c>
      <c r="X33" s="1571"/>
      <c r="Y33" s="3782"/>
      <c r="Z33" s="1572" t="str">
        <f t="shared" si="15"/>
        <v>项目建筑规模</v>
      </c>
      <c r="AA33" s="1568">
        <f t="shared" si="3"/>
        <v>1</v>
      </c>
      <c r="AB33" s="1568">
        <f t="shared" si="4"/>
        <v>1</v>
      </c>
      <c r="AC33" s="1568">
        <f t="shared" si="5"/>
        <v>1</v>
      </c>
    </row>
    <row r="34" spans="1:29" ht="15">
      <c r="A34" s="591"/>
      <c r="B34" s="525" t="s">
        <v>728</v>
      </c>
      <c r="C34" s="3511" t="s">
        <v>3331</v>
      </c>
      <c r="D34" s="538">
        <v>100</v>
      </c>
      <c r="E34" s="3512" t="s">
        <v>3332</v>
      </c>
      <c r="F34" s="572">
        <f>SUMIF(105:105,E34,106:106)-SUMIF(105:105,C34,106:106)+100</f>
        <v>100</v>
      </c>
      <c r="G34" s="3511" t="s">
        <v>3332</v>
      </c>
      <c r="H34" s="538">
        <f>SUMIF(105:105,G34,106:106)-SUMIF(105:105,C34,106:106)+100</f>
        <v>100</v>
      </c>
      <c r="I34" s="3511" t="s">
        <v>3332</v>
      </c>
      <c r="J34" s="538">
        <f>SUMIF(105:105,I34,106:106)-SUMIF(105:105,C34,106:106)+100</f>
        <v>100</v>
      </c>
      <c r="K34" s="581"/>
      <c r="L34" s="2134"/>
      <c r="M34" s="2126"/>
      <c r="N34" s="2126"/>
      <c r="O34" s="2133"/>
      <c r="P34" s="3782"/>
      <c r="Q34" s="1564" t="str">
        <f t="shared" si="11"/>
        <v>建筑结构</v>
      </c>
      <c r="R34" s="1565" t="s">
        <v>8</v>
      </c>
      <c r="S34" s="1566">
        <f t="shared" si="12"/>
        <v>100</v>
      </c>
      <c r="T34" s="1565" t="s">
        <v>8</v>
      </c>
      <c r="U34" s="1566">
        <f t="shared" si="13"/>
        <v>100</v>
      </c>
      <c r="V34" s="1565" t="s">
        <v>8</v>
      </c>
      <c r="W34" s="1566">
        <f t="shared" si="14"/>
        <v>100</v>
      </c>
      <c r="X34" s="1559"/>
      <c r="Y34" s="3782"/>
      <c r="Z34" s="1567" t="str">
        <f t="shared" si="15"/>
        <v>建筑结构</v>
      </c>
      <c r="AA34" s="1568">
        <f t="shared" si="3"/>
        <v>1</v>
      </c>
      <c r="AB34" s="1568">
        <f t="shared" si="4"/>
        <v>1</v>
      </c>
      <c r="AC34" s="1568">
        <f t="shared" si="5"/>
        <v>1</v>
      </c>
    </row>
    <row r="35" spans="1:29" ht="15">
      <c r="A35" s="591"/>
      <c r="B35" s="525" t="s">
        <v>764</v>
      </c>
      <c r="C35" s="3495" t="s">
        <v>3301</v>
      </c>
      <c r="D35" s="538">
        <v>100</v>
      </c>
      <c r="E35" s="3495" t="s">
        <v>3301</v>
      </c>
      <c r="F35" s="572">
        <f>SUMIF(107:107,E35,108:108)-SUMIF(107:107,C35,108:108)+100</f>
        <v>100</v>
      </c>
      <c r="G35" s="3495" t="s">
        <v>3301</v>
      </c>
      <c r="H35" s="538">
        <f>SUMIF(107:107,G35,108:108)-SUMIF(107:107,C35,108:108)+100</f>
        <v>100</v>
      </c>
      <c r="I35" s="3495" t="s">
        <v>3301</v>
      </c>
      <c r="J35" s="538">
        <f>SUMIF(107:107,I35,108:108)-SUMIF(107:107,C35,108:108)+100</f>
        <v>100</v>
      </c>
      <c r="K35" s="581"/>
      <c r="L35" s="2134"/>
      <c r="M35" s="2126"/>
      <c r="N35" s="2126"/>
      <c r="O35" s="2133"/>
      <c r="P35" s="3782"/>
      <c r="Q35" s="1564" t="str">
        <f t="shared" si="11"/>
        <v>公共部分装修</v>
      </c>
      <c r="R35" s="1565" t="s">
        <v>8</v>
      </c>
      <c r="S35" s="1566">
        <f t="shared" si="12"/>
        <v>100</v>
      </c>
      <c r="T35" s="1565" t="s">
        <v>8</v>
      </c>
      <c r="U35" s="1566">
        <f t="shared" si="13"/>
        <v>100</v>
      </c>
      <c r="V35" s="1565" t="s">
        <v>8</v>
      </c>
      <c r="W35" s="1566">
        <f t="shared" si="14"/>
        <v>100</v>
      </c>
      <c r="X35" s="1559"/>
      <c r="Y35" s="3782"/>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782"/>
      <c r="Q36" s="1564" t="str">
        <f t="shared" si="11"/>
        <v>成新度</v>
      </c>
      <c r="R36" s="1565" t="s">
        <v>8</v>
      </c>
      <c r="S36" s="1566">
        <f t="shared" si="12"/>
        <v>100</v>
      </c>
      <c r="T36" s="1565" t="s">
        <v>8</v>
      </c>
      <c r="U36" s="1566">
        <f t="shared" si="13"/>
        <v>100</v>
      </c>
      <c r="V36" s="1565" t="s">
        <v>8</v>
      </c>
      <c r="W36" s="1566">
        <f t="shared" si="14"/>
        <v>100</v>
      </c>
      <c r="X36" s="1559"/>
      <c r="Y36" s="3782"/>
      <c r="Z36" s="1567" t="str">
        <f t="shared" si="15"/>
        <v>成新度</v>
      </c>
      <c r="AA36" s="1568">
        <f t="shared" si="3"/>
        <v>1</v>
      </c>
      <c r="AB36" s="1568">
        <f t="shared" si="4"/>
        <v>1</v>
      </c>
      <c r="AC36" s="1568">
        <f t="shared" si="5"/>
        <v>1</v>
      </c>
    </row>
    <row r="37" spans="1:29" s="1213" customFormat="1" ht="15">
      <c r="A37" s="597"/>
      <c r="B37" s="1887" t="s">
        <v>2569</v>
      </c>
      <c r="C37" s="3495" t="s">
        <v>3305</v>
      </c>
      <c r="D37" s="253">
        <v>100</v>
      </c>
      <c r="E37" s="3495" t="s">
        <v>3305</v>
      </c>
      <c r="F37" s="572">
        <f>SUMIF(112:112,E37,113:113)-SUMIF(112:112,C37,113:113)+100</f>
        <v>100</v>
      </c>
      <c r="G37" s="3495" t="s">
        <v>3305</v>
      </c>
      <c r="H37" s="538">
        <f>SUMIF(112:112,G37,113:113)-SUMIF(112:112,C37,113:113)+100</f>
        <v>100</v>
      </c>
      <c r="I37" s="3495" t="s">
        <v>3397</v>
      </c>
      <c r="J37" s="538">
        <f>SUMIF(112:112,I37,113:113)-SUMIF(112:112,C37,113:113)+100</f>
        <v>100</v>
      </c>
      <c r="K37" s="581"/>
      <c r="L37" s="2127"/>
      <c r="M37" s="2128"/>
      <c r="N37" s="2128"/>
      <c r="O37" s="2129"/>
      <c r="P37" s="3782"/>
      <c r="Q37" s="1144" t="str">
        <f t="shared" si="11"/>
        <v>市政基础设施</v>
      </c>
      <c r="R37" s="1560" t="s">
        <v>8</v>
      </c>
      <c r="S37" s="1561">
        <f t="shared" si="12"/>
        <v>100</v>
      </c>
      <c r="T37" s="1560" t="s">
        <v>8</v>
      </c>
      <c r="U37" s="1561">
        <f t="shared" si="13"/>
        <v>100</v>
      </c>
      <c r="V37" s="1560" t="s">
        <v>8</v>
      </c>
      <c r="W37" s="1561">
        <f t="shared" si="14"/>
        <v>100</v>
      </c>
      <c r="X37" s="1562"/>
      <c r="Y37" s="3782"/>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782" t="s">
        <v>767</v>
      </c>
      <c r="Q38" s="1564" t="str">
        <f t="shared" si="11"/>
        <v>业态</v>
      </c>
      <c r="R38" s="1565" t="s">
        <v>8</v>
      </c>
      <c r="S38" s="1566">
        <f t="shared" si="12"/>
        <v>100</v>
      </c>
      <c r="T38" s="1565" t="s">
        <v>8</v>
      </c>
      <c r="U38" s="1566">
        <f t="shared" si="13"/>
        <v>100</v>
      </c>
      <c r="V38" s="1565" t="s">
        <v>8</v>
      </c>
      <c r="W38" s="1566">
        <f t="shared" si="14"/>
        <v>100</v>
      </c>
      <c r="X38" s="1559"/>
      <c r="Y38" s="3782"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82"/>
      <c r="Q39" s="1564" t="str">
        <f t="shared" si="11"/>
        <v>层高</v>
      </c>
      <c r="R39" s="1565" t="s">
        <v>8</v>
      </c>
      <c r="S39" s="1566">
        <f t="shared" si="12"/>
        <v>100</v>
      </c>
      <c r="T39" s="1565" t="s">
        <v>8</v>
      </c>
      <c r="U39" s="1566">
        <f t="shared" si="13"/>
        <v>100</v>
      </c>
      <c r="V39" s="1565" t="s">
        <v>8</v>
      </c>
      <c r="W39" s="1566">
        <f t="shared" si="14"/>
        <v>100</v>
      </c>
      <c r="X39" s="1559"/>
      <c r="Y39" s="3782"/>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782"/>
      <c r="Q40" s="1564" t="str">
        <f t="shared" si="11"/>
        <v>单套建筑面积</v>
      </c>
      <c r="R40" s="1565" t="s">
        <v>8</v>
      </c>
      <c r="S40" s="1566">
        <f t="shared" si="12"/>
        <v>100</v>
      </c>
      <c r="T40" s="1565" t="s">
        <v>8</v>
      </c>
      <c r="U40" s="1566">
        <f t="shared" si="13"/>
        <v>100</v>
      </c>
      <c r="V40" s="1565" t="s">
        <v>8</v>
      </c>
      <c r="W40" s="1566">
        <f t="shared" si="14"/>
        <v>100</v>
      </c>
      <c r="X40" s="1559"/>
      <c r="Y40" s="3782"/>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782"/>
      <c r="Q41" s="1597" t="str">
        <f t="shared" si="11"/>
        <v>进深比</v>
      </c>
      <c r="R41" s="1569" t="s">
        <v>8</v>
      </c>
      <c r="S41" s="1570">
        <f t="shared" si="12"/>
        <v>100</v>
      </c>
      <c r="T41" s="1569" t="s">
        <v>8</v>
      </c>
      <c r="U41" s="1570">
        <f t="shared" si="13"/>
        <v>100</v>
      </c>
      <c r="V41" s="1569" t="s">
        <v>8</v>
      </c>
      <c r="W41" s="1570">
        <f t="shared" si="14"/>
        <v>100</v>
      </c>
      <c r="X41" s="1571"/>
      <c r="Y41" s="3782"/>
      <c r="Z41" s="1572" t="str">
        <f t="shared" si="15"/>
        <v>进深比</v>
      </c>
      <c r="AA41" s="1568">
        <f t="shared" si="3"/>
        <v>1</v>
      </c>
      <c r="AB41" s="1568">
        <f t="shared" si="4"/>
        <v>1</v>
      </c>
      <c r="AC41" s="1568">
        <f t="shared" si="5"/>
        <v>1</v>
      </c>
    </row>
    <row r="42" spans="1:29" ht="15">
      <c r="A42" s="591"/>
      <c r="B42" s="525" t="s">
        <v>771</v>
      </c>
      <c r="C42" s="3495" t="s">
        <v>3333</v>
      </c>
      <c r="D42" s="538">
        <v>100</v>
      </c>
      <c r="E42" s="3495" t="s">
        <v>3333</v>
      </c>
      <c r="F42" s="572">
        <f>SUMIF(122:122,E42,123:123)-SUMIF(122:122,C42,123:123)+100</f>
        <v>100</v>
      </c>
      <c r="G42" s="3495" t="s">
        <v>3333</v>
      </c>
      <c r="H42" s="538">
        <f>SUMIF(122:122,G42,123:123)-SUMIF(122:122,C42,123:123)+100</f>
        <v>100</v>
      </c>
      <c r="I42" s="3495" t="s">
        <v>3333</v>
      </c>
      <c r="J42" s="538">
        <f>SUMIF(122:122,I42,123:123)-SUMIF(122:122,C42,123:123)+100</f>
        <v>100</v>
      </c>
      <c r="K42" s="581"/>
      <c r="L42" s="2134"/>
      <c r="M42" s="2126"/>
      <c r="N42" s="2126"/>
      <c r="O42" s="2133"/>
      <c r="P42" s="3782"/>
      <c r="Q42" s="1564" t="str">
        <f t="shared" si="11"/>
        <v>内部装修</v>
      </c>
      <c r="R42" s="1565" t="s">
        <v>8</v>
      </c>
      <c r="S42" s="1566">
        <f t="shared" si="12"/>
        <v>100</v>
      </c>
      <c r="T42" s="1565" t="s">
        <v>8</v>
      </c>
      <c r="U42" s="1566">
        <f t="shared" si="13"/>
        <v>100</v>
      </c>
      <c r="V42" s="1565" t="s">
        <v>8</v>
      </c>
      <c r="W42" s="1566">
        <f t="shared" si="14"/>
        <v>100</v>
      </c>
      <c r="X42" s="1559"/>
      <c r="Y42" s="3782"/>
      <c r="Z42" s="1567" t="str">
        <f t="shared" si="15"/>
        <v>内部装修</v>
      </c>
      <c r="AA42" s="1568">
        <f t="shared" si="3"/>
        <v>1</v>
      </c>
      <c r="AB42" s="1568">
        <f t="shared" si="4"/>
        <v>1</v>
      </c>
      <c r="AC42" s="1568">
        <f t="shared" si="5"/>
        <v>1</v>
      </c>
    </row>
    <row r="43" spans="1:29" ht="28.8">
      <c r="A43" s="591"/>
      <c r="B43" s="525" t="s">
        <v>736</v>
      </c>
      <c r="C43" s="3495" t="s">
        <v>3301</v>
      </c>
      <c r="D43" s="538">
        <v>100</v>
      </c>
      <c r="E43" s="3495" t="s">
        <v>3301</v>
      </c>
      <c r="F43" s="572">
        <f>SUMIF(124:124,E43,125:125)-SUMIF(124:124,C43,125:125)+100</f>
        <v>100</v>
      </c>
      <c r="G43" s="3495" t="s">
        <v>3301</v>
      </c>
      <c r="H43" s="538">
        <f>SUMIF(124:124,G43,125:125)-SUMIF(124:124,C43,125:125)+100</f>
        <v>100</v>
      </c>
      <c r="I43" s="3495" t="s">
        <v>3301</v>
      </c>
      <c r="J43" s="538">
        <f>SUMIF(124:124,I43,125:125)-SUMIF(124:124,C43,125:125)+100</f>
        <v>100</v>
      </c>
      <c r="K43" s="581"/>
      <c r="L43" s="2134"/>
      <c r="M43" s="2126"/>
      <c r="N43" s="2126"/>
      <c r="O43" s="2133"/>
      <c r="P43" s="3782"/>
      <c r="Q43" s="1564" t="str">
        <f t="shared" si="11"/>
        <v>内部装修维护情况</v>
      </c>
      <c r="R43" s="1565" t="s">
        <v>8</v>
      </c>
      <c r="S43" s="1566">
        <f t="shared" si="12"/>
        <v>100</v>
      </c>
      <c r="T43" s="1565" t="s">
        <v>8</v>
      </c>
      <c r="U43" s="1566">
        <f t="shared" si="13"/>
        <v>100</v>
      </c>
      <c r="V43" s="1565" t="s">
        <v>8</v>
      </c>
      <c r="W43" s="1566">
        <f t="shared" si="14"/>
        <v>100</v>
      </c>
      <c r="X43" s="1559"/>
      <c r="Y43" s="3782"/>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782"/>
      <c r="Q44" s="1144">
        <f t="shared" si="11"/>
        <v>111</v>
      </c>
      <c r="R44" s="1560" t="s">
        <v>8</v>
      </c>
      <c r="S44" s="1561">
        <f t="shared" si="12"/>
        <v>100</v>
      </c>
      <c r="T44" s="1560" t="s">
        <v>8</v>
      </c>
      <c r="U44" s="1561">
        <f t="shared" si="13"/>
        <v>100</v>
      </c>
      <c r="V44" s="1560" t="s">
        <v>8</v>
      </c>
      <c r="W44" s="1561">
        <f t="shared" si="14"/>
        <v>100</v>
      </c>
      <c r="X44" s="1562"/>
      <c r="Y44" s="3782"/>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782"/>
      <c r="Q45" s="1564">
        <f t="shared" si="11"/>
        <v>111</v>
      </c>
      <c r="R45" s="1565" t="s">
        <v>8</v>
      </c>
      <c r="S45" s="1566">
        <f t="shared" si="12"/>
        <v>100</v>
      </c>
      <c r="T45" s="1565" t="s">
        <v>8</v>
      </c>
      <c r="U45" s="1566">
        <f t="shared" si="13"/>
        <v>100</v>
      </c>
      <c r="V45" s="1565" t="s">
        <v>8</v>
      </c>
      <c r="W45" s="1566">
        <f t="shared" si="14"/>
        <v>100</v>
      </c>
      <c r="X45" s="1559"/>
      <c r="Y45" s="3782"/>
      <c r="Z45" s="1567">
        <f t="shared" si="15"/>
        <v>111</v>
      </c>
      <c r="AA45" s="1568">
        <f t="shared" si="3"/>
        <v>1</v>
      </c>
      <c r="AB45" s="1568">
        <f t="shared" si="4"/>
        <v>1</v>
      </c>
      <c r="AC45" s="1568">
        <f t="shared" si="5"/>
        <v>1</v>
      </c>
    </row>
    <row r="46" spans="1:29" ht="15.6" thickBot="1">
      <c r="A46" s="879"/>
      <c r="B46" s="542">
        <v>0.9</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79"/>
      <c r="Q46" s="1564">
        <f t="shared" si="11"/>
        <v>0.9</v>
      </c>
      <c r="R46" s="1565" t="s">
        <v>8</v>
      </c>
      <c r="S46" s="1566">
        <f t="shared" si="12"/>
        <v>100</v>
      </c>
      <c r="T46" s="1565" t="s">
        <v>8</v>
      </c>
      <c r="U46" s="1566">
        <f t="shared" si="13"/>
        <v>100</v>
      </c>
      <c r="V46" s="1565" t="s">
        <v>8</v>
      </c>
      <c r="W46" s="1566">
        <f t="shared" si="14"/>
        <v>100</v>
      </c>
      <c r="X46" s="1559"/>
      <c r="Y46" s="3879"/>
      <c r="Z46" s="1567">
        <f t="shared" si="15"/>
        <v>0.9</v>
      </c>
      <c r="AA46" s="1568">
        <f t="shared" si="3"/>
        <v>1</v>
      </c>
      <c r="AB46" s="1568">
        <f t="shared" si="4"/>
        <v>1</v>
      </c>
      <c r="AC46" s="1568">
        <f t="shared" si="5"/>
        <v>1</v>
      </c>
    </row>
    <row r="47" spans="1:29" ht="14.4">
      <c r="A47" s="604" t="s">
        <v>737</v>
      </c>
      <c r="B47" s="880"/>
      <c r="C47" s="2643" t="s">
        <v>1</v>
      </c>
      <c r="D47" s="2644"/>
      <c r="E47" s="2645">
        <f>B46*30000</f>
        <v>27000</v>
      </c>
      <c r="F47" s="2646"/>
      <c r="G47" s="2647">
        <f>B46*25000</f>
        <v>22500</v>
      </c>
      <c r="H47" s="2648"/>
      <c r="I47" s="2645">
        <f>B46*32000</f>
        <v>28800</v>
      </c>
      <c r="J47" s="2648"/>
      <c r="K47" s="1603"/>
      <c r="L47" s="2136"/>
      <c r="M47" s="2137"/>
      <c r="N47" s="2126"/>
      <c r="O47" s="2137"/>
      <c r="P47" s="3777" t="str">
        <f>A47</f>
        <v>成交单价（元/平方米）</v>
      </c>
      <c r="Q47" s="3777"/>
      <c r="R47" s="3878">
        <f>E47</f>
        <v>27000</v>
      </c>
      <c r="S47" s="3878"/>
      <c r="T47" s="3878">
        <f>G47</f>
        <v>22500</v>
      </c>
      <c r="U47" s="3878"/>
      <c r="V47" s="3878">
        <f>I47</f>
        <v>28800</v>
      </c>
      <c r="W47" s="3878"/>
      <c r="X47" s="1551"/>
      <c r="Y47" s="1573"/>
      <c r="Z47" s="1551"/>
      <c r="AA47" s="1551"/>
      <c r="AB47" s="1551"/>
      <c r="AC47" s="1551"/>
    </row>
    <row r="48" spans="1:29" ht="15" thickBot="1">
      <c r="A48" s="612" t="s">
        <v>2764</v>
      </c>
      <c r="B48" s="881"/>
      <c r="C48" s="2649">
        <f>R49</f>
        <v>26534</v>
      </c>
      <c r="D48" s="2650"/>
      <c r="E48" s="2651">
        <f>R48</f>
        <v>27551</v>
      </c>
      <c r="F48" s="2651"/>
      <c r="G48" s="2649">
        <f>T48</f>
        <v>22959</v>
      </c>
      <c r="H48" s="2650"/>
      <c r="I48" s="2651">
        <f>V48</f>
        <v>29091</v>
      </c>
      <c r="J48" s="2650"/>
      <c r="K48" s="1604"/>
      <c r="L48" s="2136"/>
      <c r="M48" s="2137"/>
      <c r="N48" s="2126"/>
      <c r="O48" s="2137"/>
      <c r="P48" s="3777" t="str">
        <f>A48</f>
        <v>比较价格（元/平方米）</v>
      </c>
      <c r="Q48" s="3777"/>
      <c r="R48" s="3878">
        <f>IF(F1="售价",ROUND(PRODUCT(R47,AA7:AA46),0),ROUND(PRODUCT(R47,AA7:AA46),1))</f>
        <v>27551</v>
      </c>
      <c r="S48" s="3878"/>
      <c r="T48" s="3878">
        <f>IF(F1="售价",ROUND(PRODUCT(T47,AB7:AB46),0),ROUND(PRODUCT(T47,AB7:AB46),1))</f>
        <v>22959</v>
      </c>
      <c r="U48" s="3878"/>
      <c r="V48" s="3878">
        <f>IF(F1="售价",ROUND(PRODUCT(V47,AC7:AC46),0),ROUND(PRODUCT(V47,AC7:AC46),1))</f>
        <v>29091</v>
      </c>
      <c r="W48" s="3878"/>
      <c r="X48" s="1551"/>
      <c r="Y48" s="1551"/>
      <c r="Z48" s="1551"/>
      <c r="AA48" s="1551"/>
      <c r="AB48" s="1551"/>
      <c r="AC48" s="1551"/>
    </row>
    <row r="49" spans="1:29" ht="15" thickBot="1">
      <c r="A49" s="618" t="s">
        <v>2935</v>
      </c>
      <c r="B49" s="619"/>
      <c r="C49" s="2652">
        <f>R49</f>
        <v>26534</v>
      </c>
      <c r="D49" s="2652"/>
      <c r="E49" s="2652"/>
      <c r="F49" s="2652"/>
      <c r="G49" s="2652"/>
      <c r="H49" s="2652"/>
      <c r="I49" s="2652"/>
      <c r="J49" s="2652"/>
      <c r="K49" s="1605"/>
      <c r="L49" s="2136"/>
      <c r="M49" s="2137"/>
      <c r="N49" s="2126"/>
      <c r="O49" s="2137"/>
      <c r="P49" s="3798" t="str">
        <f>A49</f>
        <v>估价对象XX用房的比较价格（楼面单价，元/平方米）</v>
      </c>
      <c r="Q49" s="3799"/>
      <c r="R49" s="3877">
        <f>IF(F1="售价",ROUND(AVERAGE(R48:V48),0),ROUND(AVERAGE(R48:V48),1))</f>
        <v>26534</v>
      </c>
      <c r="S49" s="3877"/>
      <c r="T49" s="3877"/>
      <c r="U49" s="3877"/>
      <c r="V49" s="3877"/>
      <c r="W49" s="3877"/>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2.040740740740743E-2</v>
      </c>
      <c r="F52" s="624" t="str">
        <f>IF(OR(E52&gt;=0.3,E52&lt;=-0.3),"超过30%","")</f>
        <v/>
      </c>
      <c r="G52" s="623">
        <f>IF(G47&lt;G48,G48/G47-1,G47/G48-1)</f>
        <v>2.0399999999999974E-2</v>
      </c>
      <c r="H52" s="624" t="str">
        <f>IF(OR(G52&gt;=0.3,G52&lt;=-0.3),"超过30%","")</f>
        <v/>
      </c>
      <c r="I52" s="623">
        <f>IF(I47&lt;I48,I48/I47-1,I47/I48-1)</f>
        <v>1.0104166666666581E-2</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0.20000871118080066</v>
      </c>
      <c r="F53" s="624" t="str">
        <f>IF(OR(E53&gt;=0.2,E53&lt;=-0.2),"超过20%","")</f>
        <v>超过20%</v>
      </c>
      <c r="G53" s="623">
        <f>IF(G48&lt;I48,I48/G48-1,G48/I48-1)</f>
        <v>0.26708480334509344</v>
      </c>
      <c r="H53" s="624" t="str">
        <f>IF(OR(G53&gt;=0.2,G53&lt;=-0.2),"超过20%","")</f>
        <v>超过20%</v>
      </c>
      <c r="I53" s="623">
        <f>IF(I48&lt;E48,E48/I48-1,I48/E48-1)</f>
        <v>5.5896337700990895E-2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0.28000000000000003</v>
      </c>
      <c r="H54" s="624" t="str">
        <f>IF(OR(G54&gt;=0.3,G54&lt;=-0.3),"超过30%","")</f>
        <v/>
      </c>
      <c r="I54" s="623">
        <f>IF(I47&lt;E47,E47/I47-1,I47/E47-1)</f>
        <v>6.6666666666666652E-2</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2.2"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4.4">
      <c r="A58" s="642" t="s">
        <v>530</v>
      </c>
      <c r="B58" s="643"/>
      <c r="C58" s="2819"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c r="A59" s="644"/>
      <c r="B59" s="645"/>
      <c r="C59" s="646">
        <v>100</v>
      </c>
      <c r="D59" s="647">
        <v>99.5</v>
      </c>
      <c r="E59" s="647">
        <v>99</v>
      </c>
      <c r="F59" s="647">
        <v>98.5</v>
      </c>
      <c r="G59" s="647">
        <v>97.5</v>
      </c>
      <c r="H59" s="647">
        <v>97</v>
      </c>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4.4">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4.4"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ht="14.4">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4.4"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9.4"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4.4"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4.4"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4.4"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4.4"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4.4"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4.4"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4.4"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ht="14.4">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4.4" thickBot="1">
      <c r="A77" s="666"/>
      <c r="B77" s="675"/>
      <c r="C77" s="676">
        <v>100</v>
      </c>
      <c r="D77" s="676">
        <f>C77-$K15</f>
        <v>96</v>
      </c>
      <c r="E77" s="676">
        <f>D77-$K15</f>
        <v>92</v>
      </c>
      <c r="F77" s="676">
        <f>E77-$K15</f>
        <v>88</v>
      </c>
      <c r="G77" s="676">
        <f>F77-$K15</f>
        <v>84</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4.4"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4.4"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4.4"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4.4"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4.4"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4.4"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4.4"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4.4"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4.4"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4.4"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4.4"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4.4"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ht="14.4">
      <c r="A100" s="661" t="s">
        <v>552</v>
      </c>
      <c r="B100" s="662" t="s">
        <v>773</v>
      </c>
      <c r="C100" s="3513" t="s">
        <v>3328</v>
      </c>
      <c r="D100" s="3513" t="s">
        <v>3330</v>
      </c>
      <c r="E100" s="3513" t="s">
        <v>3336</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4.4"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8.2"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4.4"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4.4"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9.4"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4.4"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4.4"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4.4"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4.4"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4.4" thickTop="1">
      <c r="A130" s="732"/>
      <c r="B130" s="678">
        <f>B46</f>
        <v>0.9</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4.4"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1" sqref="A31"/>
    </sheetView>
  </sheetViews>
  <sheetFormatPr defaultColWidth="9" defaultRowHeight="13.2"/>
  <cols>
    <col min="1" max="1" width="11.44140625" style="1243" customWidth="1"/>
    <col min="2" max="2" width="9.21875" style="1211" customWidth="1"/>
    <col min="3" max="3" width="5" style="1211" customWidth="1"/>
    <col min="4" max="4" width="9" style="1211"/>
    <col min="5" max="5" width="6.6640625" style="1211" customWidth="1"/>
    <col min="6" max="6" width="9" style="1211"/>
    <col min="7" max="7" width="6.3320312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87" t="s">
        <v>2305</v>
      </c>
      <c r="D1" s="3888"/>
      <c r="E1" s="3888"/>
      <c r="F1" s="3888"/>
      <c r="G1" s="3888"/>
      <c r="H1" s="3888"/>
      <c r="I1" s="3888"/>
      <c r="J1" s="3888"/>
      <c r="K1" s="3888"/>
      <c r="L1" s="3888"/>
      <c r="M1" s="3888"/>
      <c r="N1" s="3888"/>
      <c r="O1" s="3888"/>
      <c r="P1" s="3888"/>
      <c r="Q1" s="3888"/>
      <c r="R1" s="3888"/>
      <c r="S1" s="3889"/>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66">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8"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8.8">
      <c r="A5" s="2243"/>
      <c r="B5" s="3567" t="s">
        <v>3393</v>
      </c>
      <c r="C5" s="3513" t="s">
        <v>3475</v>
      </c>
      <c r="D5" s="3513" t="s">
        <v>3329</v>
      </c>
      <c r="E5" s="3513" t="s">
        <v>3335</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8"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8"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8"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8"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8"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8"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8"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6">
      <c r="A20" s="953" t="s">
        <v>829</v>
      </c>
      <c r="B20" s="772">
        <f>S22</f>
        <v>143059</v>
      </c>
      <c r="C20" s="1982"/>
      <c r="D20" s="1982"/>
      <c r="E20" s="1982"/>
      <c r="F20" s="1982"/>
      <c r="G20" s="1982"/>
      <c r="H20" s="1982"/>
      <c r="I20" s="1982"/>
      <c r="J20" s="1982"/>
      <c r="K20" s="1982"/>
      <c r="L20" s="1982"/>
      <c r="M20" s="1982"/>
      <c r="N20" s="1982"/>
      <c r="O20" s="1982"/>
      <c r="P20" s="1982"/>
      <c r="Q20" s="1982"/>
      <c r="R20" s="2217"/>
      <c r="S20" s="2020"/>
    </row>
    <row r="21" spans="1:45" ht="15.6">
      <c r="A21" s="953" t="s">
        <v>830</v>
      </c>
      <c r="B21" s="772">
        <f>R22</f>
        <v>16049</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84" t="s">
        <v>20</v>
      </c>
      <c r="D22" s="3885"/>
      <c r="E22" s="3885"/>
      <c r="F22" s="3885"/>
      <c r="G22" s="3885"/>
      <c r="H22" s="3885"/>
      <c r="I22" s="3885"/>
      <c r="J22" s="3885"/>
      <c r="K22" s="3885"/>
      <c r="L22" s="3885"/>
      <c r="M22" s="3885"/>
      <c r="N22" s="3885"/>
      <c r="O22" s="3885"/>
      <c r="P22" s="3885"/>
      <c r="Q22" s="3886"/>
      <c r="R22" s="488">
        <f>ROUND(S22*10000/B22,0)</f>
        <v>16049</v>
      </c>
      <c r="S22" s="53">
        <f>SUM(S24:S10000)</f>
        <v>143059</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'数据-基础表'!M13/4</f>
        <v>18138</v>
      </c>
      <c r="C24" s="955">
        <v>1</v>
      </c>
      <c r="D24" s="3539" t="s">
        <v>3474</v>
      </c>
      <c r="E24" s="955">
        <v>1</v>
      </c>
      <c r="F24" s="956"/>
      <c r="G24" s="955">
        <v>1</v>
      </c>
      <c r="H24" s="956"/>
      <c r="I24" s="955">
        <v>1</v>
      </c>
      <c r="J24" s="956"/>
      <c r="K24" s="955">
        <v>1</v>
      </c>
      <c r="L24" s="956"/>
      <c r="M24" s="955">
        <v>1</v>
      </c>
      <c r="N24" s="956"/>
      <c r="O24" s="955">
        <v>1</v>
      </c>
      <c r="P24" s="956">
        <v>1</v>
      </c>
      <c r="Q24" s="955">
        <v>1</v>
      </c>
      <c r="R24" s="957">
        <f>'不动产比较法-商业'!B3</f>
        <v>26534</v>
      </c>
      <c r="S24" s="955">
        <f t="shared" ref="S24:S54" si="11">ROUND(R24*B24/10000,0)</f>
        <v>48127</v>
      </c>
      <c r="T24" s="1965">
        <f>S24+S25+S26+S27+S29</f>
        <v>140835</v>
      </c>
      <c r="U24" s="1965">
        <f>B24+B25+B26+B27+B29</f>
        <v>88331</v>
      </c>
      <c r="V24" s="1965">
        <f>ROUND(T24/U24*10000,0)</f>
        <v>15944</v>
      </c>
      <c r="W24" s="1965"/>
      <c r="X24" s="1965"/>
      <c r="Y24" s="1965"/>
      <c r="Z24" s="1965"/>
      <c r="AA24" s="1965"/>
      <c r="AB24" s="1965"/>
      <c r="AC24" s="1965"/>
      <c r="AD24" s="1965"/>
      <c r="AE24" s="1965"/>
      <c r="AF24" s="1965"/>
      <c r="AG24" s="1965"/>
      <c r="AH24" s="1965"/>
      <c r="AI24" s="1965"/>
    </row>
    <row r="25" spans="1:45">
      <c r="A25" s="958" t="s">
        <v>3388</v>
      </c>
      <c r="B25" s="137">
        <f>B24</f>
        <v>18138</v>
      </c>
      <c r="C25" s="53">
        <f>IF(B25="",1,(LOOKUP(B25,$3:$3,$4:$4)-LOOKUP($B$24,$3:$3,$4:$4)+100)/100)</f>
        <v>1</v>
      </c>
      <c r="D25" s="3539" t="s">
        <v>3474</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15920</v>
      </c>
      <c r="S25" s="796">
        <f t="shared" si="11"/>
        <v>28876</v>
      </c>
    </row>
    <row r="26" spans="1:45">
      <c r="A26" s="958" t="s">
        <v>3389</v>
      </c>
      <c r="B26" s="137">
        <f>B24</f>
        <v>18138</v>
      </c>
      <c r="C26" s="53">
        <f t="shared" ref="C26:C89" si="12">IF(B26="",1,(LOOKUP(B26,$3:$3,$4:$4)-LOOKUP($B$24,$3:$3,$4:$4)+100)/100)</f>
        <v>1</v>
      </c>
      <c r="D26" s="3539" t="s">
        <v>3474</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13267</v>
      </c>
      <c r="S26" s="796">
        <f t="shared" si="11"/>
        <v>24064</v>
      </c>
    </row>
    <row r="27" spans="1:45">
      <c r="A27" s="958" t="s">
        <v>3390</v>
      </c>
      <c r="B27" s="137">
        <f>B24</f>
        <v>18138</v>
      </c>
      <c r="C27" s="53">
        <f t="shared" si="12"/>
        <v>1</v>
      </c>
      <c r="D27" s="3539" t="s">
        <v>3474</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10614</v>
      </c>
      <c r="S27" s="796">
        <f t="shared" si="11"/>
        <v>19252</v>
      </c>
    </row>
    <row r="28" spans="1:45">
      <c r="A28" s="3534" t="s">
        <v>3459</v>
      </c>
      <c r="B28" s="137">
        <f>'数据-基础表'!I13</f>
        <v>807</v>
      </c>
      <c r="C28" s="53">
        <f t="shared" si="12"/>
        <v>1.06</v>
      </c>
      <c r="D28" s="3539" t="s">
        <v>3472</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27564</v>
      </c>
      <c r="S28" s="796">
        <f t="shared" si="11"/>
        <v>2224</v>
      </c>
    </row>
    <row r="29" spans="1:45">
      <c r="A29" s="3535" t="s">
        <v>3460</v>
      </c>
      <c r="B29" s="137">
        <f>'数据-基础表'!Q17</f>
        <v>15779</v>
      </c>
      <c r="C29" s="53">
        <f t="shared" si="12"/>
        <v>1</v>
      </c>
      <c r="D29" s="3539" t="s">
        <v>3472</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13002</v>
      </c>
      <c r="S29" s="796">
        <f t="shared" si="11"/>
        <v>20516</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1" customWidth="1"/>
    <col min="2" max="2" width="9" style="1771"/>
    <col min="3" max="4" width="9.6640625" style="1771" customWidth="1"/>
    <col min="5" max="16384" width="9" style="1771"/>
  </cols>
  <sheetData>
    <row r="1" spans="1:4" ht="22.2">
      <c r="A1" s="1770" t="s">
        <v>1903</v>
      </c>
    </row>
    <row r="2" spans="1:4">
      <c r="A2" s="1772"/>
    </row>
    <row r="3" spans="1:4" ht="17.399999999999999">
      <c r="A3" s="1790" t="str">
        <f>项目基本情况!B5&amp;"："</f>
        <v>：</v>
      </c>
    </row>
    <row r="4" spans="1:4" ht="34.799999999999997">
      <c r="A4" s="1784" t="str">
        <f>"受贵公司委托，我公司对"&amp;项目基本情况!K2&amp;项目基本情况!B9&amp;"进行了预评估。"</f>
        <v>受贵公司委托，我公司对出让国有建设用地使用权抵押价格进行了预评估。</v>
      </c>
    </row>
    <row r="5" spans="1:4" ht="17.399999999999999">
      <c r="A5" s="1787" t="s">
        <v>1904</v>
      </c>
    </row>
    <row r="6" spans="1:4" ht="69.599999999999994">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2.2">
      <c r="A7" s="1788" t="s">
        <v>2751</v>
      </c>
    </row>
    <row r="8" spans="1:4" ht="17.399999999999999">
      <c r="A8" s="1787" t="s">
        <v>1905</v>
      </c>
    </row>
    <row r="9" spans="1:4" ht="69.599999999999994">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0" t="s">
        <v>2027</v>
      </c>
    </row>
    <row r="11" spans="1:4" ht="17.399999999999999">
      <c r="A11" s="1773" t="str">
        <f>TEXT(项目基本情况!D3,"yyyy年m月d日;;")&amp;IF(项目基本情况!B3=项目基本情况!D3,"（评估专业人员勘察现场之日）","")</f>
        <v>2020年4月3日</v>
      </c>
    </row>
    <row r="12" spans="1:4" ht="17.399999999999999">
      <c r="A12" s="1790" t="s">
        <v>2026</v>
      </c>
    </row>
    <row r="13" spans="1:4" ht="17.399999999999999">
      <c r="A13" s="1784" t="s">
        <v>2943</v>
      </c>
    </row>
    <row r="14" spans="1:4" ht="17.399999999999999">
      <c r="A14" s="1784" t="str">
        <f>"根据"&amp;项目基本情况!F12&amp;"，本次评估估价对象证载（地类）用途为"&amp;项目基本情况!B12&amp;"。"</f>
        <v>根据《国有土地使用证》[]，本次评估估价对象证载（地类）用途为。</v>
      </c>
      <c r="C14" s="1774"/>
      <c r="D14" s="1775"/>
    </row>
    <row r="15" spans="1:4" ht="17.399999999999999">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7.399999999999999">
      <c r="A16" s="1784" t="s">
        <v>2073</v>
      </c>
    </row>
    <row r="17" spans="1:1" ht="52.2">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4" t="s">
        <v>2074</v>
      </c>
    </row>
    <row r="20" spans="1:1" ht="52.2">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7.399999999999999">
      <c r="A21" s="1784" t="s">
        <v>2075</v>
      </c>
    </row>
    <row r="22" spans="1:1" ht="69.599999999999994">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7.399999999999999">
      <c r="A23" s="1784" t="str">
        <f>IF(项目基本情况!B16="出让","本次评估设定估价对象剩余土地使用年限为"&amp;项目基本情况!D20&amp;"。","")</f>
        <v>本次评估设定估价对象剩余土地使用年限为。</v>
      </c>
    </row>
    <row r="24" spans="1:1" ht="17.399999999999999">
      <c r="A24" s="1784" t="s">
        <v>2076</v>
      </c>
    </row>
    <row r="25" spans="1:1" ht="87">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52.2">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4" t="str">
        <f>IF(项目基本情况!B9="市场价格","——",IF(项目基本情况!E9="——","",定义!C57))</f>
        <v/>
      </c>
    </row>
    <row r="29" spans="1:1" ht="17.399999999999999">
      <c r="A29" s="1790" t="s">
        <v>2028</v>
      </c>
    </row>
    <row r="30" spans="1:1" ht="69.599999999999994">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7.399999999999999">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ColWidth="9" defaultRowHeight="13.2"/>
  <cols>
    <col min="1" max="1" width="11.44140625" style="1243" customWidth="1"/>
    <col min="2" max="2" width="9.2187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87" t="s">
        <v>2305</v>
      </c>
      <c r="D1" s="3888"/>
      <c r="E1" s="3888"/>
      <c r="F1" s="3888"/>
      <c r="G1" s="3888"/>
      <c r="H1" s="3888"/>
      <c r="I1" s="3888"/>
      <c r="J1" s="3888"/>
      <c r="K1" s="3888"/>
      <c r="L1" s="3888"/>
      <c r="M1" s="3888"/>
      <c r="N1" s="3888"/>
      <c r="O1" s="3888"/>
      <c r="P1" s="3888"/>
      <c r="Q1" s="3888"/>
      <c r="R1" s="3888"/>
      <c r="S1" s="3889"/>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66">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8"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3393</v>
      </c>
      <c r="C5" s="3537" t="s">
        <v>3394</v>
      </c>
      <c r="D5" s="3538" t="s">
        <v>3395</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8"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8"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8"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8"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8"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8"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8"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6">
      <c r="A20" s="953" t="s">
        <v>829</v>
      </c>
      <c r="B20" s="772">
        <f>S22</f>
        <v>184193</v>
      </c>
      <c r="C20" s="1982"/>
      <c r="D20" s="1982"/>
      <c r="E20" s="1982"/>
      <c r="F20" s="1982"/>
      <c r="G20" s="1982"/>
      <c r="H20" s="1982"/>
      <c r="I20" s="1982"/>
      <c r="J20" s="1982"/>
      <c r="K20" s="1982"/>
      <c r="L20" s="1982"/>
      <c r="M20" s="1982"/>
      <c r="N20" s="1982"/>
      <c r="O20" s="1982"/>
      <c r="P20" s="1982"/>
      <c r="Q20" s="1982"/>
      <c r="R20" s="2217"/>
      <c r="S20" s="2020"/>
    </row>
    <row r="21" spans="1:45" ht="15.6">
      <c r="A21" s="953" t="s">
        <v>830</v>
      </c>
      <c r="B21" s="772">
        <f>R22</f>
        <v>17819</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84" t="s">
        <v>20</v>
      </c>
      <c r="D22" s="3885"/>
      <c r="E22" s="3885"/>
      <c r="F22" s="3885"/>
      <c r="G22" s="3885"/>
      <c r="H22" s="3885"/>
      <c r="I22" s="3885"/>
      <c r="J22" s="3885"/>
      <c r="K22" s="3885"/>
      <c r="L22" s="3885"/>
      <c r="M22" s="3885"/>
      <c r="N22" s="3885"/>
      <c r="O22" s="3885"/>
      <c r="P22" s="3885"/>
      <c r="Q22" s="3886"/>
      <c r="R22" s="488">
        <f>ROUND(S22*10000/B22,0)</f>
        <v>17819</v>
      </c>
      <c r="S22" s="53">
        <f>SUM(S24:S10000)</f>
        <v>184193</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面积!B20</f>
        <v>30731.75</v>
      </c>
      <c r="C24" s="955">
        <v>1</v>
      </c>
      <c r="D24" s="3539" t="s">
        <v>3396</v>
      </c>
      <c r="E24" s="955">
        <v>1</v>
      </c>
      <c r="F24" s="956"/>
      <c r="G24" s="955">
        <v>1</v>
      </c>
      <c r="H24" s="956"/>
      <c r="I24" s="955">
        <v>1</v>
      </c>
      <c r="J24" s="956"/>
      <c r="K24" s="955">
        <v>1</v>
      </c>
      <c r="L24" s="956"/>
      <c r="M24" s="955">
        <v>1</v>
      </c>
      <c r="N24" s="956"/>
      <c r="O24" s="955">
        <v>1</v>
      </c>
      <c r="P24" s="956">
        <v>1</v>
      </c>
      <c r="Q24" s="955">
        <v>1</v>
      </c>
      <c r="R24" s="957">
        <f>'不动产比较法-商业'!B3</f>
        <v>26534</v>
      </c>
      <c r="S24" s="955">
        <f t="shared" ref="S24:S87" si="5">ROUND(R24*B24/10000,0)</f>
        <v>81544</v>
      </c>
      <c r="T24" s="1965"/>
      <c r="U24" s="1965"/>
      <c r="V24" s="1965"/>
      <c r="W24" s="1965"/>
      <c r="X24" s="1965"/>
      <c r="Y24" s="1965"/>
      <c r="Z24" s="1965"/>
      <c r="AA24" s="1965"/>
      <c r="AB24" s="1965"/>
      <c r="AC24" s="1965"/>
      <c r="AD24" s="1965"/>
      <c r="AE24" s="1965"/>
      <c r="AF24" s="1965"/>
      <c r="AG24" s="1965"/>
      <c r="AH24" s="1965"/>
      <c r="AI24" s="1965"/>
    </row>
    <row r="25" spans="1:45">
      <c r="A25" s="958" t="s">
        <v>3388</v>
      </c>
      <c r="B25" s="137">
        <f>面积!C20</f>
        <v>30419.75</v>
      </c>
      <c r="C25" s="53">
        <f>IF(B25="",1,(LOOKUP(B25,$3:$3,$4:$4)-LOOKUP($B$24,$3:$3,$4:$4)+100)/100)</f>
        <v>1</v>
      </c>
      <c r="D25" s="3539" t="s">
        <v>3396</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15920</v>
      </c>
      <c r="S25" s="796">
        <f t="shared" si="5"/>
        <v>48428</v>
      </c>
    </row>
    <row r="26" spans="1:45">
      <c r="A26" s="958" t="s">
        <v>3389</v>
      </c>
      <c r="B26" s="137">
        <f>面积!D20</f>
        <v>19094.25</v>
      </c>
      <c r="C26" s="53">
        <f t="shared" ref="C26:C89" si="6">IF(B26="",1,(LOOKUP(B26,$3:$3,$4:$4)-LOOKUP($B$24,$3:$3,$4:$4)+100)/100)</f>
        <v>1.04</v>
      </c>
      <c r="D26" s="3539" t="s">
        <v>3394</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13798</v>
      </c>
      <c r="S26" s="796">
        <f t="shared" si="5"/>
        <v>26346</v>
      </c>
    </row>
    <row r="27" spans="1:45">
      <c r="A27" s="958" t="s">
        <v>3390</v>
      </c>
      <c r="B27" s="137">
        <f>面积!E20</f>
        <v>19094.25</v>
      </c>
      <c r="C27" s="53">
        <f t="shared" si="6"/>
        <v>1.04</v>
      </c>
      <c r="D27" s="3539" t="s">
        <v>3394</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11038</v>
      </c>
      <c r="S27" s="796">
        <f t="shared" si="5"/>
        <v>21076</v>
      </c>
    </row>
    <row r="28" spans="1:45">
      <c r="A28" s="3534" t="s">
        <v>3391</v>
      </c>
      <c r="B28" s="137">
        <f>面积!B21</f>
        <v>4029</v>
      </c>
      <c r="C28" s="53">
        <f t="shared" si="6"/>
        <v>1.06</v>
      </c>
      <c r="D28" s="3539" t="s">
        <v>3395</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16876</v>
      </c>
      <c r="S28" s="796">
        <f t="shared" si="5"/>
        <v>6799</v>
      </c>
    </row>
    <row r="29" spans="1:45">
      <c r="A29" s="3535" t="s">
        <v>3392</v>
      </c>
      <c r="B29" s="137">
        <f>'数据-基础表'!M17</f>
        <v>0</v>
      </c>
      <c r="C29" s="53">
        <f t="shared" si="6"/>
        <v>1.06</v>
      </c>
      <c r="D29" s="3539" t="s">
        <v>3394</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14063</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5" zoomScaleNormal="85" workbookViewId="0">
      <selection activeCell="H32" sqref="H32"/>
    </sheetView>
  </sheetViews>
  <sheetFormatPr defaultColWidth="9" defaultRowHeight="15"/>
  <cols>
    <col min="1" max="1" width="9" style="2052" customWidth="1"/>
    <col min="2" max="2" width="20.6640625" style="2091" customWidth="1"/>
    <col min="3" max="3" width="11.88671875" style="2091" customWidth="1"/>
    <col min="4" max="4" width="40.44140625" style="2052" customWidth="1"/>
    <col min="5" max="5" width="15.77734375" style="2052" customWidth="1"/>
    <col min="6" max="6" width="10.6640625" style="2052" customWidth="1"/>
    <col min="7" max="7" width="4.88671875" style="2052" customWidth="1"/>
    <col min="8" max="8" width="8.44140625" style="2052" customWidth="1"/>
    <col min="9" max="9" width="21.21875" style="2052" customWidth="1"/>
    <col min="10" max="10" width="12.21875" style="2052" customWidth="1"/>
    <col min="11" max="11" width="40.109375" style="2092" customWidth="1"/>
    <col min="12" max="12" width="18.33203125" style="2052" customWidth="1"/>
    <col min="13" max="13" width="13" style="2052" customWidth="1"/>
    <col min="14" max="14" width="9.44140625" style="2051" bestFit="1" customWidth="1"/>
    <col min="15" max="15" width="5.88671875" style="2051" customWidth="1"/>
    <col min="16" max="16" width="27.6640625" style="2051" customWidth="1"/>
    <col min="17" max="17" width="13.77734375" style="2089" customWidth="1"/>
    <col min="18" max="18" width="23.44140625" style="2051" customWidth="1"/>
    <col min="19" max="19" width="1.44140625" style="2051" customWidth="1"/>
    <col min="20" max="33" width="9" style="2051"/>
    <col min="34" max="16384" width="9" style="2052"/>
  </cols>
  <sheetData>
    <row r="1" spans="1:33" s="2046" customFormat="1" ht="21.6">
      <c r="A1" s="829" t="s">
        <v>1724</v>
      </c>
      <c r="B1" s="735"/>
      <c r="C1" s="770" t="s">
        <v>3457</v>
      </c>
      <c r="D1" s="3144" t="s">
        <v>3297</v>
      </c>
      <c r="E1" s="2403" t="s">
        <v>2376</v>
      </c>
      <c r="F1" s="2404">
        <f ca="1">J53</f>
        <v>37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22981</v>
      </c>
      <c r="C2" s="2049"/>
      <c r="D2" s="2047"/>
      <c r="E2" s="2048"/>
      <c r="F2" s="2048"/>
      <c r="G2" s="1582"/>
      <c r="H2" s="2049"/>
      <c r="I2" s="2049"/>
      <c r="J2" s="2049"/>
      <c r="K2" s="2050"/>
      <c r="L2" s="2049"/>
      <c r="M2" s="2049"/>
    </row>
    <row r="3" spans="1:33" ht="18" customHeight="1" thickBot="1">
      <c r="A3" s="830" t="s">
        <v>1726</v>
      </c>
      <c r="B3" s="831">
        <f ca="1">IF(ISERROR(B2*10000/F43),0,ROUND(B2*10000/F43,0))</f>
        <v>2345</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1824</v>
      </c>
      <c r="D5" s="2512" t="s">
        <v>2464</v>
      </c>
      <c r="E5" s="2506"/>
      <c r="F5" s="2507"/>
      <c r="G5" s="1584"/>
      <c r="H5" s="778">
        <v>1</v>
      </c>
      <c r="I5" s="779" t="s">
        <v>2461</v>
      </c>
      <c r="J5" s="55">
        <f ca="1">J6+J10+J12</f>
        <v>0</v>
      </c>
      <c r="K5" s="2512" t="s">
        <v>2464</v>
      </c>
      <c r="L5" s="2506"/>
      <c r="M5" s="2507"/>
    </row>
    <row r="6" spans="1:33" ht="18" customHeight="1">
      <c r="A6" s="1823" t="s">
        <v>1823</v>
      </c>
      <c r="B6" s="3838" t="s">
        <v>2466</v>
      </c>
      <c r="C6" s="780">
        <f ca="1">ROUND(F6*F8*F7*(1-F9)/10000,0)</f>
        <v>1824</v>
      </c>
      <c r="D6" s="2513" t="s">
        <v>2465</v>
      </c>
      <c r="E6" s="781" t="s">
        <v>1737</v>
      </c>
      <c r="F6" s="782">
        <f ca="1">INDIRECT("'数据-取费表'!u"&amp;$G$1)</f>
        <v>0.6</v>
      </c>
      <c r="G6" s="1584"/>
      <c r="H6" s="2520" t="s">
        <v>2472</v>
      </c>
      <c r="I6" s="3838" t="s">
        <v>2466</v>
      </c>
      <c r="J6" s="780">
        <f ca="1">ROUND(M6*M8*M7*(1-M9)/10000,0)</f>
        <v>0</v>
      </c>
      <c r="K6" s="339" t="s">
        <v>1736</v>
      </c>
      <c r="L6" s="781" t="s">
        <v>1737</v>
      </c>
      <c r="M6" s="782">
        <f ca="1">INDIRECT("'数据-取费表'!z"&amp;$G$1)</f>
        <v>0</v>
      </c>
    </row>
    <row r="7" spans="1:33" ht="18" customHeight="1">
      <c r="A7" s="2516"/>
      <c r="B7" s="3839"/>
      <c r="C7" s="785"/>
      <c r="D7" s="786"/>
      <c r="E7" s="781" t="s">
        <v>1738</v>
      </c>
      <c r="F7" s="782">
        <f ca="1">IF(INDIRECT("'数据-取费表'!ah"&amp;$G$1)="",INDIRECT("'数据-取费表'!k"&amp;$G$1),INDIRECT("'数据-取费表'!ah"&amp;$G$1))</f>
        <v>97995</v>
      </c>
      <c r="G7" s="1584"/>
      <c r="H7" s="2505"/>
      <c r="I7" s="3839"/>
      <c r="J7" s="785"/>
      <c r="K7" s="786"/>
      <c r="L7" s="781" t="s">
        <v>1738</v>
      </c>
      <c r="M7" s="782">
        <f ca="1">F7</f>
        <v>97995</v>
      </c>
    </row>
    <row r="8" spans="1:33" ht="18" customHeight="1">
      <c r="A8" s="2509"/>
      <c r="B8" s="3840"/>
      <c r="C8" s="785"/>
      <c r="D8" s="786"/>
      <c r="E8" s="781" t="s">
        <v>1739</v>
      </c>
      <c r="F8" s="782">
        <f ca="1">INDIRECT("'数据-取费表'!ai"&amp;$G$1)</f>
        <v>365</v>
      </c>
      <c r="G8" s="1584"/>
      <c r="H8" s="2505"/>
      <c r="I8" s="3840"/>
      <c r="J8" s="785"/>
      <c r="K8" s="786"/>
      <c r="L8" s="781" t="s">
        <v>1739</v>
      </c>
      <c r="M8" s="782">
        <f ca="1">INDIRECT("'数据-取费表'!ai"&amp;$G$1)</f>
        <v>365</v>
      </c>
    </row>
    <row r="9" spans="1:33" ht="18" customHeight="1">
      <c r="A9" s="783"/>
      <c r="B9" s="3841"/>
      <c r="C9" s="785"/>
      <c r="D9" s="786"/>
      <c r="E9" s="781" t="s">
        <v>1740</v>
      </c>
      <c r="F9" s="791">
        <f ca="1">INDIRECT("'数据-取费表'!w"&amp;$G$1)</f>
        <v>0.15</v>
      </c>
      <c r="G9" s="1584"/>
      <c r="H9" s="2521"/>
      <c r="I9" s="3840"/>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3432</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34907</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25511</v>
      </c>
      <c r="D14" s="1971" t="s">
        <v>1744</v>
      </c>
      <c r="E14" s="1972"/>
      <c r="F14" s="802"/>
      <c r="G14" s="1584"/>
      <c r="H14" s="1641" t="s">
        <v>1829</v>
      </c>
      <c r="I14" s="2223" t="s">
        <v>2830</v>
      </c>
      <c r="J14" s="53">
        <f ca="1">C29</f>
        <v>34907</v>
      </c>
      <c r="K14" s="26"/>
      <c r="L14" s="798"/>
      <c r="M14" s="799"/>
    </row>
    <row r="15" spans="1:33" s="2056" customFormat="1" ht="18" customHeight="1" thickBot="1">
      <c r="A15" s="1640" t="s">
        <v>1884</v>
      </c>
      <c r="B15" s="781" t="s">
        <v>648</v>
      </c>
      <c r="C15" s="53">
        <f ca="1">ROUND(C14*F15,0)</f>
        <v>765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3303</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2954</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383</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28190</v>
      </c>
      <c r="D19" s="259" t="s">
        <v>1756</v>
      </c>
      <c r="E19" s="1974"/>
      <c r="F19" s="56"/>
      <c r="G19" s="1584"/>
      <c r="H19" s="1640" t="s">
        <v>1884</v>
      </c>
      <c r="I19" s="781" t="s">
        <v>1757</v>
      </c>
      <c r="J19" s="53">
        <f ca="1">IF(K19="按租金收入计税",ROUND(J5*M19,1),ROUND(C29*F33*0.7,1))</f>
        <v>2932.2</v>
      </c>
      <c r="K19" s="808" t="s">
        <v>666</v>
      </c>
      <c r="L19" s="781" t="s">
        <v>1746</v>
      </c>
      <c r="M19" s="806">
        <f>IF(K19="按租金收入计税",'数据-取费表'!B51,'数据-取费表'!B50)</f>
        <v>1.2E-2</v>
      </c>
    </row>
    <row r="20" spans="1:33" s="2056" customFormat="1" ht="18" customHeight="1">
      <c r="A20" s="1641" t="s">
        <v>1888</v>
      </c>
      <c r="B20" s="781" t="s">
        <v>667</v>
      </c>
      <c r="C20" s="53">
        <f ca="1">ROUND(C19*F20,0)</f>
        <v>564</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349</v>
      </c>
      <c r="K22" s="2500" t="s">
        <v>1768</v>
      </c>
      <c r="L22" s="781" t="s">
        <v>1746</v>
      </c>
      <c r="M22" s="814">
        <f ca="1">INDIRECT("'数据-取费表'!Ak"&amp;$G$1)</f>
        <v>0.01</v>
      </c>
    </row>
    <row r="23" spans="1:33" s="2056" customFormat="1" ht="18" customHeight="1">
      <c r="A23" s="1640" t="s">
        <v>1830</v>
      </c>
      <c r="B23" s="781" t="s">
        <v>2539</v>
      </c>
      <c r="C23" s="53">
        <f ca="1">ROUND(IF('数据-取费表'!B22&lt;=1,(C19+C20)*F24*F23/2,(C19+C20)*(POWER((1+F24),F23/2)-1)),0)</f>
        <v>2073</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-3303</v>
      </c>
      <c r="K25" s="2564" t="s">
        <v>1776</v>
      </c>
      <c r="L25" s="2565"/>
      <c r="M25" s="2566"/>
    </row>
    <row r="26" spans="1:33" ht="18" customHeight="1">
      <c r="A26" s="1640" t="s">
        <v>1830</v>
      </c>
      <c r="B26" s="781" t="s">
        <v>2440</v>
      </c>
      <c r="C26" s="53">
        <f ca="1">ROUND((C19+C20)*F26,0)</f>
        <v>1438</v>
      </c>
      <c r="D26" s="809" t="s">
        <v>1777</v>
      </c>
      <c r="E26" s="792" t="s">
        <v>1778</v>
      </c>
      <c r="F26" s="791">
        <f ca="1">INDIRECT("'数据-取费表'!q"&amp;$G$1)</f>
        <v>0.05</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34907</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776</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338.4</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97.3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218.9</v>
      </c>
      <c r="D33" s="808" t="s">
        <v>3473</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2967</v>
      </c>
      <c r="K35" s="2070"/>
      <c r="L35" s="2069"/>
      <c r="M35" s="2069"/>
    </row>
    <row r="36" spans="1:18" ht="18" customHeight="1">
      <c r="A36" s="1641" t="s">
        <v>1888</v>
      </c>
      <c r="B36" s="781" t="s">
        <v>1801</v>
      </c>
      <c r="C36" s="53">
        <f ca="1">ROUND(C29*F36,1)</f>
        <v>349.1</v>
      </c>
      <c r="D36" s="1969" t="s">
        <v>1802</v>
      </c>
      <c r="E36" s="781" t="s">
        <v>1795</v>
      </c>
      <c r="F36" s="814">
        <f ca="1">INDIRECT("'数据-取费表'!Ak"&amp;$G$1)</f>
        <v>0.01</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52.4</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36.5</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1048</v>
      </c>
      <c r="D39" s="2564" t="s">
        <v>1805</v>
      </c>
      <c r="E39" s="2565"/>
      <c r="F39" s="2566"/>
      <c r="G39" s="2054"/>
      <c r="H39" s="2069"/>
      <c r="I39" s="834" t="s">
        <v>1817</v>
      </c>
      <c r="J39" s="842">
        <f ca="1">ROUND(J35/C39,3)</f>
        <v>2.831</v>
      </c>
      <c r="K39" s="2075"/>
      <c r="L39" s="2069"/>
      <c r="M39" s="2069"/>
    </row>
    <row r="40" spans="1:18" ht="18" customHeight="1">
      <c r="A40" s="778" t="s">
        <v>1894</v>
      </c>
      <c r="B40" s="2224" t="s">
        <v>2302</v>
      </c>
      <c r="C40" s="780">
        <f ca="1">ROUND(C39*(1-((1+F42)/(1+F40))^F41)/(F40-F42),0)</f>
        <v>22981</v>
      </c>
      <c r="D40" s="811" t="s">
        <v>1806</v>
      </c>
      <c r="E40" s="781" t="s">
        <v>2421</v>
      </c>
      <c r="F40" s="791">
        <f ca="1">INDIRECT("'数据-取费表'!I"&amp;$G$1)</f>
        <v>0.05</v>
      </c>
      <c r="G40" s="2054"/>
      <c r="H40" s="2054"/>
      <c r="I40" s="834" t="s">
        <v>1818</v>
      </c>
      <c r="J40" s="842">
        <f ca="1">1-J39</f>
        <v>-1.831</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37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1.5189999999999999</v>
      </c>
      <c r="K42" s="2074"/>
      <c r="L42" s="1980"/>
      <c r="M42" s="1980"/>
    </row>
    <row r="43" spans="1:18" ht="18" customHeight="1" thickBot="1">
      <c r="A43" s="820" t="s">
        <v>1786</v>
      </c>
      <c r="B43" s="821" t="s">
        <v>1809</v>
      </c>
      <c r="C43" s="822">
        <f ca="1">ROUND(C40*10000/F43,0)</f>
        <v>2345</v>
      </c>
      <c r="D43" s="823" t="s">
        <v>1810</v>
      </c>
      <c r="E43" s="824" t="s">
        <v>1811</v>
      </c>
      <c r="F43" s="825">
        <f ca="1">INDIRECT("'数据-取费表'!k"&amp;$G$1)</f>
        <v>97995</v>
      </c>
      <c r="G43" s="2054"/>
      <c r="H43" s="1980"/>
      <c r="I43" s="844" t="s">
        <v>1821</v>
      </c>
      <c r="J43" s="845">
        <f ca="1">1-J42</f>
        <v>-0.51899999999999991</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-30067</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40</v>
      </c>
      <c r="O48" s="2414" t="s">
        <v>2381</v>
      </c>
      <c r="P48" s="2415" t="s">
        <v>2407</v>
      </c>
      <c r="Q48" s="2416">
        <f ca="1">C40+J29</f>
        <v>22981</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34907</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-35314</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37</v>
      </c>
      <c r="K53" s="3890" t="s">
        <v>2969</v>
      </c>
      <c r="L53" s="3891"/>
      <c r="O53" s="2417" t="s">
        <v>2390</v>
      </c>
      <c r="P53" s="2415" t="s">
        <v>2391</v>
      </c>
      <c r="Q53" s="2416">
        <f ca="1">J53</f>
        <v>37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22981</v>
      </c>
      <c r="R54" s="2419" t="s">
        <v>2394</v>
      </c>
    </row>
    <row r="55" spans="1:18" s="2051" customFormat="1" ht="18" customHeight="1" thickTop="1" thickBot="1">
      <c r="A55" s="794">
        <v>2</v>
      </c>
      <c r="B55" s="795" t="s">
        <v>645</v>
      </c>
      <c r="C55" s="796">
        <f ca="1">C13</f>
        <v>34907</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34907</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424</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22981</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6.2"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6.2" thickBot="1">
      <c r="A63" s="1641" t="s">
        <v>1888</v>
      </c>
      <c r="B63" s="781" t="s">
        <v>677</v>
      </c>
      <c r="C63" s="53">
        <f ca="1">ROUND(C56*F63,1)</f>
        <v>349.1</v>
      </c>
      <c r="D63" s="2656" t="s">
        <v>1802</v>
      </c>
      <c r="E63" s="781" t="s">
        <v>1746</v>
      </c>
      <c r="F63" s="814">
        <f t="shared" ca="1" si="0"/>
        <v>0.01</v>
      </c>
      <c r="I63" s="2401" t="s">
        <v>2372</v>
      </c>
      <c r="J63" s="2402">
        <v>70</v>
      </c>
      <c r="K63" s="2402">
        <v>50</v>
      </c>
      <c r="L63" s="2402">
        <v>80</v>
      </c>
      <c r="M63" s="3118">
        <v>0.02</v>
      </c>
      <c r="O63" s="2414" t="s">
        <v>2393</v>
      </c>
      <c r="P63" s="2415" t="s">
        <v>2410</v>
      </c>
      <c r="Q63" s="2416">
        <f ca="1">Q57+Q58</f>
        <v>22981</v>
      </c>
      <c r="R63" s="2419" t="s">
        <v>2394</v>
      </c>
    </row>
    <row r="64" spans="1:18" s="2051" customFormat="1" ht="16.2" thickBot="1">
      <c r="A64" s="1641" t="s">
        <v>1889</v>
      </c>
      <c r="B64" s="781" t="s">
        <v>680</v>
      </c>
      <c r="C64" s="53">
        <f ca="1">ROUND(C55*F64,1)</f>
        <v>52.4</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6.2"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6" thickBot="1">
      <c r="A66" s="794" t="s">
        <v>1775</v>
      </c>
      <c r="B66" s="3027" t="s">
        <v>2826</v>
      </c>
      <c r="C66" s="796">
        <f ca="1">C47-C57</f>
        <v>-424</v>
      </c>
      <c r="D66" s="2655" t="s">
        <v>701</v>
      </c>
      <c r="E66" s="2654"/>
      <c r="F66" s="817"/>
      <c r="K66" s="2078"/>
      <c r="O66" s="2414" t="s">
        <v>2381</v>
      </c>
      <c r="P66" s="2415" t="s">
        <v>2411</v>
      </c>
      <c r="Q66" s="2416">
        <f ca="1">C40+J29</f>
        <v>22981</v>
      </c>
      <c r="R66" s="2415" t="s">
        <v>2382</v>
      </c>
    </row>
    <row r="67" spans="1:18" s="2051" customFormat="1" ht="19.2" thickBot="1">
      <c r="A67" s="778" t="s">
        <v>1779</v>
      </c>
      <c r="B67" s="2224" t="s">
        <v>2302</v>
      </c>
      <c r="C67" s="780">
        <f ca="1">ROUND(C66*(1-((1+F69)/(1+F67))^F68)/(F67-F69),0)</f>
        <v>-7086</v>
      </c>
      <c r="D67" s="811" t="s">
        <v>705</v>
      </c>
      <c r="E67" s="781" t="s">
        <v>706</v>
      </c>
      <c r="F67" s="791">
        <f ca="1">F40</f>
        <v>0.05</v>
      </c>
      <c r="K67" s="2078"/>
      <c r="O67" s="2414" t="s">
        <v>2383</v>
      </c>
      <c r="P67" s="2415" t="s">
        <v>2414</v>
      </c>
      <c r="Q67" s="2416">
        <f ca="1">L60</f>
        <v>0</v>
      </c>
      <c r="R67" s="2419" t="s">
        <v>2416</v>
      </c>
    </row>
    <row r="68" spans="1:18" ht="20.399999999999999" thickBot="1">
      <c r="A68" s="783"/>
      <c r="B68" s="784"/>
      <c r="C68" s="785"/>
      <c r="D68" s="818" t="s">
        <v>1807</v>
      </c>
      <c r="E68" s="781" t="s">
        <v>1783</v>
      </c>
      <c r="F68" s="819">
        <f ca="1">F41</f>
        <v>37</v>
      </c>
      <c r="O68" s="2417" t="s">
        <v>2385</v>
      </c>
      <c r="P68" s="2415" t="s">
        <v>2415</v>
      </c>
      <c r="Q68" s="2421">
        <f ca="1">L51</f>
        <v>-35314</v>
      </c>
      <c r="R68" s="2422" t="s">
        <v>2418</v>
      </c>
    </row>
    <row r="69" spans="1:18" ht="19.2" thickBot="1">
      <c r="A69" s="787"/>
      <c r="B69" s="788"/>
      <c r="C69" s="789"/>
      <c r="D69" s="813"/>
      <c r="E69" s="781" t="s">
        <v>711</v>
      </c>
      <c r="F69" s="2363"/>
      <c r="O69" s="2417" t="s">
        <v>2386</v>
      </c>
      <c r="P69" s="2423" t="s">
        <v>2400</v>
      </c>
      <c r="Q69" s="2416">
        <f ca="1">ROUND(Q70-Q71*Q72,0)</f>
        <v>-1919</v>
      </c>
      <c r="R69" s="2419"/>
    </row>
    <row r="70" spans="1:18" ht="16.2" thickBot="1">
      <c r="A70" s="820" t="s">
        <v>1786</v>
      </c>
      <c r="B70" s="821" t="s">
        <v>1809</v>
      </c>
      <c r="C70" s="822">
        <f ca="1">ROUND(C67*10000/F70,0)</f>
        <v>-723</v>
      </c>
      <c r="D70" s="823" t="s">
        <v>1810</v>
      </c>
      <c r="E70" s="824" t="s">
        <v>1811</v>
      </c>
      <c r="F70" s="825">
        <f ca="1">F43</f>
        <v>97995</v>
      </c>
      <c r="O70" s="2417" t="s">
        <v>2401</v>
      </c>
      <c r="P70" s="2423" t="s">
        <v>2402</v>
      </c>
      <c r="Q70" s="2416">
        <f ca="1">C39</f>
        <v>1048</v>
      </c>
      <c r="R70" s="2415" t="s">
        <v>2382</v>
      </c>
    </row>
    <row r="71" spans="1:18" ht="16.2" thickBot="1">
      <c r="O71" s="2417" t="s">
        <v>2403</v>
      </c>
      <c r="P71" s="2423" t="s">
        <v>2404</v>
      </c>
      <c r="Q71" s="2416">
        <f ca="1">C13</f>
        <v>34907</v>
      </c>
      <c r="R71" s="2415" t="s">
        <v>2382</v>
      </c>
    </row>
    <row r="72" spans="1:18" ht="16.2" thickBot="1">
      <c r="O72" s="2417" t="s">
        <v>2405</v>
      </c>
      <c r="P72" s="2423" t="s">
        <v>2406</v>
      </c>
      <c r="Q72" s="2418">
        <f ca="1">J36</f>
        <v>8.5000000000000006E-2</v>
      </c>
      <c r="R72" s="2419"/>
    </row>
    <row r="73" spans="1:18" ht="16.2" thickBot="1">
      <c r="O73" s="2417" t="s">
        <v>2388</v>
      </c>
      <c r="P73" s="2415" t="s">
        <v>2395</v>
      </c>
      <c r="Q73" s="2418">
        <f>L52</f>
        <v>0</v>
      </c>
      <c r="R73" s="2419"/>
    </row>
    <row r="74" spans="1:18" ht="19.2" thickBot="1">
      <c r="O74" s="2417" t="s">
        <v>2390</v>
      </c>
      <c r="P74" s="2415" t="s">
        <v>2396</v>
      </c>
      <c r="Q74" s="2416" t="e">
        <f ca="1">L58</f>
        <v>#DIV/0!</v>
      </c>
      <c r="R74" s="2419" t="s">
        <v>2397</v>
      </c>
    </row>
    <row r="75" spans="1:18" ht="16.2" thickBot="1">
      <c r="O75" s="2417" t="s">
        <v>2419</v>
      </c>
      <c r="P75" s="2415" t="str">
        <f>K59</f>
        <v>建设期及建筑物耐用年限下的土地年期修正系数Kn</v>
      </c>
      <c r="Q75" s="2416" t="e">
        <f ca="1">L59</f>
        <v>#DIV/0!</v>
      </c>
      <c r="R75" s="2419" t="s">
        <v>2399</v>
      </c>
    </row>
    <row r="76" spans="1:18" ht="16.2" thickBot="1">
      <c r="O76" s="2414" t="s">
        <v>2393</v>
      </c>
      <c r="P76" s="2415" t="s">
        <v>2410</v>
      </c>
      <c r="Q76" s="2416">
        <f ca="1">Q66+Q67</f>
        <v>22981</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ColWidth="9" defaultRowHeight="15"/>
  <cols>
    <col min="1" max="1" width="9" style="2052" customWidth="1"/>
    <col min="2" max="2" width="20.6640625" style="2091" customWidth="1"/>
    <col min="3" max="3" width="11.88671875" style="2091" customWidth="1"/>
    <col min="4" max="4" width="40.44140625" style="2052" customWidth="1"/>
    <col min="5" max="5" width="15.77734375" style="2052" customWidth="1"/>
    <col min="6" max="6" width="10.6640625" style="2052" customWidth="1"/>
    <col min="7" max="7" width="4.88671875" style="2052" customWidth="1"/>
    <col min="8" max="8" width="8.44140625" style="2052" customWidth="1"/>
    <col min="9" max="9" width="21.21875" style="2052" customWidth="1"/>
    <col min="10" max="10" width="12.21875" style="2052" customWidth="1"/>
    <col min="11" max="11" width="40.109375" style="2092" customWidth="1"/>
    <col min="12" max="12" width="18.33203125" style="2052" customWidth="1"/>
    <col min="13" max="13" width="13" style="2052" customWidth="1"/>
    <col min="14" max="14" width="9.44140625" style="2051" bestFit="1" customWidth="1"/>
    <col min="15" max="15" width="5.88671875" style="2051" customWidth="1"/>
    <col min="16" max="16" width="27.6640625" style="2051" customWidth="1"/>
    <col min="17" max="17" width="13.77734375" style="2089" customWidth="1"/>
    <col min="18" max="18" width="23.44140625" style="2051" customWidth="1"/>
    <col min="19" max="19" width="1.44140625" style="2051" customWidth="1"/>
    <col min="20" max="33" width="9" style="2051"/>
    <col min="34" max="16384" width="9" style="2052"/>
  </cols>
  <sheetData>
    <row r="1" spans="1:33" s="2046" customFormat="1" ht="21.6">
      <c r="A1" s="829" t="s">
        <v>1724</v>
      </c>
      <c r="B1" s="735"/>
      <c r="C1" s="770" t="s">
        <v>3218</v>
      </c>
      <c r="D1" s="3144" t="s">
        <v>3297</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38" t="s">
        <v>2466</v>
      </c>
      <c r="C6" s="780" t="e">
        <f ca="1">ROUND(F6*F8*F7*(1-F9)/10000,0)</f>
        <v>#N/A</v>
      </c>
      <c r="D6" s="2513" t="s">
        <v>2465</v>
      </c>
      <c r="E6" s="781" t="s">
        <v>1737</v>
      </c>
      <c r="F6" s="782" t="e">
        <f ca="1">INDIRECT("'数据-取费表'!u"&amp;$G$1)</f>
        <v>#N/A</v>
      </c>
      <c r="G6" s="1584"/>
      <c r="H6" s="2520" t="s">
        <v>1823</v>
      </c>
      <c r="I6" s="3838" t="s">
        <v>2466</v>
      </c>
      <c r="J6" s="780" t="e">
        <f ca="1">ROUND(M6*M8*M7*(1-M9)/10000,0)</f>
        <v>#N/A</v>
      </c>
      <c r="K6" s="339" t="s">
        <v>1736</v>
      </c>
      <c r="L6" s="781" t="s">
        <v>1737</v>
      </c>
      <c r="M6" s="782" t="e">
        <f ca="1">INDIRECT("'数据-取费表'!z"&amp;$G$1)</f>
        <v>#N/A</v>
      </c>
    </row>
    <row r="7" spans="1:33" ht="18" customHeight="1">
      <c r="A7" s="2516"/>
      <c r="B7" s="3839"/>
      <c r="C7" s="785"/>
      <c r="D7" s="786"/>
      <c r="E7" s="781" t="s">
        <v>1738</v>
      </c>
      <c r="F7" s="782" t="e">
        <f ca="1">IF(INDIRECT("'数据-取费表'!ah"&amp;$G$1)="",INDIRECT("'数据-取费表'!k"&amp;$G$1),INDIRECT("'数据-取费表'!ah"&amp;$G$1))</f>
        <v>#N/A</v>
      </c>
      <c r="G7" s="1584"/>
      <c r="H7" s="2505"/>
      <c r="I7" s="3839"/>
      <c r="J7" s="785"/>
      <c r="K7" s="786"/>
      <c r="L7" s="781" t="s">
        <v>1738</v>
      </c>
      <c r="M7" s="782" t="e">
        <f ca="1">F7</f>
        <v>#N/A</v>
      </c>
    </row>
    <row r="8" spans="1:33" ht="18" customHeight="1">
      <c r="A8" s="2509"/>
      <c r="B8" s="3840"/>
      <c r="C8" s="785"/>
      <c r="D8" s="786"/>
      <c r="E8" s="781" t="s">
        <v>1739</v>
      </c>
      <c r="F8" s="782" t="e">
        <f ca="1">INDIRECT("'数据-取费表'!ai"&amp;$G$1)</f>
        <v>#N/A</v>
      </c>
      <c r="G8" s="1584"/>
      <c r="H8" s="2505"/>
      <c r="I8" s="3840"/>
      <c r="J8" s="785"/>
      <c r="K8" s="786"/>
      <c r="L8" s="781" t="s">
        <v>1739</v>
      </c>
      <c r="M8" s="782" t="e">
        <f ca="1">INDIRECT("'数据-取费表'!ai"&amp;$G$1)</f>
        <v>#N/A</v>
      </c>
    </row>
    <row r="9" spans="1:33" ht="18" customHeight="1">
      <c r="A9" s="783"/>
      <c r="B9" s="3841"/>
      <c r="C9" s="785"/>
      <c r="D9" s="786"/>
      <c r="E9" s="781" t="s">
        <v>1740</v>
      </c>
      <c r="F9" s="791" t="e">
        <f ca="1">INDIRECT("'数据-取费表'!w"&amp;$G$1)</f>
        <v>#N/A</v>
      </c>
      <c r="G9" s="1584"/>
      <c r="H9" s="2521"/>
      <c r="I9" s="3840"/>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3298</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90" t="s">
        <v>2969</v>
      </c>
      <c r="L53" s="3891"/>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6.2"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6.2"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2"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6.2"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6"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19.2"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0.399999999999999" thickBot="1">
      <c r="A68" s="783"/>
      <c r="B68" s="784"/>
      <c r="C68" s="785"/>
      <c r="D68" s="818" t="s">
        <v>1807</v>
      </c>
      <c r="E68" s="781" t="s">
        <v>1783</v>
      </c>
      <c r="F68" s="819" t="e">
        <f ca="1">F41</f>
        <v>#N/A</v>
      </c>
      <c r="O68" s="2417" t="s">
        <v>2385</v>
      </c>
      <c r="P68" s="2415" t="s">
        <v>2415</v>
      </c>
      <c r="Q68" s="2421" t="e">
        <f ca="1">L51</f>
        <v>#N/A</v>
      </c>
      <c r="R68" s="2422" t="s">
        <v>2418</v>
      </c>
    </row>
    <row r="69" spans="1:18" ht="19.2" thickBot="1">
      <c r="A69" s="787"/>
      <c r="B69" s="788"/>
      <c r="C69" s="789"/>
      <c r="D69" s="813"/>
      <c r="E69" s="781" t="s">
        <v>711</v>
      </c>
      <c r="F69" s="2363"/>
      <c r="O69" s="2417" t="s">
        <v>2386</v>
      </c>
      <c r="P69" s="2423" t="s">
        <v>2400</v>
      </c>
      <c r="Q69" s="2416" t="e">
        <f ca="1">ROUND(Q70-Q71*Q72,0)</f>
        <v>#N/A</v>
      </c>
      <c r="R69" s="2419"/>
    </row>
    <row r="70" spans="1:18" ht="16.2"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6.2" thickBot="1">
      <c r="O71" s="2417" t="s">
        <v>2403</v>
      </c>
      <c r="P71" s="2423" t="s">
        <v>2404</v>
      </c>
      <c r="Q71" s="2416" t="e">
        <f ca="1">C13</f>
        <v>#N/A</v>
      </c>
      <c r="R71" s="2415" t="s">
        <v>2382</v>
      </c>
    </row>
    <row r="72" spans="1:18" ht="16.2" thickBot="1">
      <c r="O72" s="2417" t="s">
        <v>2405</v>
      </c>
      <c r="P72" s="2423" t="s">
        <v>2406</v>
      </c>
      <c r="Q72" s="2418" t="e">
        <f ca="1">J36</f>
        <v>#N/A</v>
      </c>
      <c r="R72" s="2419"/>
    </row>
    <row r="73" spans="1:18" ht="16.2" thickBot="1">
      <c r="O73" s="2417" t="s">
        <v>2388</v>
      </c>
      <c r="P73" s="2415" t="s">
        <v>2395</v>
      </c>
      <c r="Q73" s="2418">
        <f>L52</f>
        <v>0</v>
      </c>
      <c r="R73" s="2419"/>
    </row>
    <row r="74" spans="1:18" ht="19.2" thickBot="1">
      <c r="O74" s="2417" t="s">
        <v>2390</v>
      </c>
      <c r="P74" s="2415" t="s">
        <v>2396</v>
      </c>
      <c r="Q74" s="2416" t="e">
        <f ca="1">L58</f>
        <v>#N/A</v>
      </c>
      <c r="R74" s="2419" t="s">
        <v>2397</v>
      </c>
    </row>
    <row r="75" spans="1:18" ht="16.2" thickBot="1">
      <c r="O75" s="2417" t="s">
        <v>2419</v>
      </c>
      <c r="P75" s="2415" t="str">
        <f>K59</f>
        <v>建设期及建筑物耐用年限下的土地年期修正系数Kn</v>
      </c>
      <c r="Q75" s="2416" t="e">
        <f ca="1">L59</f>
        <v>#N/A</v>
      </c>
      <c r="R75" s="2419" t="s">
        <v>2399</v>
      </c>
    </row>
    <row r="76" spans="1:18" ht="16.2"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2" customWidth="1"/>
    <col min="2" max="2" width="20.6640625" style="2091" customWidth="1"/>
    <col min="3" max="3" width="11.88671875" style="2091" customWidth="1"/>
    <col min="4" max="4" width="40.44140625" style="2052" customWidth="1"/>
    <col min="5" max="5" width="15.77734375" style="2052" customWidth="1"/>
    <col min="6" max="6" width="10.6640625" style="2052" customWidth="1"/>
    <col min="7" max="7" width="4.88671875" style="2052" customWidth="1"/>
    <col min="8" max="8" width="8.44140625" style="2052" customWidth="1"/>
    <col min="9" max="9" width="21.21875" style="2052" customWidth="1"/>
    <col min="10" max="10" width="12.21875" style="2052" customWidth="1"/>
    <col min="11" max="11" width="40.109375" style="2092" customWidth="1"/>
    <col min="12" max="12" width="18.33203125" style="2052" customWidth="1"/>
    <col min="13" max="13" width="13" style="2052" customWidth="1"/>
    <col min="14" max="14" width="9.44140625" style="2051" bestFit="1" customWidth="1"/>
    <col min="15" max="15" width="5.88671875" style="2051" customWidth="1"/>
    <col min="16" max="16" width="27.6640625" style="2051" customWidth="1"/>
    <col min="17" max="17" width="13.77734375" style="2089" customWidth="1"/>
    <col min="18" max="18" width="23.44140625" style="2051" customWidth="1"/>
    <col min="19" max="19" width="1.44140625" style="2051" customWidth="1"/>
    <col min="20" max="33" width="9" style="2051"/>
    <col min="34" max="16384" width="9" style="2052"/>
  </cols>
  <sheetData>
    <row r="1" spans="1:33" s="2046" customFormat="1" ht="21.6">
      <c r="A1" s="829" t="s">
        <v>1724</v>
      </c>
      <c r="B1" s="735"/>
      <c r="C1" s="770" t="s">
        <v>1678</v>
      </c>
      <c r="D1" s="3144" t="s">
        <v>3297</v>
      </c>
      <c r="E1" s="2403" t="s">
        <v>2376</v>
      </c>
      <c r="F1" s="2404">
        <f ca="1">J53</f>
        <v>30.979999999999997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38" t="s">
        <v>2466</v>
      </c>
      <c r="C6" s="780">
        <f ca="1">ROUND(F6*F8*F7*(1-F9)/10000,0)</f>
        <v>0</v>
      </c>
      <c r="D6" s="2513" t="s">
        <v>2465</v>
      </c>
      <c r="E6" s="781" t="s">
        <v>1737</v>
      </c>
      <c r="F6" s="782">
        <f ca="1">INDIRECT("'数据-取费表'!u"&amp;$G$1)</f>
        <v>0</v>
      </c>
      <c r="G6" s="1584"/>
      <c r="H6" s="2520" t="s">
        <v>1823</v>
      </c>
      <c r="I6" s="3838" t="s">
        <v>2466</v>
      </c>
      <c r="J6" s="780">
        <f ca="1">ROUND(M6*M8*M7*(1-M9)/10000,0)</f>
        <v>0</v>
      </c>
      <c r="K6" s="339" t="s">
        <v>1736</v>
      </c>
      <c r="L6" s="781" t="s">
        <v>1737</v>
      </c>
      <c r="M6" s="782">
        <f ca="1">INDIRECT("'数据-取费表'!z"&amp;$G$1)</f>
        <v>0</v>
      </c>
    </row>
    <row r="7" spans="1:33" ht="18" customHeight="1">
      <c r="A7" s="2516"/>
      <c r="B7" s="3839"/>
      <c r="C7" s="785"/>
      <c r="D7" s="786"/>
      <c r="E7" s="781" t="s">
        <v>1738</v>
      </c>
      <c r="F7" s="782">
        <f ca="1">IF(INDIRECT("'数据-取费表'!ah"&amp;$G$1)="",INDIRECT("'数据-取费表'!k"&amp;$G$1),INDIRECT("'数据-取费表'!ah"&amp;$G$1))</f>
        <v>273359</v>
      </c>
      <c r="G7" s="1584"/>
      <c r="H7" s="2505"/>
      <c r="I7" s="3839"/>
      <c r="J7" s="785"/>
      <c r="K7" s="786"/>
      <c r="L7" s="781" t="s">
        <v>1738</v>
      </c>
      <c r="M7" s="782">
        <f ca="1">F7</f>
        <v>273359</v>
      </c>
    </row>
    <row r="8" spans="1:33" ht="18" customHeight="1">
      <c r="A8" s="2509"/>
      <c r="B8" s="3840"/>
      <c r="C8" s="785"/>
      <c r="D8" s="786"/>
      <c r="E8" s="781" t="s">
        <v>1739</v>
      </c>
      <c r="F8" s="782">
        <f ca="1">INDIRECT("'数据-取费表'!ai"&amp;$G$1)</f>
        <v>0</v>
      </c>
      <c r="G8" s="1584"/>
      <c r="H8" s="2505"/>
      <c r="I8" s="3840"/>
      <c r="J8" s="785"/>
      <c r="K8" s="786"/>
      <c r="L8" s="781" t="s">
        <v>1739</v>
      </c>
      <c r="M8" s="782">
        <f ca="1">INDIRECT("'数据-取费表'!ai"&amp;$G$1)</f>
        <v>0</v>
      </c>
    </row>
    <row r="9" spans="1:33" ht="18" customHeight="1">
      <c r="A9" s="783"/>
      <c r="B9" s="3841"/>
      <c r="C9" s="785"/>
      <c r="D9" s="786"/>
      <c r="E9" s="781" t="s">
        <v>1740</v>
      </c>
      <c r="F9" s="791">
        <f ca="1">INDIRECT("'数据-取费表'!w"&amp;$G$1)</f>
        <v>0</v>
      </c>
      <c r="G9" s="1584"/>
      <c r="H9" s="2521"/>
      <c r="I9" s="3840"/>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130861</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84830</v>
      </c>
      <c r="D14" s="3484" t="s">
        <v>1744</v>
      </c>
      <c r="E14" s="3485"/>
      <c r="F14" s="802"/>
      <c r="G14" s="1584"/>
      <c r="H14" s="1641" t="s">
        <v>1823</v>
      </c>
      <c r="I14" s="2223" t="s">
        <v>2829</v>
      </c>
      <c r="J14" s="53">
        <f ca="1">C29</f>
        <v>130861</v>
      </c>
      <c r="K14" s="26"/>
      <c r="L14" s="798"/>
      <c r="M14" s="799"/>
    </row>
    <row r="15" spans="1:33" s="2056" customFormat="1" ht="18" customHeight="1" thickBot="1">
      <c r="A15" s="1640" t="s">
        <v>1831</v>
      </c>
      <c r="B15" s="781" t="s">
        <v>648</v>
      </c>
      <c r="C15" s="53">
        <f ca="1">ROUND(C14*F15,0)</f>
        <v>2545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1161</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1161</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1272</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92917</v>
      </c>
      <c r="D19" s="259" t="s">
        <v>1756</v>
      </c>
      <c r="E19" s="3489"/>
      <c r="F19" s="56"/>
      <c r="G19" s="1584"/>
      <c r="H19" s="1640" t="s">
        <v>1831</v>
      </c>
      <c r="I19" s="781" t="s">
        <v>1757</v>
      </c>
      <c r="J19" s="53">
        <f ca="1">IF(K19="按租金收入计税",ROUND(J5*M19,1),ROUND(C29*F33*0.7,1))</f>
        <v>1099.2</v>
      </c>
      <c r="K19" s="808" t="s">
        <v>666</v>
      </c>
      <c r="L19" s="781" t="s">
        <v>1746</v>
      </c>
      <c r="M19" s="806">
        <f>IF(K19="按租金收入计税",'数据-取费表'!B51,'数据-取费表'!B50)</f>
        <v>1.2E-2</v>
      </c>
    </row>
    <row r="20" spans="1:33" s="2056" customFormat="1" ht="18" customHeight="1">
      <c r="A20" s="1641" t="s">
        <v>1888</v>
      </c>
      <c r="B20" s="781" t="s">
        <v>667</v>
      </c>
      <c r="C20" s="53">
        <f ca="1">ROUND(C19*F20,0)</f>
        <v>1858</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6832</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-1161</v>
      </c>
      <c r="K25" s="2564" t="s">
        <v>1776</v>
      </c>
      <c r="L25" s="2565"/>
      <c r="M25" s="2566"/>
    </row>
    <row r="26" spans="1:33" ht="18" customHeight="1">
      <c r="A26" s="1640" t="s">
        <v>1830</v>
      </c>
      <c r="B26" s="781" t="s">
        <v>2440</v>
      </c>
      <c r="C26" s="53">
        <f ca="1">ROUND((C19+C20)*F26,0)</f>
        <v>18955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130861</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1161</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1161.3</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1099.2</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11123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-1161</v>
      </c>
      <c r="D39" s="2564" t="s">
        <v>1776</v>
      </c>
      <c r="E39" s="2565"/>
      <c r="F39" s="2566"/>
      <c r="G39" s="2054"/>
      <c r="H39" s="2069"/>
      <c r="I39" s="834" t="s">
        <v>1817</v>
      </c>
      <c r="J39" s="842">
        <f ca="1">ROUND(J35/C39,3)</f>
        <v>-9.5809999999999995</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10.581</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130861</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-198871</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0" t="s">
        <v>2969</v>
      </c>
      <c r="L53" s="3891"/>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130861</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130861</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1161</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1161.3</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1099.2</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6.2"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6.2"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2"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6.2"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6" thickBot="1">
      <c r="A66" s="794" t="s">
        <v>1775</v>
      </c>
      <c r="B66" s="3027" t="s">
        <v>2826</v>
      </c>
      <c r="C66" s="796">
        <f ca="1">C47-C57</f>
        <v>-1161</v>
      </c>
      <c r="D66" s="3484" t="s">
        <v>701</v>
      </c>
      <c r="E66" s="3488"/>
      <c r="F66" s="817"/>
      <c r="K66" s="2078"/>
      <c r="O66" s="2414" t="s">
        <v>2381</v>
      </c>
      <c r="P66" s="2415" t="s">
        <v>2407</v>
      </c>
      <c r="Q66" s="2416">
        <f ca="1">C40+J29</f>
        <v>0</v>
      </c>
      <c r="R66" s="2415" t="s">
        <v>2382</v>
      </c>
    </row>
    <row r="67" spans="1:18" s="2051" customFormat="1" ht="19.2"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0.399999999999999" thickBot="1">
      <c r="A68" s="783"/>
      <c r="B68" s="784"/>
      <c r="C68" s="785"/>
      <c r="D68" s="818" t="s">
        <v>1807</v>
      </c>
      <c r="E68" s="781" t="s">
        <v>1783</v>
      </c>
      <c r="F68" s="819">
        <f ca="1">F41</f>
        <v>0</v>
      </c>
      <c r="O68" s="2417" t="s">
        <v>2385</v>
      </c>
      <c r="P68" s="2415" t="s">
        <v>2415</v>
      </c>
      <c r="Q68" s="2421">
        <f ca="1">L51</f>
        <v>-198871</v>
      </c>
      <c r="R68" s="2422" t="s">
        <v>2418</v>
      </c>
    </row>
    <row r="69" spans="1:18" ht="19.2" thickBot="1">
      <c r="A69" s="787"/>
      <c r="B69" s="788"/>
      <c r="C69" s="789"/>
      <c r="D69" s="813"/>
      <c r="E69" s="781" t="s">
        <v>711</v>
      </c>
      <c r="F69" s="2363"/>
      <c r="O69" s="2417" t="s">
        <v>2386</v>
      </c>
      <c r="P69" s="2423" t="s">
        <v>2400</v>
      </c>
      <c r="Q69" s="2416">
        <f ca="1">ROUND(Q70-Q71*Q72,0)</f>
        <v>-12284</v>
      </c>
      <c r="R69" s="2419"/>
    </row>
    <row r="70" spans="1:18" ht="16.2" thickBot="1">
      <c r="A70" s="820" t="s">
        <v>1786</v>
      </c>
      <c r="B70" s="821" t="s">
        <v>1809</v>
      </c>
      <c r="C70" s="822">
        <f ca="1">ROUND(C67*10000/F70,0)</f>
        <v>0</v>
      </c>
      <c r="D70" s="823" t="s">
        <v>1810</v>
      </c>
      <c r="E70" s="824" t="s">
        <v>1811</v>
      </c>
      <c r="F70" s="825">
        <f ca="1">F43</f>
        <v>273359</v>
      </c>
      <c r="O70" s="2417" t="s">
        <v>2401</v>
      </c>
      <c r="P70" s="2423" t="s">
        <v>2402</v>
      </c>
      <c r="Q70" s="2416">
        <f ca="1">C39</f>
        <v>-1161</v>
      </c>
      <c r="R70" s="2415" t="s">
        <v>2382</v>
      </c>
    </row>
    <row r="71" spans="1:18" ht="16.2" thickBot="1">
      <c r="O71" s="2417" t="s">
        <v>2403</v>
      </c>
      <c r="P71" s="2423" t="s">
        <v>2404</v>
      </c>
      <c r="Q71" s="2416">
        <f ca="1">C13</f>
        <v>130861</v>
      </c>
      <c r="R71" s="2415" t="s">
        <v>2382</v>
      </c>
    </row>
    <row r="72" spans="1:18" ht="16.2" thickBot="1">
      <c r="O72" s="2417" t="s">
        <v>2405</v>
      </c>
      <c r="P72" s="2423" t="s">
        <v>2406</v>
      </c>
      <c r="Q72" s="2418">
        <f ca="1">J36</f>
        <v>8.5000000000000006E-2</v>
      </c>
      <c r="R72" s="2419"/>
    </row>
    <row r="73" spans="1:18" ht="16.2" thickBot="1">
      <c r="O73" s="2417" t="s">
        <v>2388</v>
      </c>
      <c r="P73" s="2415" t="s">
        <v>2395</v>
      </c>
      <c r="Q73" s="2418">
        <f>L52</f>
        <v>0</v>
      </c>
      <c r="R73" s="2419"/>
    </row>
    <row r="74" spans="1:18" ht="19.2" thickBot="1">
      <c r="O74" s="2417" t="s">
        <v>2390</v>
      </c>
      <c r="P74" s="2415" t="s">
        <v>2396</v>
      </c>
      <c r="Q74" s="2416" t="e">
        <f ca="1">L58</f>
        <v>#DIV/0!</v>
      </c>
      <c r="R74" s="2419" t="s">
        <v>2397</v>
      </c>
    </row>
    <row r="75" spans="1:18" ht="16.2" thickBot="1">
      <c r="O75" s="2417" t="s">
        <v>2419</v>
      </c>
      <c r="P75" s="2415" t="str">
        <f>K59</f>
        <v>建设期及建筑物耐用年限下的土地年期修正系数Kn</v>
      </c>
      <c r="Q75" s="2416" t="e">
        <f ca="1">L59</f>
        <v>#DIV/0!</v>
      </c>
      <c r="R75" s="2419" t="s">
        <v>2399</v>
      </c>
    </row>
    <row r="76" spans="1:18" ht="16.2"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4.4">
      <c r="A4" s="510" t="s">
        <v>522</v>
      </c>
      <c r="B4" s="511"/>
      <c r="C4" s="3783" t="s">
        <v>523</v>
      </c>
      <c r="D4" s="3784"/>
      <c r="E4" s="3808" t="s">
        <v>524</v>
      </c>
      <c r="F4" s="3809"/>
      <c r="G4" s="3783" t="s">
        <v>525</v>
      </c>
      <c r="H4" s="3784"/>
      <c r="I4" s="3783" t="s">
        <v>526</v>
      </c>
      <c r="J4" s="3784"/>
      <c r="K4" s="512" t="s">
        <v>527</v>
      </c>
      <c r="L4" s="2125"/>
      <c r="M4" s="2126"/>
      <c r="N4" s="2126"/>
      <c r="O4" s="2126"/>
      <c r="P4" s="3785" t="s">
        <v>528</v>
      </c>
      <c r="Q4" s="3786"/>
      <c r="R4" s="3771" t="s">
        <v>524</v>
      </c>
      <c r="S4" s="3772"/>
      <c r="T4" s="3771" t="s">
        <v>525</v>
      </c>
      <c r="U4" s="3772"/>
      <c r="V4" s="3791" t="s">
        <v>526</v>
      </c>
      <c r="W4" s="3791"/>
      <c r="X4" s="1559"/>
      <c r="Y4" s="3771" t="s">
        <v>528</v>
      </c>
      <c r="Z4" s="3772"/>
      <c r="AA4" s="3766" t="s">
        <v>524</v>
      </c>
      <c r="AB4" s="3767" t="s">
        <v>525</v>
      </c>
      <c r="AC4" s="3766" t="s">
        <v>526</v>
      </c>
    </row>
    <row r="5" spans="1:29">
      <c r="A5" s="513"/>
      <c r="B5" s="514"/>
      <c r="C5" s="3794" t="s">
        <v>2929</v>
      </c>
      <c r="D5" s="3795"/>
      <c r="E5" s="3810" t="s">
        <v>2930</v>
      </c>
      <c r="F5" s="3811"/>
      <c r="G5" s="3794" t="s">
        <v>2931</v>
      </c>
      <c r="H5" s="3795"/>
      <c r="I5" s="3794" t="s">
        <v>2932</v>
      </c>
      <c r="J5" s="3795"/>
      <c r="K5" s="512"/>
      <c r="L5" s="2125"/>
      <c r="M5" s="2126"/>
      <c r="N5" s="2126"/>
      <c r="O5" s="2126"/>
      <c r="P5" s="3787"/>
      <c r="Q5" s="3788"/>
      <c r="R5" s="3773"/>
      <c r="S5" s="3774"/>
      <c r="T5" s="3773"/>
      <c r="U5" s="3774"/>
      <c r="V5" s="3791"/>
      <c r="W5" s="3791"/>
      <c r="X5" s="1559"/>
      <c r="Y5" s="3773"/>
      <c r="Z5" s="3774"/>
      <c r="AA5" s="3767"/>
      <c r="AB5" s="3767"/>
      <c r="AC5" s="3767"/>
    </row>
    <row r="6" spans="1:29" ht="15" thickBot="1">
      <c r="A6" s="515"/>
      <c r="B6" s="516"/>
      <c r="C6" s="3792" t="s">
        <v>2933</v>
      </c>
      <c r="D6" s="3793"/>
      <c r="E6" s="3812" t="s">
        <v>2933</v>
      </c>
      <c r="F6" s="3813"/>
      <c r="G6" s="3792" t="s">
        <v>2933</v>
      </c>
      <c r="H6" s="3793"/>
      <c r="I6" s="3792" t="s">
        <v>2933</v>
      </c>
      <c r="J6" s="3793"/>
      <c r="K6" s="512" t="s">
        <v>529</v>
      </c>
      <c r="L6" s="2125"/>
      <c r="M6" s="2126"/>
      <c r="N6" s="2126"/>
      <c r="O6" s="2126"/>
      <c r="P6" s="3789"/>
      <c r="Q6" s="3790"/>
      <c r="R6" s="3773"/>
      <c r="S6" s="3774"/>
      <c r="T6" s="3775"/>
      <c r="U6" s="3776"/>
      <c r="V6" s="3791"/>
      <c r="W6" s="3791"/>
      <c r="X6" s="1559"/>
      <c r="Y6" s="3775"/>
      <c r="Z6" s="3776"/>
      <c r="AA6" s="3768"/>
      <c r="AB6" s="3768"/>
      <c r="AC6" s="3768"/>
    </row>
    <row r="7" spans="1:29" s="1213" customFormat="1" ht="15" thickBot="1">
      <c r="A7" s="2928"/>
      <c r="B7" s="2935" t="s">
        <v>530</v>
      </c>
      <c r="C7" s="517">
        <f>'数据-取费表'!B2</f>
        <v>43924</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69" t="s">
        <v>531</v>
      </c>
      <c r="Q7" s="3778"/>
      <c r="R7" s="1560" t="s">
        <v>8</v>
      </c>
      <c r="S7" s="1561">
        <f t="shared" ref="S7:S15" si="0">F7</f>
        <v>0</v>
      </c>
      <c r="T7" s="1560" t="s">
        <v>8</v>
      </c>
      <c r="U7" s="1561">
        <f t="shared" ref="U7:U15" si="1">H7</f>
        <v>0</v>
      </c>
      <c r="V7" s="1560" t="s">
        <v>8</v>
      </c>
      <c r="W7" s="1561">
        <f t="shared" ref="W7:W15" si="2">J7</f>
        <v>0</v>
      </c>
      <c r="X7" s="1562"/>
      <c r="Y7" s="3769" t="s">
        <v>531</v>
      </c>
      <c r="Z7" s="3770"/>
      <c r="AA7" s="1563" t="e">
        <f>D7/F7</f>
        <v>#DIV/0!</v>
      </c>
      <c r="AB7" s="1563" t="e">
        <f>D7/H7</f>
        <v>#DIV/0!</v>
      </c>
      <c r="AC7" s="1563" t="e">
        <f>D7/J7</f>
        <v>#DIV/0!</v>
      </c>
    </row>
    <row r="8" spans="1:29" s="1213" customFormat="1" ht="1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69" t="s">
        <v>534</v>
      </c>
      <c r="Q8" s="3770"/>
      <c r="R8" s="1560" t="s">
        <v>8</v>
      </c>
      <c r="S8" s="1561">
        <f t="shared" si="0"/>
        <v>0</v>
      </c>
      <c r="T8" s="1560" t="s">
        <v>8</v>
      </c>
      <c r="U8" s="1561">
        <f t="shared" si="1"/>
        <v>0</v>
      </c>
      <c r="V8" s="1560" t="s">
        <v>8</v>
      </c>
      <c r="W8" s="1561">
        <f t="shared" si="2"/>
        <v>0</v>
      </c>
      <c r="X8" s="1562"/>
      <c r="Y8" s="3769" t="s">
        <v>534</v>
      </c>
      <c r="Z8" s="3770"/>
      <c r="AA8" s="1563" t="e">
        <f t="shared" ref="AA8:AA40" si="3">D8/F8</f>
        <v>#DIV/0!</v>
      </c>
      <c r="AB8" s="1563" t="e">
        <f t="shared" ref="AB8:AB40" si="4">D8/H8</f>
        <v>#DIV/0!</v>
      </c>
      <c r="AC8" s="1563" t="e">
        <f t="shared" ref="AC8:AC40" si="5">D8/J8</f>
        <v>#DIV/0!</v>
      </c>
    </row>
    <row r="9" spans="1:29" s="1213" customFormat="1" ht="14.4">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77" t="s">
        <v>536</v>
      </c>
      <c r="Q9" s="1144" t="str">
        <f t="shared" ref="Q9:Q15" si="6">B9</f>
        <v>用途</v>
      </c>
      <c r="R9" s="1560" t="s">
        <v>8</v>
      </c>
      <c r="S9" s="1561">
        <f t="shared" si="0"/>
        <v>100</v>
      </c>
      <c r="T9" s="1560" t="s">
        <v>8</v>
      </c>
      <c r="U9" s="1561">
        <f t="shared" si="1"/>
        <v>100</v>
      </c>
      <c r="V9" s="1560" t="s">
        <v>8</v>
      </c>
      <c r="W9" s="1561">
        <f t="shared" si="2"/>
        <v>100</v>
      </c>
      <c r="X9" s="1562"/>
      <c r="Y9" s="3734" t="s">
        <v>537</v>
      </c>
      <c r="Z9" s="1143" t="str">
        <f t="shared" ref="Z9:Z15" si="7">Q9</f>
        <v>用途</v>
      </c>
      <c r="AA9" s="1563">
        <f t="shared" si="3"/>
        <v>1</v>
      </c>
      <c r="AB9" s="1563">
        <f t="shared" si="4"/>
        <v>1</v>
      </c>
      <c r="AC9" s="1563">
        <f t="shared" si="5"/>
        <v>1</v>
      </c>
    </row>
    <row r="10" spans="1:29" s="1331" customFormat="1" ht="28.8">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77"/>
      <c r="Q11" s="1144" t="str">
        <f t="shared" si="6"/>
        <v>容积率</v>
      </c>
      <c r="R11" s="1560" t="s">
        <v>8</v>
      </c>
      <c r="S11" s="1561" t="e">
        <f t="shared" si="0"/>
        <v>#N/A</v>
      </c>
      <c r="T11" s="1560" t="s">
        <v>8</v>
      </c>
      <c r="U11" s="1561" t="e">
        <f t="shared" si="1"/>
        <v>#N/A</v>
      </c>
      <c r="V11" s="1560" t="s">
        <v>8</v>
      </c>
      <c r="W11" s="1561" t="e">
        <f t="shared" si="2"/>
        <v>#N/A</v>
      </c>
      <c r="X11" s="1562"/>
      <c r="Y11" s="3734"/>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77"/>
      <c r="Q12" s="1144">
        <f t="shared" si="6"/>
        <v>111</v>
      </c>
      <c r="R12" s="1560" t="s">
        <v>8</v>
      </c>
      <c r="S12" s="1561">
        <f t="shared" si="0"/>
        <v>100</v>
      </c>
      <c r="T12" s="1560" t="s">
        <v>8</v>
      </c>
      <c r="U12" s="1561">
        <f t="shared" si="1"/>
        <v>100</v>
      </c>
      <c r="V12" s="1560" t="s">
        <v>8</v>
      </c>
      <c r="W12" s="1561">
        <f t="shared" si="2"/>
        <v>100</v>
      </c>
      <c r="X12" s="1562"/>
      <c r="Y12" s="3734"/>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77"/>
      <c r="Q13" s="1144">
        <f t="shared" si="6"/>
        <v>111</v>
      </c>
      <c r="R13" s="1560" t="s">
        <v>8</v>
      </c>
      <c r="S13" s="1561">
        <f t="shared" si="0"/>
        <v>100</v>
      </c>
      <c r="T13" s="1560" t="s">
        <v>8</v>
      </c>
      <c r="U13" s="1561">
        <f t="shared" si="1"/>
        <v>100</v>
      </c>
      <c r="V13" s="1560" t="s">
        <v>8</v>
      </c>
      <c r="W13" s="1561">
        <f t="shared" si="2"/>
        <v>100</v>
      </c>
      <c r="X13" s="1562"/>
      <c r="Y13" s="3734"/>
      <c r="Z13" s="1143">
        <f t="shared" si="7"/>
        <v>111</v>
      </c>
      <c r="AA13" s="1563">
        <f t="shared" si="3"/>
        <v>1</v>
      </c>
      <c r="AB13" s="1563">
        <f t="shared" si="4"/>
        <v>1</v>
      </c>
      <c r="AC13" s="1563">
        <f t="shared" si="5"/>
        <v>1</v>
      </c>
    </row>
    <row r="14" spans="1:29" ht="15.6"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77"/>
      <c r="Q14" s="1144">
        <f t="shared" si="6"/>
        <v>111</v>
      </c>
      <c r="R14" s="1560" t="s">
        <v>8</v>
      </c>
      <c r="S14" s="1561">
        <f t="shared" si="0"/>
        <v>100</v>
      </c>
      <c r="T14" s="1560" t="s">
        <v>8</v>
      </c>
      <c r="U14" s="1561">
        <f t="shared" si="1"/>
        <v>100</v>
      </c>
      <c r="V14" s="1560" t="s">
        <v>8</v>
      </c>
      <c r="W14" s="1561">
        <f t="shared" si="2"/>
        <v>100</v>
      </c>
      <c r="X14" s="1562"/>
      <c r="Y14" s="3734"/>
      <c r="Z14" s="1143">
        <f t="shared" si="7"/>
        <v>111</v>
      </c>
      <c r="AA14" s="1563">
        <f t="shared" si="3"/>
        <v>1</v>
      </c>
      <c r="AB14" s="1563">
        <f t="shared" si="4"/>
        <v>1</v>
      </c>
      <c r="AC14" s="1563">
        <f t="shared" si="5"/>
        <v>1</v>
      </c>
    </row>
    <row r="15" spans="1:29" ht="69">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79" t="s">
        <v>541</v>
      </c>
      <c r="Q15" s="1564" t="str">
        <f t="shared" si="6"/>
        <v>产业集聚程度</v>
      </c>
      <c r="R15" s="1565" t="s">
        <v>8</v>
      </c>
      <c r="S15" s="1566">
        <f t="shared" si="0"/>
        <v>100</v>
      </c>
      <c r="T15" s="1565" t="s">
        <v>8</v>
      </c>
      <c r="U15" s="1566">
        <f t="shared" si="1"/>
        <v>100</v>
      </c>
      <c r="V15" s="1565" t="s">
        <v>8</v>
      </c>
      <c r="W15" s="1566">
        <f t="shared" si="2"/>
        <v>100</v>
      </c>
      <c r="X15" s="1559"/>
      <c r="Y15" s="3779"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80"/>
      <c r="Q16" s="1564"/>
      <c r="R16" s="1565"/>
      <c r="S16" s="1566"/>
      <c r="T16" s="1565"/>
      <c r="U16" s="1566"/>
      <c r="V16" s="1565"/>
      <c r="W16" s="1566"/>
      <c r="X16" s="1559"/>
      <c r="Y16" s="3780"/>
      <c r="Z16" s="1567"/>
      <c r="AA16" s="1568">
        <v>1</v>
      </c>
      <c r="AB16" s="1568">
        <v>1</v>
      </c>
      <c r="AC16" s="1568">
        <v>1</v>
      </c>
    </row>
    <row r="17" spans="1:29" ht="96.6">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80"/>
      <c r="Q17" s="1564" t="str">
        <f>B17</f>
        <v>交通便捷度</v>
      </c>
      <c r="R17" s="1565" t="s">
        <v>8</v>
      </c>
      <c r="S17" s="1566">
        <f>F17</f>
        <v>100</v>
      </c>
      <c r="T17" s="1565" t="s">
        <v>8</v>
      </c>
      <c r="U17" s="1566">
        <f>H17</f>
        <v>100</v>
      </c>
      <c r="V17" s="1565" t="s">
        <v>8</v>
      </c>
      <c r="W17" s="1566">
        <f>J17</f>
        <v>100</v>
      </c>
      <c r="X17" s="1559"/>
      <c r="Y17" s="3780"/>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80"/>
      <c r="Q18" s="1564"/>
      <c r="R18" s="1565"/>
      <c r="S18" s="1566"/>
      <c r="T18" s="1565"/>
      <c r="U18" s="1566"/>
      <c r="V18" s="1565"/>
      <c r="W18" s="1566"/>
      <c r="X18" s="1559"/>
      <c r="Y18" s="3780"/>
      <c r="Z18" s="1567"/>
      <c r="AA18" s="1568">
        <v>1</v>
      </c>
      <c r="AB18" s="1568">
        <v>1</v>
      </c>
      <c r="AC18" s="1568">
        <v>1</v>
      </c>
    </row>
    <row r="19" spans="1:29" ht="41.4">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80"/>
      <c r="Q19" s="1564" t="str">
        <f>B19</f>
        <v>公共配套设施</v>
      </c>
      <c r="R19" s="1565" t="s">
        <v>8</v>
      </c>
      <c r="S19" s="1566">
        <f>F19</f>
        <v>100</v>
      </c>
      <c r="T19" s="1565" t="s">
        <v>8</v>
      </c>
      <c r="U19" s="1566">
        <f>H19</f>
        <v>100</v>
      </c>
      <c r="V19" s="1565" t="s">
        <v>8</v>
      </c>
      <c r="W19" s="1566">
        <f>J19</f>
        <v>100</v>
      </c>
      <c r="X19" s="1559"/>
      <c r="Y19" s="3780"/>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80"/>
      <c r="Q20" s="1564"/>
      <c r="R20" s="1565"/>
      <c r="S20" s="1566"/>
      <c r="T20" s="1565"/>
      <c r="U20" s="1566"/>
      <c r="V20" s="1565"/>
      <c r="W20" s="1566"/>
      <c r="X20" s="1559"/>
      <c r="Y20" s="3780"/>
      <c r="Z20" s="1567"/>
      <c r="AA20" s="1568">
        <v>1</v>
      </c>
      <c r="AB20" s="1568">
        <v>1</v>
      </c>
      <c r="AC20" s="1568">
        <v>1</v>
      </c>
    </row>
    <row r="21" spans="1:29" ht="41.4">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80"/>
      <c r="Q21" s="2595" t="str">
        <f>B21</f>
        <v>基础设施水平</v>
      </c>
      <c r="R21" s="1565" t="s">
        <v>8</v>
      </c>
      <c r="S21" s="1566">
        <f>F21</f>
        <v>100</v>
      </c>
      <c r="T21" s="1565" t="s">
        <v>8</v>
      </c>
      <c r="U21" s="1566">
        <f>H21</f>
        <v>100</v>
      </c>
      <c r="V21" s="1565" t="s">
        <v>8</v>
      </c>
      <c r="W21" s="1566">
        <f>J21</f>
        <v>100</v>
      </c>
      <c r="X21" s="2597"/>
      <c r="Y21" s="3780"/>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80"/>
      <c r="Q22" s="2595"/>
      <c r="R22" s="1565"/>
      <c r="S22" s="1566"/>
      <c r="T22" s="1565"/>
      <c r="U22" s="1566"/>
      <c r="V22" s="1565"/>
      <c r="W22" s="1566"/>
      <c r="X22" s="2597"/>
      <c r="Y22" s="3780"/>
      <c r="Z22" s="2596"/>
      <c r="AA22" s="1568">
        <v>1</v>
      </c>
      <c r="AB22" s="1568">
        <v>1</v>
      </c>
      <c r="AC22" s="1568">
        <v>1</v>
      </c>
    </row>
    <row r="23" spans="1:29" ht="82.8">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80"/>
      <c r="Q23" s="1564" t="str">
        <f>B23</f>
        <v>环境质量</v>
      </c>
      <c r="R23" s="1565" t="s">
        <v>8</v>
      </c>
      <c r="S23" s="1566">
        <f>F23</f>
        <v>100</v>
      </c>
      <c r="T23" s="1565" t="s">
        <v>8</v>
      </c>
      <c r="U23" s="1566">
        <f>H23</f>
        <v>100</v>
      </c>
      <c r="V23" s="1565" t="s">
        <v>8</v>
      </c>
      <c r="W23" s="1566">
        <f>J23</f>
        <v>100</v>
      </c>
      <c r="X23" s="1559"/>
      <c r="Y23" s="3780"/>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80"/>
      <c r="Q24" s="1564"/>
      <c r="R24" s="1565"/>
      <c r="S24" s="1566"/>
      <c r="T24" s="1565"/>
      <c r="U24" s="1566"/>
      <c r="V24" s="1565"/>
      <c r="W24" s="1566"/>
      <c r="X24" s="1559"/>
      <c r="Y24" s="3780"/>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80"/>
      <c r="Q25" s="1564">
        <f>B25</f>
        <v>111</v>
      </c>
      <c r="R25" s="1565" t="s">
        <v>8</v>
      </c>
      <c r="S25" s="1566">
        <f>F25</f>
        <v>100</v>
      </c>
      <c r="T25" s="1565" t="s">
        <v>8</v>
      </c>
      <c r="U25" s="1566">
        <f>H25</f>
        <v>100</v>
      </c>
      <c r="V25" s="1565" t="s">
        <v>8</v>
      </c>
      <c r="W25" s="1566">
        <f>J25</f>
        <v>100</v>
      </c>
      <c r="X25" s="1559"/>
      <c r="Y25" s="3780"/>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80"/>
      <c r="Q26" s="1564">
        <f t="shared" ref="Q26:Q40" si="11">B26</f>
        <v>111</v>
      </c>
      <c r="R26" s="1565" t="s">
        <v>8</v>
      </c>
      <c r="S26" s="1566">
        <f>F26</f>
        <v>100</v>
      </c>
      <c r="T26" s="1565" t="s">
        <v>8</v>
      </c>
      <c r="U26" s="1566">
        <f>H26</f>
        <v>100</v>
      </c>
      <c r="V26" s="1565" t="s">
        <v>8</v>
      </c>
      <c r="W26" s="1566">
        <f>J26</f>
        <v>100</v>
      </c>
      <c r="X26" s="1559"/>
      <c r="Y26" s="3780"/>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80"/>
      <c r="Q27" s="1144">
        <f t="shared" si="11"/>
        <v>111</v>
      </c>
      <c r="R27" s="1560" t="s">
        <v>8</v>
      </c>
      <c r="S27" s="1561">
        <f>F27</f>
        <v>100</v>
      </c>
      <c r="T27" s="1560" t="s">
        <v>8</v>
      </c>
      <c r="U27" s="1561">
        <f>H27</f>
        <v>100</v>
      </c>
      <c r="V27" s="1560" t="s">
        <v>8</v>
      </c>
      <c r="W27" s="1561">
        <f>J27</f>
        <v>100</v>
      </c>
      <c r="X27" s="1562"/>
      <c r="Y27" s="3780"/>
      <c r="Z27" s="1143">
        <f>Q27</f>
        <v>111</v>
      </c>
      <c r="AA27" s="1568">
        <f>D27/F27</f>
        <v>1</v>
      </c>
      <c r="AB27" s="1568">
        <f>D27/H27</f>
        <v>1</v>
      </c>
      <c r="AC27" s="1568">
        <f>D27/J27</f>
        <v>1</v>
      </c>
    </row>
    <row r="28" spans="1:29" ht="15.6"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80"/>
      <c r="Q28" s="1564">
        <f t="shared" si="11"/>
        <v>111</v>
      </c>
      <c r="R28" s="1565" t="s">
        <v>8</v>
      </c>
      <c r="S28" s="1566">
        <f t="shared" ref="S28:S40" si="12">F28</f>
        <v>100</v>
      </c>
      <c r="T28" s="1565" t="s">
        <v>8</v>
      </c>
      <c r="U28" s="1566">
        <f t="shared" ref="U28:U40" si="13">H28</f>
        <v>100</v>
      </c>
      <c r="V28" s="1565" t="s">
        <v>8</v>
      </c>
      <c r="W28" s="1566">
        <f t="shared" ref="W28:W40" si="14">J28</f>
        <v>100</v>
      </c>
      <c r="X28" s="1559"/>
      <c r="Y28" s="3780"/>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781" t="s">
        <v>551</v>
      </c>
      <c r="Q29" s="1564" t="str">
        <f t="shared" si="11"/>
        <v>建筑类型</v>
      </c>
      <c r="R29" s="1565" t="s">
        <v>8</v>
      </c>
      <c r="S29" s="1566">
        <f t="shared" si="12"/>
        <v>100</v>
      </c>
      <c r="T29" s="1565" t="s">
        <v>8</v>
      </c>
      <c r="U29" s="1566">
        <f t="shared" si="13"/>
        <v>100</v>
      </c>
      <c r="V29" s="1565" t="s">
        <v>8</v>
      </c>
      <c r="W29" s="1566">
        <f t="shared" si="14"/>
        <v>100</v>
      </c>
      <c r="X29" s="1559"/>
      <c r="Y29" s="3782"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782"/>
      <c r="Q30" s="1597" t="str">
        <f t="shared" si="11"/>
        <v>项目建筑规模</v>
      </c>
      <c r="R30" s="1569" t="s">
        <v>8</v>
      </c>
      <c r="S30" s="1570" t="e">
        <f t="shared" si="12"/>
        <v>#N/A</v>
      </c>
      <c r="T30" s="1569" t="s">
        <v>8</v>
      </c>
      <c r="U30" s="1570" t="e">
        <f t="shared" si="13"/>
        <v>#N/A</v>
      </c>
      <c r="V30" s="1569" t="s">
        <v>8</v>
      </c>
      <c r="W30" s="1570" t="e">
        <f t="shared" si="14"/>
        <v>#N/A</v>
      </c>
      <c r="X30" s="1571"/>
      <c r="Y30" s="3782"/>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782"/>
      <c r="Q31" s="1564" t="str">
        <f t="shared" si="11"/>
        <v>建筑结构</v>
      </c>
      <c r="R31" s="1565" t="s">
        <v>8</v>
      </c>
      <c r="S31" s="1566">
        <f t="shared" si="12"/>
        <v>100</v>
      </c>
      <c r="T31" s="1565" t="s">
        <v>8</v>
      </c>
      <c r="U31" s="1566">
        <f t="shared" si="13"/>
        <v>100</v>
      </c>
      <c r="V31" s="1565" t="s">
        <v>8</v>
      </c>
      <c r="W31" s="1566">
        <f t="shared" si="14"/>
        <v>100</v>
      </c>
      <c r="X31" s="1559"/>
      <c r="Y31" s="3782"/>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782"/>
      <c r="Q32" s="1564" t="str">
        <f t="shared" si="11"/>
        <v>公共部分装修</v>
      </c>
      <c r="R32" s="1565" t="s">
        <v>8</v>
      </c>
      <c r="S32" s="1566">
        <f t="shared" si="12"/>
        <v>100</v>
      </c>
      <c r="T32" s="1565" t="s">
        <v>8</v>
      </c>
      <c r="U32" s="1566">
        <f t="shared" si="13"/>
        <v>100</v>
      </c>
      <c r="V32" s="1565" t="s">
        <v>8</v>
      </c>
      <c r="W32" s="1566">
        <f t="shared" si="14"/>
        <v>100</v>
      </c>
      <c r="X32" s="1559"/>
      <c r="Y32" s="3782"/>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782"/>
      <c r="Q33" s="1564" t="str">
        <f t="shared" si="11"/>
        <v>成新度</v>
      </c>
      <c r="R33" s="1565" t="s">
        <v>8</v>
      </c>
      <c r="S33" s="1566" t="e">
        <f t="shared" si="12"/>
        <v>#N/A</v>
      </c>
      <c r="T33" s="1565" t="s">
        <v>8</v>
      </c>
      <c r="U33" s="1566" t="e">
        <f t="shared" si="13"/>
        <v>#N/A</v>
      </c>
      <c r="V33" s="1565" t="s">
        <v>8</v>
      </c>
      <c r="W33" s="1566" t="e">
        <f t="shared" si="14"/>
        <v>#N/A</v>
      </c>
      <c r="X33" s="1559"/>
      <c r="Y33" s="3782"/>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782"/>
      <c r="Q34" s="1144" t="str">
        <f t="shared" si="11"/>
        <v>物业管理</v>
      </c>
      <c r="R34" s="1560" t="s">
        <v>8</v>
      </c>
      <c r="S34" s="1561">
        <f t="shared" si="12"/>
        <v>100</v>
      </c>
      <c r="T34" s="1560" t="s">
        <v>8</v>
      </c>
      <c r="U34" s="1561">
        <f t="shared" si="13"/>
        <v>100</v>
      </c>
      <c r="V34" s="1560" t="s">
        <v>8</v>
      </c>
      <c r="W34" s="1561">
        <f t="shared" si="14"/>
        <v>100</v>
      </c>
      <c r="X34" s="1562"/>
      <c r="Y34" s="3782"/>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782" t="s">
        <v>551</v>
      </c>
      <c r="Q35" s="1564" t="str">
        <f t="shared" si="11"/>
        <v>市政基础设施</v>
      </c>
      <c r="R35" s="1565" t="s">
        <v>8</v>
      </c>
      <c r="S35" s="1566">
        <f t="shared" si="12"/>
        <v>100</v>
      </c>
      <c r="T35" s="1565" t="s">
        <v>8</v>
      </c>
      <c r="U35" s="1566">
        <f t="shared" si="13"/>
        <v>100</v>
      </c>
      <c r="V35" s="1565" t="s">
        <v>8</v>
      </c>
      <c r="W35" s="1566">
        <f t="shared" si="14"/>
        <v>100</v>
      </c>
      <c r="X35" s="1559"/>
      <c r="Y35" s="3782"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782"/>
      <c r="Q36" s="1564" t="str">
        <f t="shared" si="11"/>
        <v>内部装修</v>
      </c>
      <c r="R36" s="1565" t="s">
        <v>8</v>
      </c>
      <c r="S36" s="1566">
        <f t="shared" si="12"/>
        <v>100</v>
      </c>
      <c r="T36" s="1565" t="s">
        <v>8</v>
      </c>
      <c r="U36" s="1566">
        <f t="shared" si="13"/>
        <v>100</v>
      </c>
      <c r="V36" s="1565" t="s">
        <v>8</v>
      </c>
      <c r="W36" s="1566">
        <f t="shared" si="14"/>
        <v>100</v>
      </c>
      <c r="X36" s="1559"/>
      <c r="Y36" s="3782"/>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782"/>
      <c r="Q37" s="1564" t="str">
        <f t="shared" si="11"/>
        <v>内部装修状况</v>
      </c>
      <c r="R37" s="1565" t="s">
        <v>8</v>
      </c>
      <c r="S37" s="1566">
        <f t="shared" si="12"/>
        <v>100</v>
      </c>
      <c r="T37" s="1565" t="s">
        <v>8</v>
      </c>
      <c r="U37" s="1566">
        <f t="shared" si="13"/>
        <v>100</v>
      </c>
      <c r="V37" s="1565" t="s">
        <v>8</v>
      </c>
      <c r="W37" s="1566">
        <f t="shared" si="14"/>
        <v>100</v>
      </c>
      <c r="X37" s="1559"/>
      <c r="Y37" s="3782"/>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782"/>
      <c r="Q38" s="1597">
        <f t="shared" si="11"/>
        <v>111</v>
      </c>
      <c r="R38" s="1569" t="s">
        <v>8</v>
      </c>
      <c r="S38" s="1570">
        <f t="shared" si="12"/>
        <v>100</v>
      </c>
      <c r="T38" s="1569" t="s">
        <v>8</v>
      </c>
      <c r="U38" s="1570">
        <f t="shared" si="13"/>
        <v>100</v>
      </c>
      <c r="V38" s="1569" t="s">
        <v>8</v>
      </c>
      <c r="W38" s="1570">
        <f t="shared" si="14"/>
        <v>100</v>
      </c>
      <c r="X38" s="1571"/>
      <c r="Y38" s="3782"/>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782"/>
      <c r="Q39" s="1564">
        <f t="shared" si="11"/>
        <v>111</v>
      </c>
      <c r="R39" s="1565" t="s">
        <v>8</v>
      </c>
      <c r="S39" s="1566">
        <f t="shared" si="12"/>
        <v>100</v>
      </c>
      <c r="T39" s="1565" t="s">
        <v>8</v>
      </c>
      <c r="U39" s="1566">
        <f t="shared" si="13"/>
        <v>100</v>
      </c>
      <c r="V39" s="1565" t="s">
        <v>8</v>
      </c>
      <c r="W39" s="1566">
        <f t="shared" si="14"/>
        <v>100</v>
      </c>
      <c r="X39" s="1559"/>
      <c r="Y39" s="3782"/>
      <c r="Z39" s="1567">
        <f t="shared" si="15"/>
        <v>111</v>
      </c>
      <c r="AA39" s="1568">
        <f t="shared" si="3"/>
        <v>1</v>
      </c>
      <c r="AB39" s="1568">
        <f t="shared" si="4"/>
        <v>1</v>
      </c>
      <c r="AC39" s="1568">
        <f t="shared" si="5"/>
        <v>1</v>
      </c>
    </row>
    <row r="40" spans="1:29" ht="15.6"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79"/>
      <c r="Q40" s="1564">
        <f t="shared" si="11"/>
        <v>111</v>
      </c>
      <c r="R40" s="1565" t="s">
        <v>8</v>
      </c>
      <c r="S40" s="1566">
        <f t="shared" si="12"/>
        <v>100</v>
      </c>
      <c r="T40" s="1565" t="s">
        <v>8</v>
      </c>
      <c r="U40" s="1566">
        <f t="shared" si="13"/>
        <v>100</v>
      </c>
      <c r="V40" s="1565" t="s">
        <v>8</v>
      </c>
      <c r="W40" s="1566">
        <f t="shared" si="14"/>
        <v>100</v>
      </c>
      <c r="X40" s="1559"/>
      <c r="Y40" s="3879"/>
      <c r="Z40" s="1567">
        <f t="shared" si="15"/>
        <v>111</v>
      </c>
      <c r="AA40" s="1568">
        <f t="shared" si="3"/>
        <v>1</v>
      </c>
      <c r="AB40" s="1568">
        <f t="shared" si="4"/>
        <v>1</v>
      </c>
      <c r="AC40" s="1568">
        <f t="shared" si="5"/>
        <v>1</v>
      </c>
    </row>
    <row r="41" spans="1:29" ht="14.4">
      <c r="A41" s="604" t="s">
        <v>737</v>
      </c>
      <c r="B41" s="880"/>
      <c r="C41" s="2643" t="s">
        <v>1</v>
      </c>
      <c r="D41" s="2644"/>
      <c r="E41" s="2645"/>
      <c r="F41" s="2646"/>
      <c r="G41" s="2647"/>
      <c r="H41" s="2648"/>
      <c r="I41" s="2645"/>
      <c r="J41" s="2648"/>
      <c r="K41" s="1603"/>
      <c r="L41" s="2136"/>
      <c r="M41" s="2137"/>
      <c r="N41" s="2126"/>
      <c r="O41" s="2137"/>
      <c r="P41" s="3777" t="str">
        <f>A41</f>
        <v>成交单价（元/平方米）</v>
      </c>
      <c r="Q41" s="3777"/>
      <c r="R41" s="3878">
        <f>E41</f>
        <v>0</v>
      </c>
      <c r="S41" s="3878"/>
      <c r="T41" s="3878">
        <f>G41</f>
        <v>0</v>
      </c>
      <c r="U41" s="3878"/>
      <c r="V41" s="3878">
        <f>I41</f>
        <v>0</v>
      </c>
      <c r="W41" s="3878"/>
      <c r="X41" s="1551"/>
      <c r="Y41" s="1573"/>
      <c r="Z41" s="1551"/>
      <c r="AA41" s="1551"/>
      <c r="AB41" s="1551"/>
      <c r="AC41" s="1551"/>
    </row>
    <row r="42" spans="1:29" ht="1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77" t="str">
        <f>A42</f>
        <v>比较价格（元/平方米）</v>
      </c>
      <c r="Q42" s="3777"/>
      <c r="R42" s="3878" t="e">
        <f>IF(F1="售价",ROUND(PRODUCT(R41,AA7:AA40),0),ROUND(PRODUCT(R41,AA7:AA40),1))</f>
        <v>#DIV/0!</v>
      </c>
      <c r="S42" s="3878"/>
      <c r="T42" s="3878" t="e">
        <f>IF(F1="售价",ROUND(PRODUCT(T41,AB7:AB40),0),ROUND(PRODUCT(T41,AB7:AB40),1))</f>
        <v>#DIV/0!</v>
      </c>
      <c r="U42" s="3878"/>
      <c r="V42" s="3878" t="e">
        <f>IF(F1="售价",ROUND(PRODUCT(V41,AC7:AC40),0),ROUND(PRODUCT(V41,AC7:AC40),1))</f>
        <v>#DIV/0!</v>
      </c>
      <c r="W42" s="3878"/>
      <c r="X42" s="1551"/>
      <c r="Y42" s="1551"/>
      <c r="Z42" s="1551"/>
      <c r="AA42" s="1551"/>
      <c r="AB42" s="1551"/>
      <c r="AC42" s="1551"/>
    </row>
    <row r="43" spans="1:29" ht="15" thickBot="1">
      <c r="A43" s="618" t="s">
        <v>2935</v>
      </c>
      <c r="B43" s="619"/>
      <c r="C43" s="2652" t="e">
        <f>R43</f>
        <v>#DIV/0!</v>
      </c>
      <c r="D43" s="2652"/>
      <c r="E43" s="2652"/>
      <c r="F43" s="2652"/>
      <c r="G43" s="2652"/>
      <c r="H43" s="2652"/>
      <c r="I43" s="2652"/>
      <c r="J43" s="2652"/>
      <c r="K43" s="1605"/>
      <c r="L43" s="2136"/>
      <c r="M43" s="2137"/>
      <c r="N43" s="2137"/>
      <c r="O43" s="2137"/>
      <c r="P43" s="3798" t="str">
        <f>A43</f>
        <v>估价对象XX用房的比较价格（楼面单价，元/平方米）</v>
      </c>
      <c r="Q43" s="3799"/>
      <c r="R43" s="3877" t="e">
        <f>IF(F1="售价",ROUND(AVERAGE(R42:V42),0),ROUND(AVERAGE(R42:V42),1))</f>
        <v>#DIV/0!</v>
      </c>
      <c r="S43" s="3877"/>
      <c r="T43" s="3877"/>
      <c r="U43" s="3877"/>
      <c r="V43" s="3877"/>
      <c r="W43" s="3877"/>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2.2"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4.4">
      <c r="A52" s="642" t="s">
        <v>530</v>
      </c>
      <c r="B52" s="643"/>
      <c r="C52" s="2819" t="str">
        <f>YEAR(C7)&amp;"-"&amp;MONTH(C7)</f>
        <v>2020-4</v>
      </c>
      <c r="D52" s="2821">
        <f>EDATE(C52,-1)</f>
        <v>43891</v>
      </c>
      <c r="E52" s="2821">
        <f t="shared" ref="E52:O52" si="16">EDATE(D52,-1)</f>
        <v>43862</v>
      </c>
      <c r="F52" s="2821">
        <f t="shared" si="16"/>
        <v>43831</v>
      </c>
      <c r="G52" s="2821">
        <f t="shared" si="16"/>
        <v>43800</v>
      </c>
      <c r="H52" s="2821">
        <f t="shared" si="16"/>
        <v>43770</v>
      </c>
      <c r="I52" s="2821">
        <f t="shared" si="16"/>
        <v>43739</v>
      </c>
      <c r="J52" s="2821">
        <f t="shared" si="16"/>
        <v>43709</v>
      </c>
      <c r="K52" s="2821">
        <f t="shared" si="16"/>
        <v>43678</v>
      </c>
      <c r="L52" s="2821">
        <f t="shared" si="16"/>
        <v>43647</v>
      </c>
      <c r="M52" s="2821">
        <f t="shared" si="16"/>
        <v>43617</v>
      </c>
      <c r="N52" s="2821">
        <f t="shared" si="16"/>
        <v>43586</v>
      </c>
      <c r="O52" s="2821">
        <f t="shared" si="16"/>
        <v>43556</v>
      </c>
      <c r="P52" s="2152"/>
      <c r="Q52" s="2153"/>
      <c r="R52" s="2153"/>
      <c r="S52" s="2153"/>
      <c r="T52" s="2153"/>
      <c r="U52" s="2153"/>
      <c r="V52" s="2153"/>
      <c r="W52" s="2153"/>
      <c r="X52" s="2153"/>
      <c r="Y52" s="2153"/>
      <c r="Z52" s="2153"/>
      <c r="AA52" s="2153"/>
      <c r="AB52" s="2153"/>
      <c r="AC52" s="2153"/>
    </row>
    <row r="53" spans="1:29" s="1213" customFormat="1">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4.4">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4.4"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ht="14.4">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4.4"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9.4"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4.4"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4.4"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4.4"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4.4"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4.4"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4.4"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ht="14.4">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4.4"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4.4"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4.4"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4.4"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4.4"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4.4"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4.4"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4.4"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ht="14.4">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4.4"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9.4"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4.4"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4.4"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4.4"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4.4"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4.4"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4.4"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4.4">
      <c r="A4" s="510" t="s">
        <v>798</v>
      </c>
      <c r="B4" s="511"/>
      <c r="C4" s="3783" t="s">
        <v>799</v>
      </c>
      <c r="D4" s="3784"/>
      <c r="E4" s="3783" t="s">
        <v>800</v>
      </c>
      <c r="F4" s="3784"/>
      <c r="G4" s="3783" t="s">
        <v>801</v>
      </c>
      <c r="H4" s="3784"/>
      <c r="I4" s="3783" t="s">
        <v>802</v>
      </c>
      <c r="J4" s="3784"/>
      <c r="K4" s="512" t="s">
        <v>803</v>
      </c>
      <c r="L4" s="2125"/>
      <c r="M4" s="2126"/>
      <c r="N4" s="2126"/>
      <c r="O4" s="2126"/>
      <c r="P4" s="3785" t="s">
        <v>804</v>
      </c>
      <c r="Q4" s="3786"/>
      <c r="R4" s="3771" t="s">
        <v>800</v>
      </c>
      <c r="S4" s="3772"/>
      <c r="T4" s="3771" t="s">
        <v>801</v>
      </c>
      <c r="U4" s="3772"/>
      <c r="V4" s="3791" t="s">
        <v>802</v>
      </c>
      <c r="W4" s="3791"/>
      <c r="X4" s="1559"/>
      <c r="Y4" s="3771" t="s">
        <v>804</v>
      </c>
      <c r="Z4" s="3772"/>
      <c r="AA4" s="3766" t="s">
        <v>800</v>
      </c>
      <c r="AB4" s="3767" t="s">
        <v>801</v>
      </c>
      <c r="AC4" s="3766" t="s">
        <v>802</v>
      </c>
    </row>
    <row r="5" spans="1:29">
      <c r="A5" s="513"/>
      <c r="B5" s="514"/>
      <c r="C5" s="3794" t="s">
        <v>2929</v>
      </c>
      <c r="D5" s="3795"/>
      <c r="E5" s="3794" t="s">
        <v>2930</v>
      </c>
      <c r="F5" s="3795"/>
      <c r="G5" s="3794" t="s">
        <v>2931</v>
      </c>
      <c r="H5" s="3795"/>
      <c r="I5" s="3794" t="s">
        <v>2932</v>
      </c>
      <c r="J5" s="3795"/>
      <c r="K5" s="512"/>
      <c r="L5" s="2125"/>
      <c r="M5" s="2126"/>
      <c r="N5" s="2126"/>
      <c r="O5" s="2126"/>
      <c r="P5" s="3787"/>
      <c r="Q5" s="3788"/>
      <c r="R5" s="3773"/>
      <c r="S5" s="3774"/>
      <c r="T5" s="3773"/>
      <c r="U5" s="3774"/>
      <c r="V5" s="3791"/>
      <c r="W5" s="3791"/>
      <c r="X5" s="1559"/>
      <c r="Y5" s="3773"/>
      <c r="Z5" s="3774"/>
      <c r="AA5" s="3767"/>
      <c r="AB5" s="3767"/>
      <c r="AC5" s="3767"/>
    </row>
    <row r="6" spans="1:29" ht="15" thickBot="1">
      <c r="A6" s="515"/>
      <c r="B6" s="516"/>
      <c r="C6" s="3792" t="s">
        <v>2933</v>
      </c>
      <c r="D6" s="3793"/>
      <c r="E6" s="3796" t="s">
        <v>2933</v>
      </c>
      <c r="F6" s="3797"/>
      <c r="G6" s="3792" t="s">
        <v>2933</v>
      </c>
      <c r="H6" s="3793"/>
      <c r="I6" s="3792" t="s">
        <v>2933</v>
      </c>
      <c r="J6" s="3793"/>
      <c r="K6" s="512" t="s">
        <v>529</v>
      </c>
      <c r="L6" s="2125"/>
      <c r="M6" s="2126"/>
      <c r="N6" s="2126"/>
      <c r="O6" s="2126"/>
      <c r="P6" s="3789"/>
      <c r="Q6" s="3790"/>
      <c r="R6" s="3773"/>
      <c r="S6" s="3774"/>
      <c r="T6" s="3775"/>
      <c r="U6" s="3776"/>
      <c r="V6" s="3791"/>
      <c r="W6" s="3791"/>
      <c r="X6" s="1559"/>
      <c r="Y6" s="3775"/>
      <c r="Z6" s="3776"/>
      <c r="AA6" s="3768"/>
      <c r="AB6" s="3768"/>
      <c r="AC6" s="3768"/>
    </row>
    <row r="7" spans="1:29" s="1213" customFormat="1" ht="15" thickBot="1">
      <c r="A7" s="2928"/>
      <c r="B7" s="2935" t="s">
        <v>530</v>
      </c>
      <c r="C7" s="517">
        <f>'数据-取费表'!B2</f>
        <v>43924</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69" t="s">
        <v>531</v>
      </c>
      <c r="Q7" s="3778"/>
      <c r="R7" s="1560" t="s">
        <v>8</v>
      </c>
      <c r="S7" s="1561">
        <f t="shared" ref="S7:S14" si="0">F7</f>
        <v>0</v>
      </c>
      <c r="T7" s="1560" t="s">
        <v>8</v>
      </c>
      <c r="U7" s="1561">
        <f t="shared" ref="U7:U14" si="1">H7</f>
        <v>0</v>
      </c>
      <c r="V7" s="1560" t="s">
        <v>8</v>
      </c>
      <c r="W7" s="1561">
        <f t="shared" ref="W7:W14" si="2">J7</f>
        <v>0</v>
      </c>
      <c r="X7" s="1562"/>
      <c r="Y7" s="3769" t="s">
        <v>531</v>
      </c>
      <c r="Z7" s="3770"/>
      <c r="AA7" s="1563" t="e">
        <f>D7/F7</f>
        <v>#DIV/0!</v>
      </c>
      <c r="AB7" s="1563" t="e">
        <f>D7/H7</f>
        <v>#DIV/0!</v>
      </c>
      <c r="AC7" s="1563" t="e">
        <f>D7/J7</f>
        <v>#DIV/0!</v>
      </c>
    </row>
    <row r="8" spans="1:29" s="1213" customFormat="1" ht="1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69" t="s">
        <v>534</v>
      </c>
      <c r="Q8" s="3770"/>
      <c r="R8" s="1560" t="s">
        <v>8</v>
      </c>
      <c r="S8" s="1561">
        <f t="shared" si="0"/>
        <v>0</v>
      </c>
      <c r="T8" s="1560" t="s">
        <v>8</v>
      </c>
      <c r="U8" s="1561">
        <f t="shared" si="1"/>
        <v>0</v>
      </c>
      <c r="V8" s="1560" t="s">
        <v>8</v>
      </c>
      <c r="W8" s="1561">
        <f t="shared" si="2"/>
        <v>0</v>
      </c>
      <c r="X8" s="1562"/>
      <c r="Y8" s="3769" t="s">
        <v>534</v>
      </c>
      <c r="Z8" s="3770"/>
      <c r="AA8" s="1563" t="e">
        <f t="shared" ref="AA8:AA36" si="3">D8/F8</f>
        <v>#DIV/0!</v>
      </c>
      <c r="AB8" s="1563" t="e">
        <f t="shared" ref="AB8:AB36" si="4">D8/H8</f>
        <v>#DIV/0!</v>
      </c>
      <c r="AC8" s="1563" t="e">
        <f t="shared" ref="AC8:AC36" si="5">D8/J8</f>
        <v>#DIV/0!</v>
      </c>
    </row>
    <row r="9" spans="1:29" s="1213" customFormat="1" ht="14.4">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77" t="s">
        <v>536</v>
      </c>
      <c r="Q9" s="1144" t="str">
        <f t="shared" ref="Q9:Q14" si="6">B9</f>
        <v>用途</v>
      </c>
      <c r="R9" s="1560" t="s">
        <v>8</v>
      </c>
      <c r="S9" s="1561">
        <f t="shared" si="0"/>
        <v>100</v>
      </c>
      <c r="T9" s="1560" t="s">
        <v>8</v>
      </c>
      <c r="U9" s="1561">
        <f t="shared" si="1"/>
        <v>100</v>
      </c>
      <c r="V9" s="1560" t="s">
        <v>8</v>
      </c>
      <c r="W9" s="1561">
        <f t="shared" si="2"/>
        <v>100</v>
      </c>
      <c r="X9" s="1562"/>
      <c r="Y9" s="3734" t="s">
        <v>537</v>
      </c>
      <c r="Z9" s="1143" t="str">
        <f t="shared" ref="Z9:Z14" si="7">Q9</f>
        <v>用途</v>
      </c>
      <c r="AA9" s="1563">
        <f t="shared" si="3"/>
        <v>1</v>
      </c>
      <c r="AB9" s="1563">
        <f t="shared" si="4"/>
        <v>1</v>
      </c>
      <c r="AC9" s="1563">
        <f t="shared" si="5"/>
        <v>1</v>
      </c>
    </row>
    <row r="10" spans="1:29" s="1331" customFormat="1" ht="28.8">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77"/>
      <c r="Q11" s="1144">
        <f t="shared" si="6"/>
        <v>111</v>
      </c>
      <c r="R11" s="1560" t="s">
        <v>8</v>
      </c>
      <c r="S11" s="1561">
        <f t="shared" si="0"/>
        <v>100</v>
      </c>
      <c r="T11" s="1560" t="s">
        <v>8</v>
      </c>
      <c r="U11" s="1561">
        <f t="shared" si="1"/>
        <v>100</v>
      </c>
      <c r="V11" s="1560" t="s">
        <v>8</v>
      </c>
      <c r="W11" s="1561">
        <f t="shared" si="2"/>
        <v>100</v>
      </c>
      <c r="X11" s="1562"/>
      <c r="Y11" s="3734"/>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77"/>
      <c r="Q12" s="1144">
        <f t="shared" si="6"/>
        <v>111</v>
      </c>
      <c r="R12" s="1560" t="s">
        <v>8</v>
      </c>
      <c r="S12" s="1561">
        <f t="shared" si="0"/>
        <v>100</v>
      </c>
      <c r="T12" s="1560" t="s">
        <v>8</v>
      </c>
      <c r="U12" s="1561">
        <f t="shared" si="1"/>
        <v>100</v>
      </c>
      <c r="V12" s="1560" t="s">
        <v>8</v>
      </c>
      <c r="W12" s="1561">
        <f t="shared" si="2"/>
        <v>100</v>
      </c>
      <c r="X12" s="1562"/>
      <c r="Y12" s="3734"/>
      <c r="Z12" s="1143">
        <f t="shared" si="7"/>
        <v>111</v>
      </c>
      <c r="AA12" s="1563">
        <f>D12/F12</f>
        <v>1</v>
      </c>
      <c r="AB12" s="1563">
        <f>D12/H12</f>
        <v>1</v>
      </c>
      <c r="AC12" s="1563">
        <f>D12/J12</f>
        <v>1</v>
      </c>
    </row>
    <row r="13" spans="1:29" ht="15.6"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77"/>
      <c r="Q13" s="1144">
        <f t="shared" si="6"/>
        <v>111</v>
      </c>
      <c r="R13" s="1560" t="s">
        <v>8</v>
      </c>
      <c r="S13" s="1561">
        <f t="shared" si="0"/>
        <v>100</v>
      </c>
      <c r="T13" s="1560" t="s">
        <v>8</v>
      </c>
      <c r="U13" s="1561">
        <f t="shared" si="1"/>
        <v>100</v>
      </c>
      <c r="V13" s="1560" t="s">
        <v>8</v>
      </c>
      <c r="W13" s="1561">
        <f t="shared" si="2"/>
        <v>100</v>
      </c>
      <c r="X13" s="1562"/>
      <c r="Y13" s="3734"/>
      <c r="Z13" s="1143">
        <f t="shared" si="7"/>
        <v>111</v>
      </c>
      <c r="AA13" s="1563">
        <f t="shared" si="3"/>
        <v>1</v>
      </c>
      <c r="AB13" s="1563">
        <f t="shared" si="4"/>
        <v>1</v>
      </c>
      <c r="AC13" s="1563">
        <f t="shared" si="5"/>
        <v>1</v>
      </c>
    </row>
    <row r="14" spans="1:29" ht="124.2">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79" t="s">
        <v>541</v>
      </c>
      <c r="Q14" s="1564" t="str">
        <f t="shared" si="6"/>
        <v>交通便捷度</v>
      </c>
      <c r="R14" s="1565" t="s">
        <v>8</v>
      </c>
      <c r="S14" s="1566">
        <f t="shared" si="0"/>
        <v>100</v>
      </c>
      <c r="T14" s="1565" t="s">
        <v>8</v>
      </c>
      <c r="U14" s="1566">
        <f t="shared" si="1"/>
        <v>100</v>
      </c>
      <c r="V14" s="1565" t="s">
        <v>8</v>
      </c>
      <c r="W14" s="1566">
        <f t="shared" si="2"/>
        <v>100</v>
      </c>
      <c r="X14" s="1559"/>
      <c r="Y14" s="3779"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80"/>
      <c r="Q15" s="1564"/>
      <c r="R15" s="1565"/>
      <c r="S15" s="1566"/>
      <c r="T15" s="1565"/>
      <c r="U15" s="1566"/>
      <c r="V15" s="1565"/>
      <c r="W15" s="1566"/>
      <c r="X15" s="1559"/>
      <c r="Y15" s="3780"/>
      <c r="Z15" s="1567"/>
      <c r="AA15" s="1568">
        <v>1</v>
      </c>
      <c r="AB15" s="1568">
        <v>1</v>
      </c>
      <c r="AC15" s="1568">
        <v>1</v>
      </c>
    </row>
    <row r="16" spans="1:29" ht="110.4">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80"/>
      <c r="Q16" s="1564" t="str">
        <f>B16</f>
        <v>公共配套设施</v>
      </c>
      <c r="R16" s="1565" t="s">
        <v>8</v>
      </c>
      <c r="S16" s="1566">
        <f>F16</f>
        <v>100</v>
      </c>
      <c r="T16" s="1565" t="s">
        <v>8</v>
      </c>
      <c r="U16" s="1566">
        <f>H16</f>
        <v>100</v>
      </c>
      <c r="V16" s="1565" t="s">
        <v>8</v>
      </c>
      <c r="W16" s="1566">
        <f>J16</f>
        <v>100</v>
      </c>
      <c r="X16" s="1559"/>
      <c r="Y16" s="3780"/>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80"/>
      <c r="Q17" s="1564"/>
      <c r="R17" s="1565"/>
      <c r="S17" s="1566"/>
      <c r="T17" s="1565"/>
      <c r="U17" s="1566"/>
      <c r="V17" s="1565"/>
      <c r="W17" s="1566"/>
      <c r="X17" s="1559"/>
      <c r="Y17" s="3780"/>
      <c r="Z17" s="1567"/>
      <c r="AA17" s="1568">
        <v>1</v>
      </c>
      <c r="AB17" s="1568">
        <v>1</v>
      </c>
      <c r="AC17" s="1568">
        <v>1</v>
      </c>
    </row>
    <row r="18" spans="1:29" ht="41.4">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80"/>
      <c r="Q18" s="2595" t="str">
        <f>B18</f>
        <v>基础设施水平</v>
      </c>
      <c r="R18" s="1565" t="s">
        <v>8</v>
      </c>
      <c r="S18" s="1566">
        <f>F18</f>
        <v>100</v>
      </c>
      <c r="T18" s="1565" t="s">
        <v>8</v>
      </c>
      <c r="U18" s="1566">
        <f>H18</f>
        <v>100</v>
      </c>
      <c r="V18" s="1565" t="s">
        <v>8</v>
      </c>
      <c r="W18" s="1566">
        <f>J18</f>
        <v>100</v>
      </c>
      <c r="X18" s="2597"/>
      <c r="Y18" s="3780"/>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80"/>
      <c r="Q19" s="2595"/>
      <c r="R19" s="1565"/>
      <c r="S19" s="1566"/>
      <c r="T19" s="1565"/>
      <c r="U19" s="1566"/>
      <c r="V19" s="1565"/>
      <c r="W19" s="1566"/>
      <c r="X19" s="2597"/>
      <c r="Y19" s="3780"/>
      <c r="Z19" s="2596"/>
      <c r="AA19" s="1568">
        <v>1</v>
      </c>
      <c r="AB19" s="1568">
        <v>1</v>
      </c>
      <c r="AC19" s="1568">
        <v>1</v>
      </c>
    </row>
    <row r="20" spans="1:29" ht="110.4">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80"/>
      <c r="Q20" s="1564" t="str">
        <f>B20</f>
        <v>自然及人文环境</v>
      </c>
      <c r="R20" s="1565" t="s">
        <v>8</v>
      </c>
      <c r="S20" s="1566">
        <f>F20</f>
        <v>100</v>
      </c>
      <c r="T20" s="1565" t="s">
        <v>8</v>
      </c>
      <c r="U20" s="1566">
        <f>H20</f>
        <v>100</v>
      </c>
      <c r="V20" s="1565" t="s">
        <v>8</v>
      </c>
      <c r="W20" s="1566">
        <f>J20</f>
        <v>100</v>
      </c>
      <c r="X20" s="1559"/>
      <c r="Y20" s="3780"/>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80"/>
      <c r="Q21" s="1564"/>
      <c r="R21" s="1565"/>
      <c r="S21" s="1566"/>
      <c r="T21" s="1565"/>
      <c r="U21" s="1566"/>
      <c r="V21" s="1565"/>
      <c r="W21" s="1566"/>
      <c r="X21" s="1559"/>
      <c r="Y21" s="3780"/>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80"/>
      <c r="Q22" s="1564" t="str">
        <f>B22</f>
        <v>楼层</v>
      </c>
      <c r="R22" s="1565" t="s">
        <v>8</v>
      </c>
      <c r="S22" s="1566">
        <f>F22</f>
        <v>100</v>
      </c>
      <c r="T22" s="1565" t="s">
        <v>8</v>
      </c>
      <c r="U22" s="1566">
        <f>H22</f>
        <v>100</v>
      </c>
      <c r="V22" s="1565" t="s">
        <v>8</v>
      </c>
      <c r="W22" s="1566">
        <f>J22</f>
        <v>100</v>
      </c>
      <c r="X22" s="1559"/>
      <c r="Y22" s="3780"/>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80"/>
      <c r="Q23" s="1564">
        <f>B23</f>
        <v>111</v>
      </c>
      <c r="R23" s="1565" t="s">
        <v>8</v>
      </c>
      <c r="S23" s="1566">
        <f>F23</f>
        <v>100</v>
      </c>
      <c r="T23" s="1565" t="s">
        <v>8</v>
      </c>
      <c r="U23" s="1566">
        <f>H23</f>
        <v>100</v>
      </c>
      <c r="V23" s="1565" t="s">
        <v>8</v>
      </c>
      <c r="W23" s="1566">
        <f>J23</f>
        <v>100</v>
      </c>
      <c r="X23" s="1559"/>
      <c r="Y23" s="3780"/>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80"/>
      <c r="Q24" s="1564">
        <f t="shared" ref="Q24:Q36" si="11">B24</f>
        <v>111</v>
      </c>
      <c r="R24" s="1565" t="s">
        <v>8</v>
      </c>
      <c r="S24" s="1566">
        <f>F24</f>
        <v>100</v>
      </c>
      <c r="T24" s="1565" t="s">
        <v>8</v>
      </c>
      <c r="U24" s="1566">
        <f>H24</f>
        <v>100</v>
      </c>
      <c r="V24" s="1565" t="s">
        <v>8</v>
      </c>
      <c r="W24" s="1566">
        <f>J24</f>
        <v>100</v>
      </c>
      <c r="X24" s="1559"/>
      <c r="Y24" s="3780"/>
      <c r="Z24" s="1567">
        <f>Q24</f>
        <v>111</v>
      </c>
      <c r="AA24" s="1568">
        <f t="shared" si="3"/>
        <v>1</v>
      </c>
      <c r="AB24" s="1568">
        <f t="shared" si="4"/>
        <v>1</v>
      </c>
      <c r="AC24" s="1568">
        <f t="shared" si="5"/>
        <v>1</v>
      </c>
    </row>
    <row r="25" spans="1:29" s="1213" customFormat="1" ht="15.6"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80"/>
      <c r="Q25" s="1144">
        <f t="shared" si="11"/>
        <v>111</v>
      </c>
      <c r="R25" s="1560" t="s">
        <v>8</v>
      </c>
      <c r="S25" s="1561">
        <f>F25</f>
        <v>100</v>
      </c>
      <c r="T25" s="1560" t="s">
        <v>8</v>
      </c>
      <c r="U25" s="1561">
        <f>H25</f>
        <v>100</v>
      </c>
      <c r="V25" s="1560" t="s">
        <v>8</v>
      </c>
      <c r="W25" s="1561">
        <f>J25</f>
        <v>100</v>
      </c>
      <c r="X25" s="1562"/>
      <c r="Y25" s="3780"/>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781"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82"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782"/>
      <c r="Q27" s="1597" t="str">
        <f t="shared" si="11"/>
        <v>项目停车位配比</v>
      </c>
      <c r="R27" s="1569" t="s">
        <v>8</v>
      </c>
      <c r="S27" s="1570">
        <f t="shared" si="12"/>
        <v>100</v>
      </c>
      <c r="T27" s="1569" t="s">
        <v>8</v>
      </c>
      <c r="U27" s="1570">
        <f t="shared" si="13"/>
        <v>100</v>
      </c>
      <c r="V27" s="1569" t="s">
        <v>8</v>
      </c>
      <c r="W27" s="1570">
        <f t="shared" si="14"/>
        <v>100</v>
      </c>
      <c r="X27" s="1571"/>
      <c r="Y27" s="3782"/>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782"/>
      <c r="Q28" s="1564" t="str">
        <f t="shared" si="11"/>
        <v>公共部分装修</v>
      </c>
      <c r="R28" s="1565" t="s">
        <v>8</v>
      </c>
      <c r="S28" s="1566">
        <f t="shared" si="12"/>
        <v>100</v>
      </c>
      <c r="T28" s="1565" t="s">
        <v>8</v>
      </c>
      <c r="U28" s="1566">
        <f t="shared" si="13"/>
        <v>100</v>
      </c>
      <c r="V28" s="1565" t="s">
        <v>8</v>
      </c>
      <c r="W28" s="1566">
        <f t="shared" si="14"/>
        <v>100</v>
      </c>
      <c r="X28" s="1559"/>
      <c r="Y28" s="3782"/>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782"/>
      <c r="Q29" s="1564" t="str">
        <f t="shared" si="11"/>
        <v>成新率</v>
      </c>
      <c r="R29" s="1565" t="s">
        <v>8</v>
      </c>
      <c r="S29" s="1566" t="e">
        <f t="shared" si="12"/>
        <v>#N/A</v>
      </c>
      <c r="T29" s="1565" t="s">
        <v>8</v>
      </c>
      <c r="U29" s="1566" t="e">
        <f t="shared" si="13"/>
        <v>#N/A</v>
      </c>
      <c r="V29" s="1565" t="s">
        <v>8</v>
      </c>
      <c r="W29" s="1566" t="e">
        <f t="shared" si="14"/>
        <v>#N/A</v>
      </c>
      <c r="X29" s="1559"/>
      <c r="Y29" s="3782"/>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782"/>
      <c r="Q30" s="1564" t="str">
        <f t="shared" si="11"/>
        <v>物业等级</v>
      </c>
      <c r="R30" s="1565" t="s">
        <v>8</v>
      </c>
      <c r="S30" s="1566">
        <f t="shared" si="12"/>
        <v>100</v>
      </c>
      <c r="T30" s="1565" t="s">
        <v>8</v>
      </c>
      <c r="U30" s="1566">
        <f t="shared" si="13"/>
        <v>100</v>
      </c>
      <c r="V30" s="1565" t="s">
        <v>8</v>
      </c>
      <c r="W30" s="1566">
        <f t="shared" si="14"/>
        <v>100</v>
      </c>
      <c r="X30" s="1559"/>
      <c r="Y30" s="3782"/>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782"/>
      <c r="Q31" s="1144" t="str">
        <f t="shared" si="11"/>
        <v>停车位面积</v>
      </c>
      <c r="R31" s="1560" t="s">
        <v>8</v>
      </c>
      <c r="S31" s="1561" t="e">
        <f t="shared" si="12"/>
        <v>#N/A</v>
      </c>
      <c r="T31" s="1560" t="s">
        <v>8</v>
      </c>
      <c r="U31" s="1561" t="e">
        <f t="shared" si="13"/>
        <v>#N/A</v>
      </c>
      <c r="V31" s="1560" t="s">
        <v>8</v>
      </c>
      <c r="W31" s="1561" t="e">
        <f t="shared" si="14"/>
        <v>#N/A</v>
      </c>
      <c r="X31" s="1562"/>
      <c r="Y31" s="3782"/>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782" t="s">
        <v>551</v>
      </c>
      <c r="Q32" s="1564" t="str">
        <f t="shared" si="11"/>
        <v>车位类型</v>
      </c>
      <c r="R32" s="1565" t="s">
        <v>8</v>
      </c>
      <c r="S32" s="1566">
        <f t="shared" si="12"/>
        <v>100</v>
      </c>
      <c r="T32" s="1565" t="s">
        <v>8</v>
      </c>
      <c r="U32" s="1566">
        <f t="shared" si="13"/>
        <v>100</v>
      </c>
      <c r="V32" s="1565" t="s">
        <v>8</v>
      </c>
      <c r="W32" s="1566">
        <f t="shared" si="14"/>
        <v>100</v>
      </c>
      <c r="X32" s="1559"/>
      <c r="Y32" s="3782"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782"/>
      <c r="Q33" s="1564" t="str">
        <f t="shared" si="11"/>
        <v>是否直接入户</v>
      </c>
      <c r="R33" s="1565" t="s">
        <v>8</v>
      </c>
      <c r="S33" s="1566">
        <f t="shared" si="12"/>
        <v>100</v>
      </c>
      <c r="T33" s="1565" t="s">
        <v>8</v>
      </c>
      <c r="U33" s="1566">
        <f t="shared" si="13"/>
        <v>100</v>
      </c>
      <c r="V33" s="1565" t="s">
        <v>8</v>
      </c>
      <c r="W33" s="1566">
        <f t="shared" si="14"/>
        <v>100</v>
      </c>
      <c r="X33" s="1559"/>
      <c r="Y33" s="3782"/>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782"/>
      <c r="Q34" s="1564">
        <f t="shared" si="11"/>
        <v>111</v>
      </c>
      <c r="R34" s="1565" t="s">
        <v>8</v>
      </c>
      <c r="S34" s="1566">
        <f t="shared" si="12"/>
        <v>100</v>
      </c>
      <c r="T34" s="1565" t="s">
        <v>8</v>
      </c>
      <c r="U34" s="1566">
        <f t="shared" si="13"/>
        <v>100</v>
      </c>
      <c r="V34" s="1565" t="s">
        <v>8</v>
      </c>
      <c r="W34" s="1566">
        <f t="shared" si="14"/>
        <v>100</v>
      </c>
      <c r="X34" s="1559"/>
      <c r="Y34" s="3782"/>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782"/>
      <c r="Q35" s="1597">
        <f t="shared" si="11"/>
        <v>111</v>
      </c>
      <c r="R35" s="1569" t="s">
        <v>8</v>
      </c>
      <c r="S35" s="1570">
        <f t="shared" si="12"/>
        <v>100</v>
      </c>
      <c r="T35" s="1569" t="s">
        <v>8</v>
      </c>
      <c r="U35" s="1570">
        <f t="shared" si="13"/>
        <v>100</v>
      </c>
      <c r="V35" s="1569" t="s">
        <v>8</v>
      </c>
      <c r="W35" s="1570">
        <f t="shared" si="14"/>
        <v>100</v>
      </c>
      <c r="X35" s="1571"/>
      <c r="Y35" s="3782"/>
      <c r="Z35" s="1572">
        <f t="shared" si="15"/>
        <v>111</v>
      </c>
      <c r="AA35" s="1568">
        <f t="shared" si="3"/>
        <v>1</v>
      </c>
      <c r="AB35" s="1568">
        <f t="shared" si="4"/>
        <v>1</v>
      </c>
      <c r="AC35" s="1568">
        <f t="shared" si="5"/>
        <v>1</v>
      </c>
    </row>
    <row r="36" spans="1:29" ht="15.6"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782"/>
      <c r="Q36" s="1564">
        <f t="shared" si="11"/>
        <v>111</v>
      </c>
      <c r="R36" s="1565" t="s">
        <v>8</v>
      </c>
      <c r="S36" s="1566">
        <f t="shared" si="12"/>
        <v>100</v>
      </c>
      <c r="T36" s="1565" t="s">
        <v>8</v>
      </c>
      <c r="U36" s="1566">
        <f t="shared" si="13"/>
        <v>100</v>
      </c>
      <c r="V36" s="1565" t="s">
        <v>8</v>
      </c>
      <c r="W36" s="1566">
        <f t="shared" si="14"/>
        <v>100</v>
      </c>
      <c r="X36" s="1559"/>
      <c r="Y36" s="3782"/>
      <c r="Z36" s="1567">
        <f t="shared" si="15"/>
        <v>111</v>
      </c>
      <c r="AA36" s="1568">
        <f t="shared" si="3"/>
        <v>1</v>
      </c>
      <c r="AB36" s="1568">
        <f t="shared" si="4"/>
        <v>1</v>
      </c>
      <c r="AC36" s="1568">
        <f t="shared" si="5"/>
        <v>1</v>
      </c>
    </row>
    <row r="37" spans="1:29" ht="14.4">
      <c r="A37" s="1838" t="s">
        <v>2078</v>
      </c>
      <c r="B37" s="1839" t="s">
        <v>2079</v>
      </c>
      <c r="C37" s="2643" t="s">
        <v>1</v>
      </c>
      <c r="D37" s="2644"/>
      <c r="E37" s="2645"/>
      <c r="F37" s="2646"/>
      <c r="G37" s="2647"/>
      <c r="H37" s="2648"/>
      <c r="I37" s="2645"/>
      <c r="J37" s="2648"/>
      <c r="K37" s="1603"/>
      <c r="L37" s="2136"/>
      <c r="M37" s="2137"/>
      <c r="N37" s="2126"/>
      <c r="O37" s="2137"/>
      <c r="P37" s="3777" t="str">
        <f>A37</f>
        <v>成交单价</v>
      </c>
      <c r="Q37" s="3777"/>
      <c r="R37" s="3878">
        <f>E37</f>
        <v>0</v>
      </c>
      <c r="S37" s="3878"/>
      <c r="T37" s="3878">
        <f>G37</f>
        <v>0</v>
      </c>
      <c r="U37" s="3878"/>
      <c r="V37" s="3878">
        <f>I37</f>
        <v>0</v>
      </c>
      <c r="W37" s="3878"/>
      <c r="X37" s="1551"/>
      <c r="Y37" s="1573"/>
      <c r="Z37" s="1551"/>
      <c r="AA37" s="1551"/>
      <c r="AB37" s="1551"/>
      <c r="AC37" s="1551"/>
    </row>
    <row r="38" spans="1:29" ht="1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77" t="str">
        <f>A38</f>
        <v>比较价格（元/平方米）</v>
      </c>
      <c r="Q38" s="3777"/>
      <c r="R38" s="3878" t="e">
        <f>IF(F1="售价",ROUND(PRODUCT(R37,AA7:AA36),0),ROUND(PRODUCT(R37,AA7:AA36),1))</f>
        <v>#DIV/0!</v>
      </c>
      <c r="S38" s="3878"/>
      <c r="T38" s="3878" t="e">
        <f>IF(F1="售价",ROUND(PRODUCT(T37,AB7:AB36),0),ROUND(PRODUCT(T37,AB7:AB36),1))</f>
        <v>#DIV/0!</v>
      </c>
      <c r="U38" s="3878"/>
      <c r="V38" s="3878" t="e">
        <f>IF(F1="售价",ROUND(PRODUCT(V37,AC7:AC36),0),ROUND(PRODUCT(V37,AC7:AC36),1))</f>
        <v>#DIV/0!</v>
      </c>
      <c r="W38" s="3878"/>
      <c r="X38" s="1551"/>
      <c r="Y38" s="1551"/>
      <c r="Z38" s="1551"/>
      <c r="AA38" s="1551"/>
      <c r="AB38" s="1551"/>
      <c r="AC38" s="1551"/>
    </row>
    <row r="39" spans="1:29" ht="15" thickBot="1">
      <c r="A39" s="618" t="s">
        <v>2935</v>
      </c>
      <c r="B39" s="619"/>
      <c r="C39" s="2652" t="e">
        <f>R39</f>
        <v>#DIV/0!</v>
      </c>
      <c r="D39" s="2652"/>
      <c r="E39" s="2652"/>
      <c r="F39" s="2652"/>
      <c r="G39" s="2652"/>
      <c r="H39" s="2652"/>
      <c r="I39" s="2652"/>
      <c r="J39" s="2652"/>
      <c r="K39" s="1605"/>
      <c r="L39" s="2136"/>
      <c r="M39" s="2137"/>
      <c r="N39" s="2137"/>
      <c r="O39" s="2137"/>
      <c r="P39" s="3798" t="str">
        <f>A39</f>
        <v>估价对象XX用房的比较价格（楼面单价，元/平方米）</v>
      </c>
      <c r="Q39" s="3799"/>
      <c r="R39" s="3877" t="e">
        <f>IF(F1="售价",ROUND(AVERAGE(R38:V38),0),ROUND(AVERAGE(R38:V38),1))</f>
        <v>#DIV/0!</v>
      </c>
      <c r="S39" s="3877"/>
      <c r="T39" s="3877"/>
      <c r="U39" s="3877"/>
      <c r="V39" s="3877"/>
      <c r="W39" s="3877"/>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2.2"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4.4">
      <c r="A48" s="642" t="s">
        <v>530</v>
      </c>
      <c r="B48" s="643"/>
      <c r="C48" s="2819" t="str">
        <f>YEAR(C7)&amp;"-"&amp;MONTH(C7)</f>
        <v>2020-4</v>
      </c>
      <c r="D48" s="2821">
        <f>EDATE(C48,-1)</f>
        <v>43891</v>
      </c>
      <c r="E48" s="2821">
        <f t="shared" ref="E48:O48" si="16">EDATE(D48,-1)</f>
        <v>43862</v>
      </c>
      <c r="F48" s="2821">
        <f t="shared" si="16"/>
        <v>43831</v>
      </c>
      <c r="G48" s="2821">
        <f t="shared" si="16"/>
        <v>43800</v>
      </c>
      <c r="H48" s="2821">
        <f t="shared" si="16"/>
        <v>43770</v>
      </c>
      <c r="I48" s="2821">
        <f t="shared" si="16"/>
        <v>43739</v>
      </c>
      <c r="J48" s="2821">
        <f t="shared" si="16"/>
        <v>43709</v>
      </c>
      <c r="K48" s="2821">
        <f t="shared" si="16"/>
        <v>43678</v>
      </c>
      <c r="L48" s="2821">
        <f t="shared" si="16"/>
        <v>43647</v>
      </c>
      <c r="M48" s="2821">
        <f t="shared" si="16"/>
        <v>43617</v>
      </c>
      <c r="N48" s="2821">
        <f t="shared" si="16"/>
        <v>43586</v>
      </c>
      <c r="O48" s="2821">
        <f t="shared" si="16"/>
        <v>43556</v>
      </c>
      <c r="P48" s="2152"/>
      <c r="Q48" s="2153"/>
      <c r="R48" s="2153"/>
      <c r="S48" s="2153"/>
      <c r="T48" s="2153"/>
      <c r="U48" s="2153"/>
      <c r="V48" s="2153"/>
      <c r="W48" s="2153"/>
      <c r="X48" s="2153"/>
      <c r="Y48" s="2153"/>
      <c r="Z48" s="2153"/>
      <c r="AA48" s="2153"/>
      <c r="AB48" s="2153"/>
      <c r="AC48" s="2153"/>
    </row>
    <row r="49" spans="1:29" s="1213" customFormat="1">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4.4">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4.4"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ht="14.4">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4.4"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9.4"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4.4"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4.4"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4.4"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4.4"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4.4"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4.4"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4.4"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4.4"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4.4"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4.4"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4.4"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4.4"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4.4"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9.4"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4.4"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4.4"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4.4"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4.4"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4.4"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4.4"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4.4"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4.4"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4.4"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4.4">
      <c r="A4" s="510" t="s">
        <v>798</v>
      </c>
      <c r="B4" s="511"/>
      <c r="C4" s="3783" t="s">
        <v>799</v>
      </c>
      <c r="D4" s="3784"/>
      <c r="E4" s="3808" t="s">
        <v>800</v>
      </c>
      <c r="F4" s="3809"/>
      <c r="G4" s="3783" t="s">
        <v>801</v>
      </c>
      <c r="H4" s="3784"/>
      <c r="I4" s="3783" t="s">
        <v>802</v>
      </c>
      <c r="J4" s="3784"/>
      <c r="K4" s="512" t="s">
        <v>803</v>
      </c>
      <c r="L4" s="2125"/>
      <c r="M4" s="2126"/>
      <c r="N4" s="2126"/>
      <c r="O4" s="2126"/>
      <c r="P4" s="3785" t="s">
        <v>804</v>
      </c>
      <c r="Q4" s="3786"/>
      <c r="R4" s="3771" t="s">
        <v>800</v>
      </c>
      <c r="S4" s="3772"/>
      <c r="T4" s="3771" t="s">
        <v>801</v>
      </c>
      <c r="U4" s="3772"/>
      <c r="V4" s="3791" t="s">
        <v>802</v>
      </c>
      <c r="W4" s="3791"/>
      <c r="X4" s="1559"/>
      <c r="Y4" s="3771" t="s">
        <v>804</v>
      </c>
      <c r="Z4" s="3772"/>
      <c r="AA4" s="3766" t="s">
        <v>800</v>
      </c>
      <c r="AB4" s="3767" t="s">
        <v>801</v>
      </c>
      <c r="AC4" s="3766" t="s">
        <v>802</v>
      </c>
    </row>
    <row r="5" spans="1:29">
      <c r="A5" s="513"/>
      <c r="B5" s="514"/>
      <c r="C5" s="3794" t="s">
        <v>2929</v>
      </c>
      <c r="D5" s="3795"/>
      <c r="E5" s="3810" t="s">
        <v>2930</v>
      </c>
      <c r="F5" s="3811"/>
      <c r="G5" s="3794" t="s">
        <v>2931</v>
      </c>
      <c r="H5" s="3795"/>
      <c r="I5" s="3794" t="s">
        <v>2932</v>
      </c>
      <c r="J5" s="3795"/>
      <c r="K5" s="512"/>
      <c r="L5" s="2125"/>
      <c r="M5" s="2126"/>
      <c r="N5" s="2126"/>
      <c r="O5" s="2126"/>
      <c r="P5" s="3787"/>
      <c r="Q5" s="3788"/>
      <c r="R5" s="3773"/>
      <c r="S5" s="3774"/>
      <c r="T5" s="3773"/>
      <c r="U5" s="3774"/>
      <c r="V5" s="3791"/>
      <c r="W5" s="3791"/>
      <c r="X5" s="1559"/>
      <c r="Y5" s="3773"/>
      <c r="Z5" s="3774"/>
      <c r="AA5" s="3767"/>
      <c r="AB5" s="3767"/>
      <c r="AC5" s="3767"/>
    </row>
    <row r="6" spans="1:29" ht="15" thickBot="1">
      <c r="A6" s="515"/>
      <c r="B6" s="516"/>
      <c r="C6" s="3792" t="s">
        <v>2933</v>
      </c>
      <c r="D6" s="3793"/>
      <c r="E6" s="3812" t="s">
        <v>2933</v>
      </c>
      <c r="F6" s="3813"/>
      <c r="G6" s="3792" t="s">
        <v>2933</v>
      </c>
      <c r="H6" s="3793"/>
      <c r="I6" s="3792" t="s">
        <v>2933</v>
      </c>
      <c r="J6" s="3793"/>
      <c r="K6" s="512" t="s">
        <v>529</v>
      </c>
      <c r="L6" s="2125"/>
      <c r="M6" s="2126"/>
      <c r="N6" s="2126"/>
      <c r="O6" s="2126"/>
      <c r="P6" s="3789"/>
      <c r="Q6" s="3790"/>
      <c r="R6" s="3773"/>
      <c r="S6" s="3774"/>
      <c r="T6" s="3775"/>
      <c r="U6" s="3776"/>
      <c r="V6" s="3791"/>
      <c r="W6" s="3791"/>
      <c r="X6" s="1559"/>
      <c r="Y6" s="3775"/>
      <c r="Z6" s="3776"/>
      <c r="AA6" s="3768"/>
      <c r="AB6" s="3768"/>
      <c r="AC6" s="3768"/>
    </row>
    <row r="7" spans="1:29" s="1213" customFormat="1" ht="15" thickBot="1">
      <c r="A7" s="2928"/>
      <c r="B7" s="2935" t="s">
        <v>530</v>
      </c>
      <c r="C7" s="517">
        <f>'数据-取费表'!B2</f>
        <v>43924</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69" t="s">
        <v>531</v>
      </c>
      <c r="Q7" s="3778"/>
      <c r="R7" s="1560" t="s">
        <v>8</v>
      </c>
      <c r="S7" s="1561">
        <f t="shared" ref="S7:S14" si="0">F7</f>
        <v>0</v>
      </c>
      <c r="T7" s="1560" t="s">
        <v>8</v>
      </c>
      <c r="U7" s="1561">
        <f t="shared" ref="U7:U14" si="1">H7</f>
        <v>0</v>
      </c>
      <c r="V7" s="1560" t="s">
        <v>8</v>
      </c>
      <c r="W7" s="1561">
        <f t="shared" ref="W7:W14" si="2">J7</f>
        <v>0</v>
      </c>
      <c r="X7" s="1562"/>
      <c r="Y7" s="3769" t="s">
        <v>531</v>
      </c>
      <c r="Z7" s="3770"/>
      <c r="AA7" s="1563" t="e">
        <f>D7/F7</f>
        <v>#DIV/0!</v>
      </c>
      <c r="AB7" s="1563" t="e">
        <f>D7/H7</f>
        <v>#DIV/0!</v>
      </c>
      <c r="AC7" s="1563" t="e">
        <f>D7/J7</f>
        <v>#DIV/0!</v>
      </c>
    </row>
    <row r="8" spans="1:29" s="1213" customFormat="1" ht="1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69" t="s">
        <v>534</v>
      </c>
      <c r="Q8" s="3770"/>
      <c r="R8" s="1560" t="s">
        <v>8</v>
      </c>
      <c r="S8" s="1561">
        <f t="shared" si="0"/>
        <v>0</v>
      </c>
      <c r="T8" s="1560" t="s">
        <v>8</v>
      </c>
      <c r="U8" s="1561">
        <f t="shared" si="1"/>
        <v>0</v>
      </c>
      <c r="V8" s="1560" t="s">
        <v>8</v>
      </c>
      <c r="W8" s="1561">
        <f t="shared" si="2"/>
        <v>0</v>
      </c>
      <c r="X8" s="1562"/>
      <c r="Y8" s="3769" t="s">
        <v>534</v>
      </c>
      <c r="Z8" s="3770"/>
      <c r="AA8" s="1563" t="e">
        <f t="shared" ref="AA8:AA34" si="3">D8/F8</f>
        <v>#DIV/0!</v>
      </c>
      <c r="AB8" s="1563" t="e">
        <f t="shared" ref="AB8:AB34" si="4">D8/H8</f>
        <v>#DIV/0!</v>
      </c>
      <c r="AC8" s="1563" t="e">
        <f t="shared" ref="AC8:AC34" si="5">D8/J8</f>
        <v>#DIV/0!</v>
      </c>
    </row>
    <row r="9" spans="1:29" s="1213" customFormat="1" ht="14.4">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77" t="s">
        <v>536</v>
      </c>
      <c r="Q9" s="1144" t="str">
        <f t="shared" ref="Q9:Q14" si="6">B9</f>
        <v>用途</v>
      </c>
      <c r="R9" s="1560" t="s">
        <v>8</v>
      </c>
      <c r="S9" s="1561">
        <f t="shared" si="0"/>
        <v>100</v>
      </c>
      <c r="T9" s="1560" t="s">
        <v>8</v>
      </c>
      <c r="U9" s="1561">
        <f t="shared" si="1"/>
        <v>100</v>
      </c>
      <c r="V9" s="1560" t="s">
        <v>8</v>
      </c>
      <c r="W9" s="1561">
        <f t="shared" si="2"/>
        <v>100</v>
      </c>
      <c r="X9" s="1562"/>
      <c r="Y9" s="3734" t="s">
        <v>537</v>
      </c>
      <c r="Z9" s="1143" t="str">
        <f t="shared" ref="Z9:Z14" si="7">Q9</f>
        <v>用途</v>
      </c>
      <c r="AA9" s="1563">
        <f t="shared" si="3"/>
        <v>1</v>
      </c>
      <c r="AB9" s="1563">
        <f t="shared" si="4"/>
        <v>1</v>
      </c>
      <c r="AC9" s="1563">
        <f t="shared" si="5"/>
        <v>1</v>
      </c>
    </row>
    <row r="10" spans="1:29" s="1331" customFormat="1" ht="28.8">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77"/>
      <c r="Q10" s="1144" t="str">
        <f t="shared" si="6"/>
        <v>土地使用年限（年）</v>
      </c>
      <c r="R10" s="1560" t="s">
        <v>8</v>
      </c>
      <c r="S10" s="1561">
        <f t="shared" si="0"/>
        <v>100</v>
      </c>
      <c r="T10" s="1560" t="s">
        <v>8</v>
      </c>
      <c r="U10" s="1561">
        <f t="shared" si="1"/>
        <v>100</v>
      </c>
      <c r="V10" s="1560" t="s">
        <v>8</v>
      </c>
      <c r="W10" s="1561">
        <f t="shared" si="2"/>
        <v>100</v>
      </c>
      <c r="X10" s="1562"/>
      <c r="Y10" s="3734"/>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77"/>
      <c r="Q11" s="1144">
        <f t="shared" si="6"/>
        <v>111</v>
      </c>
      <c r="R11" s="1560" t="s">
        <v>8</v>
      </c>
      <c r="S11" s="1561">
        <f t="shared" si="0"/>
        <v>100</v>
      </c>
      <c r="T11" s="1560" t="s">
        <v>8</v>
      </c>
      <c r="U11" s="1561">
        <f t="shared" si="1"/>
        <v>100</v>
      </c>
      <c r="V11" s="1560" t="s">
        <v>8</v>
      </c>
      <c r="W11" s="1561">
        <f t="shared" si="2"/>
        <v>100</v>
      </c>
      <c r="X11" s="1562"/>
      <c r="Y11" s="3734"/>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77"/>
      <c r="Q12" s="1144">
        <f t="shared" si="6"/>
        <v>111</v>
      </c>
      <c r="R12" s="1560" t="s">
        <v>8</v>
      </c>
      <c r="S12" s="1561">
        <f t="shared" si="0"/>
        <v>100</v>
      </c>
      <c r="T12" s="1560" t="s">
        <v>8</v>
      </c>
      <c r="U12" s="1561">
        <f t="shared" si="1"/>
        <v>100</v>
      </c>
      <c r="V12" s="1560" t="s">
        <v>8</v>
      </c>
      <c r="W12" s="1561">
        <f t="shared" si="2"/>
        <v>100</v>
      </c>
      <c r="X12" s="1562"/>
      <c r="Y12" s="3734"/>
      <c r="Z12" s="1143">
        <f t="shared" si="7"/>
        <v>111</v>
      </c>
      <c r="AA12" s="1563">
        <f>D12/F12</f>
        <v>1</v>
      </c>
      <c r="AB12" s="1563">
        <f>D12/H12</f>
        <v>1</v>
      </c>
      <c r="AC12" s="1563">
        <f>D12/J12</f>
        <v>1</v>
      </c>
    </row>
    <row r="13" spans="1:29" ht="15.6"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77"/>
      <c r="Q13" s="1144">
        <f t="shared" si="6"/>
        <v>111</v>
      </c>
      <c r="R13" s="1560" t="s">
        <v>8</v>
      </c>
      <c r="S13" s="1561">
        <f t="shared" si="0"/>
        <v>100</v>
      </c>
      <c r="T13" s="1560" t="s">
        <v>8</v>
      </c>
      <c r="U13" s="1561">
        <f t="shared" si="1"/>
        <v>100</v>
      </c>
      <c r="V13" s="1560" t="s">
        <v>8</v>
      </c>
      <c r="W13" s="1561">
        <f t="shared" si="2"/>
        <v>100</v>
      </c>
      <c r="X13" s="1562"/>
      <c r="Y13" s="3734"/>
      <c r="Z13" s="1143">
        <f t="shared" si="7"/>
        <v>111</v>
      </c>
      <c r="AA13" s="1563">
        <f t="shared" si="3"/>
        <v>1</v>
      </c>
      <c r="AB13" s="1563">
        <f t="shared" si="4"/>
        <v>1</v>
      </c>
      <c r="AC13" s="1563">
        <f t="shared" si="5"/>
        <v>1</v>
      </c>
    </row>
    <row r="14" spans="1:29" ht="124.2">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79" t="s">
        <v>541</v>
      </c>
      <c r="Q14" s="1564" t="str">
        <f t="shared" si="6"/>
        <v>交通便捷度</v>
      </c>
      <c r="R14" s="1565" t="s">
        <v>8</v>
      </c>
      <c r="S14" s="1566">
        <f t="shared" si="0"/>
        <v>100</v>
      </c>
      <c r="T14" s="1565" t="s">
        <v>8</v>
      </c>
      <c r="U14" s="1566">
        <f t="shared" si="1"/>
        <v>100</v>
      </c>
      <c r="V14" s="1565" t="s">
        <v>8</v>
      </c>
      <c r="W14" s="1566">
        <f t="shared" si="2"/>
        <v>100</v>
      </c>
      <c r="X14" s="1559"/>
      <c r="Y14" s="3779"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80"/>
      <c r="Q15" s="1564"/>
      <c r="R15" s="1565"/>
      <c r="S15" s="1566"/>
      <c r="T15" s="1565"/>
      <c r="U15" s="1566"/>
      <c r="V15" s="1565"/>
      <c r="W15" s="1566"/>
      <c r="X15" s="1559"/>
      <c r="Y15" s="3780"/>
      <c r="Z15" s="1567"/>
      <c r="AA15" s="1568">
        <v>1</v>
      </c>
      <c r="AB15" s="1568">
        <v>1</v>
      </c>
      <c r="AC15" s="1568">
        <v>1</v>
      </c>
    </row>
    <row r="16" spans="1:29" ht="110.4">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80"/>
      <c r="Q16" s="1564" t="str">
        <f>B16</f>
        <v>公共配套设施</v>
      </c>
      <c r="R16" s="1565" t="s">
        <v>8</v>
      </c>
      <c r="S16" s="1566">
        <f>F16</f>
        <v>100</v>
      </c>
      <c r="T16" s="1565" t="s">
        <v>8</v>
      </c>
      <c r="U16" s="1566">
        <f>H16</f>
        <v>100</v>
      </c>
      <c r="V16" s="1565" t="s">
        <v>8</v>
      </c>
      <c r="W16" s="1566">
        <f>J16</f>
        <v>100</v>
      </c>
      <c r="X16" s="1559"/>
      <c r="Y16" s="3780"/>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80"/>
      <c r="Q17" s="1564"/>
      <c r="R17" s="1565"/>
      <c r="S17" s="1566"/>
      <c r="T17" s="1565"/>
      <c r="U17" s="1566"/>
      <c r="V17" s="1565"/>
      <c r="W17" s="1566"/>
      <c r="X17" s="1559"/>
      <c r="Y17" s="3780"/>
      <c r="Z17" s="1567"/>
      <c r="AA17" s="1568">
        <v>1</v>
      </c>
      <c r="AB17" s="1568">
        <v>1</v>
      </c>
      <c r="AC17" s="1568">
        <v>1</v>
      </c>
    </row>
    <row r="18" spans="1:29" ht="41.4">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80"/>
      <c r="Q18" s="2595" t="str">
        <f>B18</f>
        <v>基础设施水平</v>
      </c>
      <c r="R18" s="1565" t="s">
        <v>8</v>
      </c>
      <c r="S18" s="1566">
        <f>F18</f>
        <v>100</v>
      </c>
      <c r="T18" s="1565" t="s">
        <v>8</v>
      </c>
      <c r="U18" s="1566">
        <f>H18</f>
        <v>100</v>
      </c>
      <c r="V18" s="1565" t="s">
        <v>8</v>
      </c>
      <c r="W18" s="1566">
        <f>J18</f>
        <v>100</v>
      </c>
      <c r="X18" s="2597"/>
      <c r="Y18" s="3780"/>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80"/>
      <c r="Q19" s="2595"/>
      <c r="R19" s="1565"/>
      <c r="S19" s="1566"/>
      <c r="T19" s="1565"/>
      <c r="U19" s="1566"/>
      <c r="V19" s="1565"/>
      <c r="W19" s="1566"/>
      <c r="X19" s="2597"/>
      <c r="Y19" s="3780"/>
      <c r="Z19" s="2596"/>
      <c r="AA19" s="1568">
        <v>1</v>
      </c>
      <c r="AB19" s="1568">
        <v>1</v>
      </c>
      <c r="AC19" s="1568">
        <v>1</v>
      </c>
    </row>
    <row r="20" spans="1:29" ht="110.4">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80"/>
      <c r="Q20" s="1564" t="str">
        <f>B20</f>
        <v>自然及人文环境</v>
      </c>
      <c r="R20" s="1565" t="s">
        <v>8</v>
      </c>
      <c r="S20" s="1566">
        <f>F20</f>
        <v>100</v>
      </c>
      <c r="T20" s="1565" t="s">
        <v>8</v>
      </c>
      <c r="U20" s="1566">
        <f>H20</f>
        <v>100</v>
      </c>
      <c r="V20" s="1565" t="s">
        <v>8</v>
      </c>
      <c r="W20" s="1566">
        <f>J20</f>
        <v>100</v>
      </c>
      <c r="X20" s="1559"/>
      <c r="Y20" s="3780"/>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80"/>
      <c r="Q21" s="1564"/>
      <c r="R21" s="1565"/>
      <c r="S21" s="1566"/>
      <c r="T21" s="1565"/>
      <c r="U21" s="1566"/>
      <c r="V21" s="1565"/>
      <c r="W21" s="1566"/>
      <c r="X21" s="1559"/>
      <c r="Y21" s="3780"/>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80"/>
      <c r="Q22" s="1564" t="str">
        <f>B22</f>
        <v>楼层</v>
      </c>
      <c r="R22" s="1565" t="s">
        <v>8</v>
      </c>
      <c r="S22" s="1566">
        <f>F22</f>
        <v>100</v>
      </c>
      <c r="T22" s="1565" t="s">
        <v>8</v>
      </c>
      <c r="U22" s="1566">
        <f>H22</f>
        <v>100</v>
      </c>
      <c r="V22" s="1565" t="s">
        <v>8</v>
      </c>
      <c r="W22" s="1566">
        <f>J22</f>
        <v>100</v>
      </c>
      <c r="X22" s="1559"/>
      <c r="Y22" s="3780"/>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80"/>
      <c r="Q23" s="1564">
        <f>B23</f>
        <v>111</v>
      </c>
      <c r="R23" s="1565" t="s">
        <v>8</v>
      </c>
      <c r="S23" s="1566">
        <f>F23</f>
        <v>100</v>
      </c>
      <c r="T23" s="1565" t="s">
        <v>8</v>
      </c>
      <c r="U23" s="1566">
        <f>H23</f>
        <v>100</v>
      </c>
      <c r="V23" s="1565" t="s">
        <v>8</v>
      </c>
      <c r="W23" s="1566">
        <f>J23</f>
        <v>100</v>
      </c>
      <c r="X23" s="1559"/>
      <c r="Y23" s="3780"/>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80"/>
      <c r="Q24" s="1564">
        <f t="shared" ref="Q24:Q34" si="11">B24</f>
        <v>111</v>
      </c>
      <c r="R24" s="1565" t="s">
        <v>8</v>
      </c>
      <c r="S24" s="1566">
        <f>F24</f>
        <v>100</v>
      </c>
      <c r="T24" s="1565" t="s">
        <v>8</v>
      </c>
      <c r="U24" s="1566">
        <f>H24</f>
        <v>100</v>
      </c>
      <c r="V24" s="1565" t="s">
        <v>8</v>
      </c>
      <c r="W24" s="1566">
        <f>J24</f>
        <v>100</v>
      </c>
      <c r="X24" s="1559"/>
      <c r="Y24" s="3780"/>
      <c r="Z24" s="1567">
        <f>Q24</f>
        <v>111</v>
      </c>
      <c r="AA24" s="1568">
        <f t="shared" si="3"/>
        <v>1</v>
      </c>
      <c r="AB24" s="1568">
        <f t="shared" si="4"/>
        <v>1</v>
      </c>
      <c r="AC24" s="1568">
        <f t="shared" si="5"/>
        <v>1</v>
      </c>
    </row>
    <row r="25" spans="1:29" s="1213" customFormat="1" ht="15.6"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80"/>
      <c r="Q25" s="1144">
        <f t="shared" si="11"/>
        <v>111</v>
      </c>
      <c r="R25" s="1560" t="s">
        <v>8</v>
      </c>
      <c r="S25" s="1561">
        <f>F25</f>
        <v>100</v>
      </c>
      <c r="T25" s="1560" t="s">
        <v>8</v>
      </c>
      <c r="U25" s="1561">
        <f>H25</f>
        <v>100</v>
      </c>
      <c r="V25" s="1560" t="s">
        <v>8</v>
      </c>
      <c r="W25" s="1561">
        <f>J25</f>
        <v>100</v>
      </c>
      <c r="X25" s="1562"/>
      <c r="Y25" s="3780"/>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781"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82"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782"/>
      <c r="Q27" s="1597" t="str">
        <f t="shared" si="11"/>
        <v>成新率</v>
      </c>
      <c r="R27" s="1569" t="s">
        <v>8</v>
      </c>
      <c r="S27" s="1570" t="e">
        <f t="shared" si="12"/>
        <v>#N/A</v>
      </c>
      <c r="T27" s="1569" t="s">
        <v>8</v>
      </c>
      <c r="U27" s="1570" t="e">
        <f t="shared" si="13"/>
        <v>#N/A</v>
      </c>
      <c r="V27" s="1569" t="s">
        <v>8</v>
      </c>
      <c r="W27" s="1570" t="e">
        <f t="shared" si="14"/>
        <v>#N/A</v>
      </c>
      <c r="X27" s="1571"/>
      <c r="Y27" s="3782"/>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782"/>
      <c r="Q28" s="1564" t="str">
        <f t="shared" si="11"/>
        <v>物业等级</v>
      </c>
      <c r="R28" s="1565" t="s">
        <v>8</v>
      </c>
      <c r="S28" s="1566">
        <f t="shared" si="12"/>
        <v>100</v>
      </c>
      <c r="T28" s="1565" t="s">
        <v>8</v>
      </c>
      <c r="U28" s="1566">
        <f t="shared" si="13"/>
        <v>100</v>
      </c>
      <c r="V28" s="1565" t="s">
        <v>8</v>
      </c>
      <c r="W28" s="1566">
        <f t="shared" si="14"/>
        <v>100</v>
      </c>
      <c r="X28" s="1559"/>
      <c r="Y28" s="3782"/>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782"/>
      <c r="Q29" s="1564" t="str">
        <f t="shared" si="11"/>
        <v>有无电梯</v>
      </c>
      <c r="R29" s="1565" t="s">
        <v>8</v>
      </c>
      <c r="S29" s="1566">
        <f t="shared" si="12"/>
        <v>100</v>
      </c>
      <c r="T29" s="1565" t="s">
        <v>8</v>
      </c>
      <c r="U29" s="1566">
        <f t="shared" si="13"/>
        <v>100</v>
      </c>
      <c r="V29" s="1565" t="s">
        <v>8</v>
      </c>
      <c r="W29" s="1566">
        <f t="shared" si="14"/>
        <v>100</v>
      </c>
      <c r="X29" s="1559"/>
      <c r="Y29" s="3782"/>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782"/>
      <c r="Q30" s="1564" t="str">
        <f t="shared" si="11"/>
        <v>建筑面积</v>
      </c>
      <c r="R30" s="1565" t="s">
        <v>8</v>
      </c>
      <c r="S30" s="1566" t="e">
        <f t="shared" si="12"/>
        <v>#N/A</v>
      </c>
      <c r="T30" s="1565" t="s">
        <v>8</v>
      </c>
      <c r="U30" s="1566" t="e">
        <f t="shared" si="13"/>
        <v>#N/A</v>
      </c>
      <c r="V30" s="1565" t="s">
        <v>8</v>
      </c>
      <c r="W30" s="1566" t="e">
        <f t="shared" si="14"/>
        <v>#N/A</v>
      </c>
      <c r="X30" s="1559"/>
      <c r="Y30" s="3782"/>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782"/>
      <c r="Q31" s="1144" t="str">
        <f t="shared" si="11"/>
        <v>是否封闭</v>
      </c>
      <c r="R31" s="1560" t="s">
        <v>8</v>
      </c>
      <c r="S31" s="1561">
        <f t="shared" si="12"/>
        <v>100</v>
      </c>
      <c r="T31" s="1560" t="s">
        <v>8</v>
      </c>
      <c r="U31" s="1561">
        <f t="shared" si="13"/>
        <v>100</v>
      </c>
      <c r="V31" s="1560" t="s">
        <v>8</v>
      </c>
      <c r="W31" s="1561">
        <f t="shared" si="14"/>
        <v>100</v>
      </c>
      <c r="X31" s="1562"/>
      <c r="Y31" s="3782"/>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782" t="s">
        <v>551</v>
      </c>
      <c r="Q32" s="1564">
        <f t="shared" si="11"/>
        <v>111</v>
      </c>
      <c r="R32" s="1565" t="s">
        <v>8</v>
      </c>
      <c r="S32" s="1566">
        <f t="shared" si="12"/>
        <v>100</v>
      </c>
      <c r="T32" s="1565" t="s">
        <v>8</v>
      </c>
      <c r="U32" s="1566">
        <f t="shared" si="13"/>
        <v>100</v>
      </c>
      <c r="V32" s="1565" t="s">
        <v>8</v>
      </c>
      <c r="W32" s="1566">
        <f t="shared" si="14"/>
        <v>100</v>
      </c>
      <c r="X32" s="1559"/>
      <c r="Y32" s="3782"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782"/>
      <c r="Q33" s="1564">
        <f t="shared" si="11"/>
        <v>111</v>
      </c>
      <c r="R33" s="1565" t="s">
        <v>8</v>
      </c>
      <c r="S33" s="1566">
        <f t="shared" si="12"/>
        <v>100</v>
      </c>
      <c r="T33" s="1565" t="s">
        <v>8</v>
      </c>
      <c r="U33" s="1566">
        <f t="shared" si="13"/>
        <v>100</v>
      </c>
      <c r="V33" s="1565" t="s">
        <v>8</v>
      </c>
      <c r="W33" s="1566">
        <f t="shared" si="14"/>
        <v>100</v>
      </c>
      <c r="X33" s="1559"/>
      <c r="Y33" s="3782"/>
      <c r="Z33" s="1567">
        <f t="shared" si="15"/>
        <v>111</v>
      </c>
      <c r="AA33" s="1568">
        <f t="shared" si="3"/>
        <v>1</v>
      </c>
      <c r="AB33" s="1568">
        <f t="shared" si="4"/>
        <v>1</v>
      </c>
      <c r="AC33" s="1568">
        <f t="shared" si="5"/>
        <v>1</v>
      </c>
    </row>
    <row r="34" spans="1:29" ht="15.6"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782"/>
      <c r="Q34" s="1564">
        <f t="shared" si="11"/>
        <v>111</v>
      </c>
      <c r="R34" s="1565" t="s">
        <v>8</v>
      </c>
      <c r="S34" s="1566">
        <f t="shared" si="12"/>
        <v>100</v>
      </c>
      <c r="T34" s="1565" t="s">
        <v>8</v>
      </c>
      <c r="U34" s="1566">
        <f t="shared" si="13"/>
        <v>100</v>
      </c>
      <c r="V34" s="1565" t="s">
        <v>8</v>
      </c>
      <c r="W34" s="1566">
        <f t="shared" si="14"/>
        <v>100</v>
      </c>
      <c r="X34" s="1559"/>
      <c r="Y34" s="3782"/>
      <c r="Z34" s="1567">
        <f t="shared" si="15"/>
        <v>111</v>
      </c>
      <c r="AA34" s="1568">
        <f t="shared" si="3"/>
        <v>1</v>
      </c>
      <c r="AB34" s="1568">
        <f t="shared" si="4"/>
        <v>1</v>
      </c>
      <c r="AC34" s="1568">
        <f t="shared" si="5"/>
        <v>1</v>
      </c>
    </row>
    <row r="35" spans="1:29" ht="14.4">
      <c r="A35" s="604" t="s">
        <v>737</v>
      </c>
      <c r="B35" s="880"/>
      <c r="C35" s="2643" t="s">
        <v>1</v>
      </c>
      <c r="D35" s="2644"/>
      <c r="E35" s="2645"/>
      <c r="F35" s="2646"/>
      <c r="G35" s="2647"/>
      <c r="H35" s="2648"/>
      <c r="I35" s="2645"/>
      <c r="J35" s="2648"/>
      <c r="K35" s="1603"/>
      <c r="L35" s="2136"/>
      <c r="M35" s="2137"/>
      <c r="N35" s="2126"/>
      <c r="O35" s="2137"/>
      <c r="P35" s="3777" t="str">
        <f>A35</f>
        <v>成交单价（元/平方米）</v>
      </c>
      <c r="Q35" s="3777"/>
      <c r="R35" s="3878">
        <f>E35</f>
        <v>0</v>
      </c>
      <c r="S35" s="3878"/>
      <c r="T35" s="3878">
        <f>G35</f>
        <v>0</v>
      </c>
      <c r="U35" s="3878"/>
      <c r="V35" s="3878">
        <f>I35</f>
        <v>0</v>
      </c>
      <c r="W35" s="3878"/>
      <c r="X35" s="1551"/>
      <c r="Y35" s="1573"/>
      <c r="Z35" s="1551"/>
      <c r="AA35" s="1551"/>
      <c r="AB35" s="1551"/>
      <c r="AC35" s="1551"/>
    </row>
    <row r="36" spans="1:29" ht="1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77" t="str">
        <f>A36</f>
        <v>比较价格（元/平方米）</v>
      </c>
      <c r="Q36" s="3777"/>
      <c r="R36" s="3878" t="e">
        <f>IF(F1="售价",ROUND(PRODUCT(R35,AA7:AA34),0),ROUND(PRODUCT(R35,AA7:AA34),1))</f>
        <v>#DIV/0!</v>
      </c>
      <c r="S36" s="3878"/>
      <c r="T36" s="3878" t="e">
        <f>IF(F1="售价",ROUND(PRODUCT(T35,AB7:AB34),0),ROUND(PRODUCT(T35,AB7:AB34),1))</f>
        <v>#DIV/0!</v>
      </c>
      <c r="U36" s="3878"/>
      <c r="V36" s="3878" t="e">
        <f>IF(F1="售价",ROUND(PRODUCT(V35,AC7:AC34),0),ROUND(PRODUCT(V35,AC7:AC34),1))</f>
        <v>#DIV/0!</v>
      </c>
      <c r="W36" s="3878"/>
      <c r="X36" s="1551"/>
      <c r="Y36" s="1551"/>
      <c r="Z36" s="1551"/>
      <c r="AA36" s="1551"/>
      <c r="AB36" s="1551"/>
      <c r="AC36" s="1551"/>
    </row>
    <row r="37" spans="1:29" ht="15" thickBot="1">
      <c r="A37" s="618" t="s">
        <v>2935</v>
      </c>
      <c r="B37" s="619"/>
      <c r="C37" s="2652" t="e">
        <f>R37</f>
        <v>#DIV/0!</v>
      </c>
      <c r="D37" s="2652"/>
      <c r="E37" s="2652"/>
      <c r="F37" s="2652"/>
      <c r="G37" s="2652"/>
      <c r="H37" s="2652"/>
      <c r="I37" s="2652"/>
      <c r="J37" s="2652"/>
      <c r="K37" s="1605"/>
      <c r="L37" s="2136"/>
      <c r="M37" s="2137"/>
      <c r="N37" s="2137"/>
      <c r="O37" s="2137"/>
      <c r="P37" s="3798" t="str">
        <f>A37</f>
        <v>估价对象XX用房的比较价格（楼面单价，元/平方米）</v>
      </c>
      <c r="Q37" s="3799"/>
      <c r="R37" s="3877" t="e">
        <f>IF(F1="售价",ROUND(AVERAGE(R36:V36),0),ROUND(AVERAGE(R36:V36),1))</f>
        <v>#DIV/0!</v>
      </c>
      <c r="S37" s="3877"/>
      <c r="T37" s="3877"/>
      <c r="U37" s="3877"/>
      <c r="V37" s="3877"/>
      <c r="W37" s="3877"/>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2.2"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4.4">
      <c r="A46" s="642" t="s">
        <v>530</v>
      </c>
      <c r="B46" s="643"/>
      <c r="C46" s="2819" t="str">
        <f>YEAR(C7)&amp;"-"&amp;MONTH(C7)</f>
        <v>2020-4</v>
      </c>
      <c r="D46" s="2821">
        <f>EDATE(C46,-1)</f>
        <v>43891</v>
      </c>
      <c r="E46" s="2821">
        <f t="shared" ref="E46:O46" si="16">EDATE(D46,-1)</f>
        <v>43862</v>
      </c>
      <c r="F46" s="2821">
        <f t="shared" si="16"/>
        <v>43831</v>
      </c>
      <c r="G46" s="2821">
        <f t="shared" si="16"/>
        <v>43800</v>
      </c>
      <c r="H46" s="2821">
        <f t="shared" si="16"/>
        <v>43770</v>
      </c>
      <c r="I46" s="2821">
        <f t="shared" si="16"/>
        <v>43739</v>
      </c>
      <c r="J46" s="2821">
        <f t="shared" si="16"/>
        <v>43709</v>
      </c>
      <c r="K46" s="2821">
        <f t="shared" si="16"/>
        <v>43678</v>
      </c>
      <c r="L46" s="2821">
        <f t="shared" si="16"/>
        <v>43647</v>
      </c>
      <c r="M46" s="2821">
        <f t="shared" si="16"/>
        <v>43617</v>
      </c>
      <c r="N46" s="2821">
        <f t="shared" si="16"/>
        <v>43586</v>
      </c>
      <c r="O46" s="2821">
        <f t="shared" si="16"/>
        <v>43556</v>
      </c>
      <c r="P46" s="2152"/>
      <c r="Q46" s="2153"/>
      <c r="R46" s="2153"/>
      <c r="S46" s="2153"/>
      <c r="T46" s="2153"/>
      <c r="U46" s="2153"/>
      <c r="V46" s="2153"/>
      <c r="W46" s="2153"/>
      <c r="X46" s="2153"/>
      <c r="Y46" s="2153"/>
      <c r="Z46" s="2153"/>
      <c r="AA46" s="2153"/>
      <c r="AB46" s="2153"/>
      <c r="AC46" s="2153"/>
    </row>
    <row r="47" spans="1:29" s="1213" customFormat="1">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4.4">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4.4"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ht="14.4">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4.4"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9.4"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4.4"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4.4"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4.4"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4.4"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4.4"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4.4"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4.4"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4.4"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4.4"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4.4"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4.4"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4.4"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4.4"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4.4"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4.4"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4.4"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4.4"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4.4"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4.4"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4.4"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4.4"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4.4"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4.4"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57" customWidth="1"/>
    <col min="2" max="2" width="13.21875" style="2963" customWidth="1"/>
    <col min="3" max="3" width="15.6640625" style="2963" customWidth="1"/>
    <col min="4" max="4" width="9.33203125" style="2963" bestFit="1" customWidth="1"/>
    <col min="5" max="5" width="13.44140625" style="2963" customWidth="1"/>
    <col min="6" max="6" width="9" style="2963"/>
    <col min="7" max="7" width="9.33203125" style="2963" bestFit="1" customWidth="1"/>
    <col min="8" max="9" width="9" style="2963"/>
    <col min="10" max="10" width="9.33203125" style="2963" bestFit="1" customWidth="1"/>
    <col min="11" max="11" width="4" style="2957" customWidth="1"/>
    <col min="12" max="12" width="5.109375" style="2963" customWidth="1"/>
    <col min="13" max="13" width="13.77734375" style="2963" customWidth="1"/>
    <col min="14" max="256" width="9" style="2963"/>
    <col min="257" max="257" width="4.88671875" style="2955" customWidth="1"/>
    <col min="258" max="258" width="13.21875" style="2955" customWidth="1"/>
    <col min="259" max="259" width="15.6640625" style="2955" customWidth="1"/>
    <col min="260" max="260" width="9.33203125" style="2955" bestFit="1" customWidth="1"/>
    <col min="261" max="261" width="13.44140625" style="2955" customWidth="1"/>
    <col min="262" max="262" width="9" style="2955"/>
    <col min="263" max="263" width="9.33203125" style="2955" bestFit="1" customWidth="1"/>
    <col min="264" max="265" width="9" style="2955"/>
    <col min="266" max="266" width="9.33203125" style="2955" bestFit="1" customWidth="1"/>
    <col min="267" max="267" width="4" style="2955" customWidth="1"/>
    <col min="268" max="268" width="5.109375" style="2955" customWidth="1"/>
    <col min="269" max="269" width="13.77734375" style="2955" customWidth="1"/>
    <col min="270" max="512" width="9" style="2955"/>
    <col min="513" max="513" width="4.88671875" style="2955" customWidth="1"/>
    <col min="514" max="514" width="13.21875" style="2955" customWidth="1"/>
    <col min="515" max="515" width="15.6640625" style="2955" customWidth="1"/>
    <col min="516" max="516" width="9.33203125" style="2955" bestFit="1" customWidth="1"/>
    <col min="517" max="517" width="13.44140625" style="2955" customWidth="1"/>
    <col min="518" max="518" width="9" style="2955"/>
    <col min="519" max="519" width="9.33203125" style="2955" bestFit="1" customWidth="1"/>
    <col min="520" max="521" width="9" style="2955"/>
    <col min="522" max="522" width="9.33203125" style="2955" bestFit="1" customWidth="1"/>
    <col min="523" max="523" width="4" style="2955" customWidth="1"/>
    <col min="524" max="524" width="5.109375" style="2955" customWidth="1"/>
    <col min="525" max="525" width="13.77734375" style="2955" customWidth="1"/>
    <col min="526" max="768" width="9" style="2955"/>
    <col min="769" max="769" width="4.88671875" style="2955" customWidth="1"/>
    <col min="770" max="770" width="13.21875" style="2955" customWidth="1"/>
    <col min="771" max="771" width="15.6640625" style="2955" customWidth="1"/>
    <col min="772" max="772" width="9.33203125" style="2955" bestFit="1" customWidth="1"/>
    <col min="773" max="773" width="13.44140625" style="2955" customWidth="1"/>
    <col min="774" max="774" width="9" style="2955"/>
    <col min="775" max="775" width="9.33203125" style="2955" bestFit="1" customWidth="1"/>
    <col min="776" max="777" width="9" style="2955"/>
    <col min="778" max="778" width="9.33203125" style="2955" bestFit="1" customWidth="1"/>
    <col min="779" max="779" width="4" style="2955" customWidth="1"/>
    <col min="780" max="780" width="5.109375" style="2955" customWidth="1"/>
    <col min="781" max="781" width="13.77734375" style="2955" customWidth="1"/>
    <col min="782" max="1024" width="9" style="2955"/>
    <col min="1025" max="1025" width="4.88671875" style="2955" customWidth="1"/>
    <col min="1026" max="1026" width="13.21875" style="2955" customWidth="1"/>
    <col min="1027" max="1027" width="15.6640625" style="2955" customWidth="1"/>
    <col min="1028" max="1028" width="9.33203125" style="2955" bestFit="1" customWidth="1"/>
    <col min="1029" max="1029" width="13.44140625" style="2955" customWidth="1"/>
    <col min="1030" max="1030" width="9" style="2955"/>
    <col min="1031" max="1031" width="9.33203125" style="2955" bestFit="1" customWidth="1"/>
    <col min="1032" max="1033" width="9" style="2955"/>
    <col min="1034" max="1034" width="9.33203125" style="2955" bestFit="1" customWidth="1"/>
    <col min="1035" max="1035" width="4" style="2955" customWidth="1"/>
    <col min="1036" max="1036" width="5.109375" style="2955" customWidth="1"/>
    <col min="1037" max="1037" width="13.77734375" style="2955" customWidth="1"/>
    <col min="1038" max="1280" width="9" style="2955"/>
    <col min="1281" max="1281" width="4.88671875" style="2955" customWidth="1"/>
    <col min="1282" max="1282" width="13.21875" style="2955" customWidth="1"/>
    <col min="1283" max="1283" width="15.6640625" style="2955" customWidth="1"/>
    <col min="1284" max="1284" width="9.33203125" style="2955" bestFit="1" customWidth="1"/>
    <col min="1285" max="1285" width="13.44140625" style="2955" customWidth="1"/>
    <col min="1286" max="1286" width="9" style="2955"/>
    <col min="1287" max="1287" width="9.33203125" style="2955" bestFit="1" customWidth="1"/>
    <col min="1288" max="1289" width="9" style="2955"/>
    <col min="1290" max="1290" width="9.33203125" style="2955" bestFit="1" customWidth="1"/>
    <col min="1291" max="1291" width="4" style="2955" customWidth="1"/>
    <col min="1292" max="1292" width="5.109375" style="2955" customWidth="1"/>
    <col min="1293" max="1293" width="13.77734375" style="2955" customWidth="1"/>
    <col min="1294" max="1536" width="9" style="2955"/>
    <col min="1537" max="1537" width="4.88671875" style="2955" customWidth="1"/>
    <col min="1538" max="1538" width="13.21875" style="2955" customWidth="1"/>
    <col min="1539" max="1539" width="15.6640625" style="2955" customWidth="1"/>
    <col min="1540" max="1540" width="9.33203125" style="2955" bestFit="1" customWidth="1"/>
    <col min="1541" max="1541" width="13.44140625" style="2955" customWidth="1"/>
    <col min="1542" max="1542" width="9" style="2955"/>
    <col min="1543" max="1543" width="9.33203125" style="2955" bestFit="1" customWidth="1"/>
    <col min="1544" max="1545" width="9" style="2955"/>
    <col min="1546" max="1546" width="9.33203125" style="2955" bestFit="1" customWidth="1"/>
    <col min="1547" max="1547" width="4" style="2955" customWidth="1"/>
    <col min="1548" max="1548" width="5.109375" style="2955" customWidth="1"/>
    <col min="1549" max="1549" width="13.77734375" style="2955" customWidth="1"/>
    <col min="1550" max="1792" width="9" style="2955"/>
    <col min="1793" max="1793" width="4.88671875" style="2955" customWidth="1"/>
    <col min="1794" max="1794" width="13.21875" style="2955" customWidth="1"/>
    <col min="1795" max="1795" width="15.6640625" style="2955" customWidth="1"/>
    <col min="1796" max="1796" width="9.33203125" style="2955" bestFit="1" customWidth="1"/>
    <col min="1797" max="1797" width="13.44140625" style="2955" customWidth="1"/>
    <col min="1798" max="1798" width="9" style="2955"/>
    <col min="1799" max="1799" width="9.33203125" style="2955" bestFit="1" customWidth="1"/>
    <col min="1800" max="1801" width="9" style="2955"/>
    <col min="1802" max="1802" width="9.33203125" style="2955" bestFit="1" customWidth="1"/>
    <col min="1803" max="1803" width="4" style="2955" customWidth="1"/>
    <col min="1804" max="1804" width="5.109375" style="2955" customWidth="1"/>
    <col min="1805" max="1805" width="13.77734375" style="2955" customWidth="1"/>
    <col min="1806" max="2048" width="9" style="2955"/>
    <col min="2049" max="2049" width="4.88671875" style="2955" customWidth="1"/>
    <col min="2050" max="2050" width="13.21875" style="2955" customWidth="1"/>
    <col min="2051" max="2051" width="15.6640625" style="2955" customWidth="1"/>
    <col min="2052" max="2052" width="9.33203125" style="2955" bestFit="1" customWidth="1"/>
    <col min="2053" max="2053" width="13.44140625" style="2955" customWidth="1"/>
    <col min="2054" max="2054" width="9" style="2955"/>
    <col min="2055" max="2055" width="9.33203125" style="2955" bestFit="1" customWidth="1"/>
    <col min="2056" max="2057" width="9" style="2955"/>
    <col min="2058" max="2058" width="9.33203125" style="2955" bestFit="1" customWidth="1"/>
    <col min="2059" max="2059" width="4" style="2955" customWidth="1"/>
    <col min="2060" max="2060" width="5.109375" style="2955" customWidth="1"/>
    <col min="2061" max="2061" width="13.77734375" style="2955" customWidth="1"/>
    <col min="2062" max="2304" width="9" style="2955"/>
    <col min="2305" max="2305" width="4.88671875" style="2955" customWidth="1"/>
    <col min="2306" max="2306" width="13.21875" style="2955" customWidth="1"/>
    <col min="2307" max="2307" width="15.6640625" style="2955" customWidth="1"/>
    <col min="2308" max="2308" width="9.33203125" style="2955" bestFit="1" customWidth="1"/>
    <col min="2309" max="2309" width="13.44140625" style="2955" customWidth="1"/>
    <col min="2310" max="2310" width="9" style="2955"/>
    <col min="2311" max="2311" width="9.33203125" style="2955" bestFit="1" customWidth="1"/>
    <col min="2312" max="2313" width="9" style="2955"/>
    <col min="2314" max="2314" width="9.33203125" style="2955" bestFit="1" customWidth="1"/>
    <col min="2315" max="2315" width="4" style="2955" customWidth="1"/>
    <col min="2316" max="2316" width="5.109375" style="2955" customWidth="1"/>
    <col min="2317" max="2317" width="13.77734375" style="2955" customWidth="1"/>
    <col min="2318" max="2560" width="9" style="2955"/>
    <col min="2561" max="2561" width="4.88671875" style="2955" customWidth="1"/>
    <col min="2562" max="2562" width="13.21875" style="2955" customWidth="1"/>
    <col min="2563" max="2563" width="15.6640625" style="2955" customWidth="1"/>
    <col min="2564" max="2564" width="9.33203125" style="2955" bestFit="1" customWidth="1"/>
    <col min="2565" max="2565" width="13.44140625" style="2955" customWidth="1"/>
    <col min="2566" max="2566" width="9" style="2955"/>
    <col min="2567" max="2567" width="9.33203125" style="2955" bestFit="1" customWidth="1"/>
    <col min="2568" max="2569" width="9" style="2955"/>
    <col min="2570" max="2570" width="9.33203125" style="2955" bestFit="1" customWidth="1"/>
    <col min="2571" max="2571" width="4" style="2955" customWidth="1"/>
    <col min="2572" max="2572" width="5.109375" style="2955" customWidth="1"/>
    <col min="2573" max="2573" width="13.77734375" style="2955" customWidth="1"/>
    <col min="2574" max="2816" width="9" style="2955"/>
    <col min="2817" max="2817" width="4.88671875" style="2955" customWidth="1"/>
    <col min="2818" max="2818" width="13.21875" style="2955" customWidth="1"/>
    <col min="2819" max="2819" width="15.6640625" style="2955" customWidth="1"/>
    <col min="2820" max="2820" width="9.33203125" style="2955" bestFit="1" customWidth="1"/>
    <col min="2821" max="2821" width="13.44140625" style="2955" customWidth="1"/>
    <col min="2822" max="2822" width="9" style="2955"/>
    <col min="2823" max="2823" width="9.33203125" style="2955" bestFit="1" customWidth="1"/>
    <col min="2824" max="2825" width="9" style="2955"/>
    <col min="2826" max="2826" width="9.33203125" style="2955" bestFit="1" customWidth="1"/>
    <col min="2827" max="2827" width="4" style="2955" customWidth="1"/>
    <col min="2828" max="2828" width="5.109375" style="2955" customWidth="1"/>
    <col min="2829" max="2829" width="13.77734375" style="2955" customWidth="1"/>
    <col min="2830" max="3072" width="9" style="2955"/>
    <col min="3073" max="3073" width="4.88671875" style="2955" customWidth="1"/>
    <col min="3074" max="3074" width="13.21875" style="2955" customWidth="1"/>
    <col min="3075" max="3075" width="15.6640625" style="2955" customWidth="1"/>
    <col min="3076" max="3076" width="9.33203125" style="2955" bestFit="1" customWidth="1"/>
    <col min="3077" max="3077" width="13.44140625" style="2955" customWidth="1"/>
    <col min="3078" max="3078" width="9" style="2955"/>
    <col min="3079" max="3079" width="9.33203125" style="2955" bestFit="1" customWidth="1"/>
    <col min="3080" max="3081" width="9" style="2955"/>
    <col min="3082" max="3082" width="9.33203125" style="2955" bestFit="1" customWidth="1"/>
    <col min="3083" max="3083" width="4" style="2955" customWidth="1"/>
    <col min="3084" max="3084" width="5.109375" style="2955" customWidth="1"/>
    <col min="3085" max="3085" width="13.77734375" style="2955" customWidth="1"/>
    <col min="3086" max="3328" width="9" style="2955"/>
    <col min="3329" max="3329" width="4.88671875" style="2955" customWidth="1"/>
    <col min="3330" max="3330" width="13.21875" style="2955" customWidth="1"/>
    <col min="3331" max="3331" width="15.6640625" style="2955" customWidth="1"/>
    <col min="3332" max="3332" width="9.33203125" style="2955" bestFit="1" customWidth="1"/>
    <col min="3333" max="3333" width="13.44140625" style="2955" customWidth="1"/>
    <col min="3334" max="3334" width="9" style="2955"/>
    <col min="3335" max="3335" width="9.33203125" style="2955" bestFit="1" customWidth="1"/>
    <col min="3336" max="3337" width="9" style="2955"/>
    <col min="3338" max="3338" width="9.33203125" style="2955" bestFit="1" customWidth="1"/>
    <col min="3339" max="3339" width="4" style="2955" customWidth="1"/>
    <col min="3340" max="3340" width="5.109375" style="2955" customWidth="1"/>
    <col min="3341" max="3341" width="13.77734375" style="2955" customWidth="1"/>
    <col min="3342" max="3584" width="9" style="2955"/>
    <col min="3585" max="3585" width="4.88671875" style="2955" customWidth="1"/>
    <col min="3586" max="3586" width="13.21875" style="2955" customWidth="1"/>
    <col min="3587" max="3587" width="15.6640625" style="2955" customWidth="1"/>
    <col min="3588" max="3588" width="9.33203125" style="2955" bestFit="1" customWidth="1"/>
    <col min="3589" max="3589" width="13.44140625" style="2955" customWidth="1"/>
    <col min="3590" max="3590" width="9" style="2955"/>
    <col min="3591" max="3591" width="9.33203125" style="2955" bestFit="1" customWidth="1"/>
    <col min="3592" max="3593" width="9" style="2955"/>
    <col min="3594" max="3594" width="9.33203125" style="2955" bestFit="1" customWidth="1"/>
    <col min="3595" max="3595" width="4" style="2955" customWidth="1"/>
    <col min="3596" max="3596" width="5.109375" style="2955" customWidth="1"/>
    <col min="3597" max="3597" width="13.77734375" style="2955" customWidth="1"/>
    <col min="3598" max="3840" width="9" style="2955"/>
    <col min="3841" max="3841" width="4.88671875" style="2955" customWidth="1"/>
    <col min="3842" max="3842" width="13.21875" style="2955" customWidth="1"/>
    <col min="3843" max="3843" width="15.6640625" style="2955" customWidth="1"/>
    <col min="3844" max="3844" width="9.33203125" style="2955" bestFit="1" customWidth="1"/>
    <col min="3845" max="3845" width="13.44140625" style="2955" customWidth="1"/>
    <col min="3846" max="3846" width="9" style="2955"/>
    <col min="3847" max="3847" width="9.33203125" style="2955" bestFit="1" customWidth="1"/>
    <col min="3848" max="3849" width="9" style="2955"/>
    <col min="3850" max="3850" width="9.33203125" style="2955" bestFit="1" customWidth="1"/>
    <col min="3851" max="3851" width="4" style="2955" customWidth="1"/>
    <col min="3852" max="3852" width="5.109375" style="2955" customWidth="1"/>
    <col min="3853" max="3853" width="13.77734375" style="2955" customWidth="1"/>
    <col min="3854" max="4096" width="9" style="2955"/>
    <col min="4097" max="4097" width="4.88671875" style="2955" customWidth="1"/>
    <col min="4098" max="4098" width="13.21875" style="2955" customWidth="1"/>
    <col min="4099" max="4099" width="15.6640625" style="2955" customWidth="1"/>
    <col min="4100" max="4100" width="9.33203125" style="2955" bestFit="1" customWidth="1"/>
    <col min="4101" max="4101" width="13.44140625" style="2955" customWidth="1"/>
    <col min="4102" max="4102" width="9" style="2955"/>
    <col min="4103" max="4103" width="9.33203125" style="2955" bestFit="1" customWidth="1"/>
    <col min="4104" max="4105" width="9" style="2955"/>
    <col min="4106" max="4106" width="9.33203125" style="2955" bestFit="1" customWidth="1"/>
    <col min="4107" max="4107" width="4" style="2955" customWidth="1"/>
    <col min="4108" max="4108" width="5.109375" style="2955" customWidth="1"/>
    <col min="4109" max="4109" width="13.77734375" style="2955" customWidth="1"/>
    <col min="4110" max="4352" width="9" style="2955"/>
    <col min="4353" max="4353" width="4.88671875" style="2955" customWidth="1"/>
    <col min="4354" max="4354" width="13.21875" style="2955" customWidth="1"/>
    <col min="4355" max="4355" width="15.6640625" style="2955" customWidth="1"/>
    <col min="4356" max="4356" width="9.33203125" style="2955" bestFit="1" customWidth="1"/>
    <col min="4357" max="4357" width="13.44140625" style="2955" customWidth="1"/>
    <col min="4358" max="4358" width="9" style="2955"/>
    <col min="4359" max="4359" width="9.33203125" style="2955" bestFit="1" customWidth="1"/>
    <col min="4360" max="4361" width="9" style="2955"/>
    <col min="4362" max="4362" width="9.33203125" style="2955" bestFit="1" customWidth="1"/>
    <col min="4363" max="4363" width="4" style="2955" customWidth="1"/>
    <col min="4364" max="4364" width="5.109375" style="2955" customWidth="1"/>
    <col min="4365" max="4365" width="13.77734375" style="2955" customWidth="1"/>
    <col min="4366" max="4608" width="9" style="2955"/>
    <col min="4609" max="4609" width="4.88671875" style="2955" customWidth="1"/>
    <col min="4610" max="4610" width="13.21875" style="2955" customWidth="1"/>
    <col min="4611" max="4611" width="15.6640625" style="2955" customWidth="1"/>
    <col min="4612" max="4612" width="9.33203125" style="2955" bestFit="1" customWidth="1"/>
    <col min="4613" max="4613" width="13.44140625" style="2955" customWidth="1"/>
    <col min="4614" max="4614" width="9" style="2955"/>
    <col min="4615" max="4615" width="9.33203125" style="2955" bestFit="1" customWidth="1"/>
    <col min="4616" max="4617" width="9" style="2955"/>
    <col min="4618" max="4618" width="9.33203125" style="2955" bestFit="1" customWidth="1"/>
    <col min="4619" max="4619" width="4" style="2955" customWidth="1"/>
    <col min="4620" max="4620" width="5.109375" style="2955" customWidth="1"/>
    <col min="4621" max="4621" width="13.77734375" style="2955" customWidth="1"/>
    <col min="4622" max="4864" width="9" style="2955"/>
    <col min="4865" max="4865" width="4.88671875" style="2955" customWidth="1"/>
    <col min="4866" max="4866" width="13.21875" style="2955" customWidth="1"/>
    <col min="4867" max="4867" width="15.6640625" style="2955" customWidth="1"/>
    <col min="4868" max="4868" width="9.33203125" style="2955" bestFit="1" customWidth="1"/>
    <col min="4869" max="4869" width="13.44140625" style="2955" customWidth="1"/>
    <col min="4870" max="4870" width="9" style="2955"/>
    <col min="4871" max="4871" width="9.33203125" style="2955" bestFit="1" customWidth="1"/>
    <col min="4872" max="4873" width="9" style="2955"/>
    <col min="4874" max="4874" width="9.33203125" style="2955" bestFit="1" customWidth="1"/>
    <col min="4875" max="4875" width="4" style="2955" customWidth="1"/>
    <col min="4876" max="4876" width="5.109375" style="2955" customWidth="1"/>
    <col min="4877" max="4877" width="13.77734375" style="2955" customWidth="1"/>
    <col min="4878" max="5120" width="9" style="2955"/>
    <col min="5121" max="5121" width="4.88671875" style="2955" customWidth="1"/>
    <col min="5122" max="5122" width="13.21875" style="2955" customWidth="1"/>
    <col min="5123" max="5123" width="15.6640625" style="2955" customWidth="1"/>
    <col min="5124" max="5124" width="9.33203125" style="2955" bestFit="1" customWidth="1"/>
    <col min="5125" max="5125" width="13.44140625" style="2955" customWidth="1"/>
    <col min="5126" max="5126" width="9" style="2955"/>
    <col min="5127" max="5127" width="9.33203125" style="2955" bestFit="1" customWidth="1"/>
    <col min="5128" max="5129" width="9" style="2955"/>
    <col min="5130" max="5130" width="9.33203125" style="2955" bestFit="1" customWidth="1"/>
    <col min="5131" max="5131" width="4" style="2955" customWidth="1"/>
    <col min="5132" max="5132" width="5.109375" style="2955" customWidth="1"/>
    <col min="5133" max="5133" width="13.77734375" style="2955" customWidth="1"/>
    <col min="5134" max="5376" width="9" style="2955"/>
    <col min="5377" max="5377" width="4.88671875" style="2955" customWidth="1"/>
    <col min="5378" max="5378" width="13.21875" style="2955" customWidth="1"/>
    <col min="5379" max="5379" width="15.6640625" style="2955" customWidth="1"/>
    <col min="5380" max="5380" width="9.33203125" style="2955" bestFit="1" customWidth="1"/>
    <col min="5381" max="5381" width="13.44140625" style="2955" customWidth="1"/>
    <col min="5382" max="5382" width="9" style="2955"/>
    <col min="5383" max="5383" width="9.33203125" style="2955" bestFit="1" customWidth="1"/>
    <col min="5384" max="5385" width="9" style="2955"/>
    <col min="5386" max="5386" width="9.33203125" style="2955" bestFit="1" customWidth="1"/>
    <col min="5387" max="5387" width="4" style="2955" customWidth="1"/>
    <col min="5388" max="5388" width="5.109375" style="2955" customWidth="1"/>
    <col min="5389" max="5389" width="13.77734375" style="2955" customWidth="1"/>
    <col min="5390" max="5632" width="9" style="2955"/>
    <col min="5633" max="5633" width="4.88671875" style="2955" customWidth="1"/>
    <col min="5634" max="5634" width="13.21875" style="2955" customWidth="1"/>
    <col min="5635" max="5635" width="15.6640625" style="2955" customWidth="1"/>
    <col min="5636" max="5636" width="9.33203125" style="2955" bestFit="1" customWidth="1"/>
    <col min="5637" max="5637" width="13.44140625" style="2955" customWidth="1"/>
    <col min="5638" max="5638" width="9" style="2955"/>
    <col min="5639" max="5639" width="9.33203125" style="2955" bestFit="1" customWidth="1"/>
    <col min="5640" max="5641" width="9" style="2955"/>
    <col min="5642" max="5642" width="9.33203125" style="2955" bestFit="1" customWidth="1"/>
    <col min="5643" max="5643" width="4" style="2955" customWidth="1"/>
    <col min="5644" max="5644" width="5.109375" style="2955" customWidth="1"/>
    <col min="5645" max="5645" width="13.77734375" style="2955" customWidth="1"/>
    <col min="5646" max="5888" width="9" style="2955"/>
    <col min="5889" max="5889" width="4.88671875" style="2955" customWidth="1"/>
    <col min="5890" max="5890" width="13.21875" style="2955" customWidth="1"/>
    <col min="5891" max="5891" width="15.6640625" style="2955" customWidth="1"/>
    <col min="5892" max="5892" width="9.33203125" style="2955" bestFit="1" customWidth="1"/>
    <col min="5893" max="5893" width="13.44140625" style="2955" customWidth="1"/>
    <col min="5894" max="5894" width="9" style="2955"/>
    <col min="5895" max="5895" width="9.33203125" style="2955" bestFit="1" customWidth="1"/>
    <col min="5896" max="5897" width="9" style="2955"/>
    <col min="5898" max="5898" width="9.33203125" style="2955" bestFit="1" customWidth="1"/>
    <col min="5899" max="5899" width="4" style="2955" customWidth="1"/>
    <col min="5900" max="5900" width="5.109375" style="2955" customWidth="1"/>
    <col min="5901" max="5901" width="13.77734375" style="2955" customWidth="1"/>
    <col min="5902" max="6144" width="9" style="2955"/>
    <col min="6145" max="6145" width="4.88671875" style="2955" customWidth="1"/>
    <col min="6146" max="6146" width="13.21875" style="2955" customWidth="1"/>
    <col min="6147" max="6147" width="15.6640625" style="2955" customWidth="1"/>
    <col min="6148" max="6148" width="9.33203125" style="2955" bestFit="1" customWidth="1"/>
    <col min="6149" max="6149" width="13.44140625" style="2955" customWidth="1"/>
    <col min="6150" max="6150" width="9" style="2955"/>
    <col min="6151" max="6151" width="9.33203125" style="2955" bestFit="1" customWidth="1"/>
    <col min="6152" max="6153" width="9" style="2955"/>
    <col min="6154" max="6154" width="9.33203125" style="2955" bestFit="1" customWidth="1"/>
    <col min="6155" max="6155" width="4" style="2955" customWidth="1"/>
    <col min="6156" max="6156" width="5.109375" style="2955" customWidth="1"/>
    <col min="6157" max="6157" width="13.77734375" style="2955" customWidth="1"/>
    <col min="6158" max="6400" width="9" style="2955"/>
    <col min="6401" max="6401" width="4.88671875" style="2955" customWidth="1"/>
    <col min="6402" max="6402" width="13.21875" style="2955" customWidth="1"/>
    <col min="6403" max="6403" width="15.6640625" style="2955" customWidth="1"/>
    <col min="6404" max="6404" width="9.33203125" style="2955" bestFit="1" customWidth="1"/>
    <col min="6405" max="6405" width="13.44140625" style="2955" customWidth="1"/>
    <col min="6406" max="6406" width="9" style="2955"/>
    <col min="6407" max="6407" width="9.33203125" style="2955" bestFit="1" customWidth="1"/>
    <col min="6408" max="6409" width="9" style="2955"/>
    <col min="6410" max="6410" width="9.33203125" style="2955" bestFit="1" customWidth="1"/>
    <col min="6411" max="6411" width="4" style="2955" customWidth="1"/>
    <col min="6412" max="6412" width="5.109375" style="2955" customWidth="1"/>
    <col min="6413" max="6413" width="13.77734375" style="2955" customWidth="1"/>
    <col min="6414" max="6656" width="9" style="2955"/>
    <col min="6657" max="6657" width="4.88671875" style="2955" customWidth="1"/>
    <col min="6658" max="6658" width="13.21875" style="2955" customWidth="1"/>
    <col min="6659" max="6659" width="15.6640625" style="2955" customWidth="1"/>
    <col min="6660" max="6660" width="9.33203125" style="2955" bestFit="1" customWidth="1"/>
    <col min="6661" max="6661" width="13.44140625" style="2955" customWidth="1"/>
    <col min="6662" max="6662" width="9" style="2955"/>
    <col min="6663" max="6663" width="9.33203125" style="2955" bestFit="1" customWidth="1"/>
    <col min="6664" max="6665" width="9" style="2955"/>
    <col min="6666" max="6666" width="9.33203125" style="2955" bestFit="1" customWidth="1"/>
    <col min="6667" max="6667" width="4" style="2955" customWidth="1"/>
    <col min="6668" max="6668" width="5.109375" style="2955" customWidth="1"/>
    <col min="6669" max="6669" width="13.77734375" style="2955" customWidth="1"/>
    <col min="6670" max="6912" width="9" style="2955"/>
    <col min="6913" max="6913" width="4.88671875" style="2955" customWidth="1"/>
    <col min="6914" max="6914" width="13.21875" style="2955" customWidth="1"/>
    <col min="6915" max="6915" width="15.6640625" style="2955" customWidth="1"/>
    <col min="6916" max="6916" width="9.33203125" style="2955" bestFit="1" customWidth="1"/>
    <col min="6917" max="6917" width="13.44140625" style="2955" customWidth="1"/>
    <col min="6918" max="6918" width="9" style="2955"/>
    <col min="6919" max="6919" width="9.33203125" style="2955" bestFit="1" customWidth="1"/>
    <col min="6920" max="6921" width="9" style="2955"/>
    <col min="6922" max="6922" width="9.33203125" style="2955" bestFit="1" customWidth="1"/>
    <col min="6923" max="6923" width="4" style="2955" customWidth="1"/>
    <col min="6924" max="6924" width="5.109375" style="2955" customWidth="1"/>
    <col min="6925" max="6925" width="13.77734375" style="2955" customWidth="1"/>
    <col min="6926" max="7168" width="9" style="2955"/>
    <col min="7169" max="7169" width="4.88671875" style="2955" customWidth="1"/>
    <col min="7170" max="7170" width="13.21875" style="2955" customWidth="1"/>
    <col min="7171" max="7171" width="15.6640625" style="2955" customWidth="1"/>
    <col min="7172" max="7172" width="9.33203125" style="2955" bestFit="1" customWidth="1"/>
    <col min="7173" max="7173" width="13.44140625" style="2955" customWidth="1"/>
    <col min="7174" max="7174" width="9" style="2955"/>
    <col min="7175" max="7175" width="9.33203125" style="2955" bestFit="1" customWidth="1"/>
    <col min="7176" max="7177" width="9" style="2955"/>
    <col min="7178" max="7178" width="9.33203125" style="2955" bestFit="1" customWidth="1"/>
    <col min="7179" max="7179" width="4" style="2955" customWidth="1"/>
    <col min="7180" max="7180" width="5.109375" style="2955" customWidth="1"/>
    <col min="7181" max="7181" width="13.77734375" style="2955" customWidth="1"/>
    <col min="7182" max="7424" width="9" style="2955"/>
    <col min="7425" max="7425" width="4.88671875" style="2955" customWidth="1"/>
    <col min="7426" max="7426" width="13.21875" style="2955" customWidth="1"/>
    <col min="7427" max="7427" width="15.6640625" style="2955" customWidth="1"/>
    <col min="7428" max="7428" width="9.33203125" style="2955" bestFit="1" customWidth="1"/>
    <col min="7429" max="7429" width="13.44140625" style="2955" customWidth="1"/>
    <col min="7430" max="7430" width="9" style="2955"/>
    <col min="7431" max="7431" width="9.33203125" style="2955" bestFit="1" customWidth="1"/>
    <col min="7432" max="7433" width="9" style="2955"/>
    <col min="7434" max="7434" width="9.33203125" style="2955" bestFit="1" customWidth="1"/>
    <col min="7435" max="7435" width="4" style="2955" customWidth="1"/>
    <col min="7436" max="7436" width="5.109375" style="2955" customWidth="1"/>
    <col min="7437" max="7437" width="13.77734375" style="2955" customWidth="1"/>
    <col min="7438" max="7680" width="9" style="2955"/>
    <col min="7681" max="7681" width="4.88671875" style="2955" customWidth="1"/>
    <col min="7682" max="7682" width="13.21875" style="2955" customWidth="1"/>
    <col min="7683" max="7683" width="15.6640625" style="2955" customWidth="1"/>
    <col min="7684" max="7684" width="9.33203125" style="2955" bestFit="1" customWidth="1"/>
    <col min="7685" max="7685" width="13.44140625" style="2955" customWidth="1"/>
    <col min="7686" max="7686" width="9" style="2955"/>
    <col min="7687" max="7687" width="9.33203125" style="2955" bestFit="1" customWidth="1"/>
    <col min="7688" max="7689" width="9" style="2955"/>
    <col min="7690" max="7690" width="9.33203125" style="2955" bestFit="1" customWidth="1"/>
    <col min="7691" max="7691" width="4" style="2955" customWidth="1"/>
    <col min="7692" max="7692" width="5.109375" style="2955" customWidth="1"/>
    <col min="7693" max="7693" width="13.77734375" style="2955" customWidth="1"/>
    <col min="7694" max="7936" width="9" style="2955"/>
    <col min="7937" max="7937" width="4.88671875" style="2955" customWidth="1"/>
    <col min="7938" max="7938" width="13.21875" style="2955" customWidth="1"/>
    <col min="7939" max="7939" width="15.6640625" style="2955" customWidth="1"/>
    <col min="7940" max="7940" width="9.33203125" style="2955" bestFit="1" customWidth="1"/>
    <col min="7941" max="7941" width="13.44140625" style="2955" customWidth="1"/>
    <col min="7942" max="7942" width="9" style="2955"/>
    <col min="7943" max="7943" width="9.33203125" style="2955" bestFit="1" customWidth="1"/>
    <col min="7944" max="7945" width="9" style="2955"/>
    <col min="7946" max="7946" width="9.33203125" style="2955" bestFit="1" customWidth="1"/>
    <col min="7947" max="7947" width="4" style="2955" customWidth="1"/>
    <col min="7948" max="7948" width="5.109375" style="2955" customWidth="1"/>
    <col min="7949" max="7949" width="13.77734375" style="2955" customWidth="1"/>
    <col min="7950" max="8192" width="9" style="2955"/>
    <col min="8193" max="8193" width="4.88671875" style="2955" customWidth="1"/>
    <col min="8194" max="8194" width="13.21875" style="2955" customWidth="1"/>
    <col min="8195" max="8195" width="15.6640625" style="2955" customWidth="1"/>
    <col min="8196" max="8196" width="9.33203125" style="2955" bestFit="1" customWidth="1"/>
    <col min="8197" max="8197" width="13.44140625" style="2955" customWidth="1"/>
    <col min="8198" max="8198" width="9" style="2955"/>
    <col min="8199" max="8199" width="9.33203125" style="2955" bestFit="1" customWidth="1"/>
    <col min="8200" max="8201" width="9" style="2955"/>
    <col min="8202" max="8202" width="9.33203125" style="2955" bestFit="1" customWidth="1"/>
    <col min="8203" max="8203" width="4" style="2955" customWidth="1"/>
    <col min="8204" max="8204" width="5.109375" style="2955" customWidth="1"/>
    <col min="8205" max="8205" width="13.77734375" style="2955" customWidth="1"/>
    <col min="8206" max="8448" width="9" style="2955"/>
    <col min="8449" max="8449" width="4.88671875" style="2955" customWidth="1"/>
    <col min="8450" max="8450" width="13.21875" style="2955" customWidth="1"/>
    <col min="8451" max="8451" width="15.6640625" style="2955" customWidth="1"/>
    <col min="8452" max="8452" width="9.33203125" style="2955" bestFit="1" customWidth="1"/>
    <col min="8453" max="8453" width="13.44140625" style="2955" customWidth="1"/>
    <col min="8454" max="8454" width="9" style="2955"/>
    <col min="8455" max="8455" width="9.33203125" style="2955" bestFit="1" customWidth="1"/>
    <col min="8456" max="8457" width="9" style="2955"/>
    <col min="8458" max="8458" width="9.33203125" style="2955" bestFit="1" customWidth="1"/>
    <col min="8459" max="8459" width="4" style="2955" customWidth="1"/>
    <col min="8460" max="8460" width="5.109375" style="2955" customWidth="1"/>
    <col min="8461" max="8461" width="13.77734375" style="2955" customWidth="1"/>
    <col min="8462" max="8704" width="9" style="2955"/>
    <col min="8705" max="8705" width="4.88671875" style="2955" customWidth="1"/>
    <col min="8706" max="8706" width="13.21875" style="2955" customWidth="1"/>
    <col min="8707" max="8707" width="15.6640625" style="2955" customWidth="1"/>
    <col min="8708" max="8708" width="9.33203125" style="2955" bestFit="1" customWidth="1"/>
    <col min="8709" max="8709" width="13.44140625" style="2955" customWidth="1"/>
    <col min="8710" max="8710" width="9" style="2955"/>
    <col min="8711" max="8711" width="9.33203125" style="2955" bestFit="1" customWidth="1"/>
    <col min="8712" max="8713" width="9" style="2955"/>
    <col min="8714" max="8714" width="9.33203125" style="2955" bestFit="1" customWidth="1"/>
    <col min="8715" max="8715" width="4" style="2955" customWidth="1"/>
    <col min="8716" max="8716" width="5.109375" style="2955" customWidth="1"/>
    <col min="8717" max="8717" width="13.77734375" style="2955" customWidth="1"/>
    <col min="8718" max="8960" width="9" style="2955"/>
    <col min="8961" max="8961" width="4.88671875" style="2955" customWidth="1"/>
    <col min="8962" max="8962" width="13.21875" style="2955" customWidth="1"/>
    <col min="8963" max="8963" width="15.6640625" style="2955" customWidth="1"/>
    <col min="8964" max="8964" width="9.33203125" style="2955" bestFit="1" customWidth="1"/>
    <col min="8965" max="8965" width="13.44140625" style="2955" customWidth="1"/>
    <col min="8966" max="8966" width="9" style="2955"/>
    <col min="8967" max="8967" width="9.33203125" style="2955" bestFit="1" customWidth="1"/>
    <col min="8968" max="8969" width="9" style="2955"/>
    <col min="8970" max="8970" width="9.33203125" style="2955" bestFit="1" customWidth="1"/>
    <col min="8971" max="8971" width="4" style="2955" customWidth="1"/>
    <col min="8972" max="8972" width="5.109375" style="2955" customWidth="1"/>
    <col min="8973" max="8973" width="13.77734375" style="2955" customWidth="1"/>
    <col min="8974" max="9216" width="9" style="2955"/>
    <col min="9217" max="9217" width="4.88671875" style="2955" customWidth="1"/>
    <col min="9218" max="9218" width="13.21875" style="2955" customWidth="1"/>
    <col min="9219" max="9219" width="15.6640625" style="2955" customWidth="1"/>
    <col min="9220" max="9220" width="9.33203125" style="2955" bestFit="1" customWidth="1"/>
    <col min="9221" max="9221" width="13.44140625" style="2955" customWidth="1"/>
    <col min="9222" max="9222" width="9" style="2955"/>
    <col min="9223" max="9223" width="9.33203125" style="2955" bestFit="1" customWidth="1"/>
    <col min="9224" max="9225" width="9" style="2955"/>
    <col min="9226" max="9226" width="9.33203125" style="2955" bestFit="1" customWidth="1"/>
    <col min="9227" max="9227" width="4" style="2955" customWidth="1"/>
    <col min="9228" max="9228" width="5.109375" style="2955" customWidth="1"/>
    <col min="9229" max="9229" width="13.77734375" style="2955" customWidth="1"/>
    <col min="9230" max="9472" width="9" style="2955"/>
    <col min="9473" max="9473" width="4.88671875" style="2955" customWidth="1"/>
    <col min="9474" max="9474" width="13.21875" style="2955" customWidth="1"/>
    <col min="9475" max="9475" width="15.6640625" style="2955" customWidth="1"/>
    <col min="9476" max="9476" width="9.33203125" style="2955" bestFit="1" customWidth="1"/>
    <col min="9477" max="9477" width="13.44140625" style="2955" customWidth="1"/>
    <col min="9478" max="9478" width="9" style="2955"/>
    <col min="9479" max="9479" width="9.33203125" style="2955" bestFit="1" customWidth="1"/>
    <col min="9480" max="9481" width="9" style="2955"/>
    <col min="9482" max="9482" width="9.33203125" style="2955" bestFit="1" customWidth="1"/>
    <col min="9483" max="9483" width="4" style="2955" customWidth="1"/>
    <col min="9484" max="9484" width="5.109375" style="2955" customWidth="1"/>
    <col min="9485" max="9485" width="13.77734375" style="2955" customWidth="1"/>
    <col min="9486" max="9728" width="9" style="2955"/>
    <col min="9729" max="9729" width="4.88671875" style="2955" customWidth="1"/>
    <col min="9730" max="9730" width="13.21875" style="2955" customWidth="1"/>
    <col min="9731" max="9731" width="15.6640625" style="2955" customWidth="1"/>
    <col min="9732" max="9732" width="9.33203125" style="2955" bestFit="1" customWidth="1"/>
    <col min="9733" max="9733" width="13.44140625" style="2955" customWidth="1"/>
    <col min="9734" max="9734" width="9" style="2955"/>
    <col min="9735" max="9735" width="9.33203125" style="2955" bestFit="1" customWidth="1"/>
    <col min="9736" max="9737" width="9" style="2955"/>
    <col min="9738" max="9738" width="9.33203125" style="2955" bestFit="1" customWidth="1"/>
    <col min="9739" max="9739" width="4" style="2955" customWidth="1"/>
    <col min="9740" max="9740" width="5.109375" style="2955" customWidth="1"/>
    <col min="9741" max="9741" width="13.77734375" style="2955" customWidth="1"/>
    <col min="9742" max="9984" width="9" style="2955"/>
    <col min="9985" max="9985" width="4.88671875" style="2955" customWidth="1"/>
    <col min="9986" max="9986" width="13.21875" style="2955" customWidth="1"/>
    <col min="9987" max="9987" width="15.6640625" style="2955" customWidth="1"/>
    <col min="9988" max="9988" width="9.33203125" style="2955" bestFit="1" customWidth="1"/>
    <col min="9989" max="9989" width="13.44140625" style="2955" customWidth="1"/>
    <col min="9990" max="9990" width="9" style="2955"/>
    <col min="9991" max="9991" width="9.33203125" style="2955" bestFit="1" customWidth="1"/>
    <col min="9992" max="9993" width="9" style="2955"/>
    <col min="9994" max="9994" width="9.33203125" style="2955" bestFit="1" customWidth="1"/>
    <col min="9995" max="9995" width="4" style="2955" customWidth="1"/>
    <col min="9996" max="9996" width="5.109375" style="2955" customWidth="1"/>
    <col min="9997" max="9997" width="13.77734375" style="2955" customWidth="1"/>
    <col min="9998" max="10240" width="9" style="2955"/>
    <col min="10241" max="10241" width="4.88671875" style="2955" customWidth="1"/>
    <col min="10242" max="10242" width="13.21875" style="2955" customWidth="1"/>
    <col min="10243" max="10243" width="15.6640625" style="2955" customWidth="1"/>
    <col min="10244" max="10244" width="9.33203125" style="2955" bestFit="1" customWidth="1"/>
    <col min="10245" max="10245" width="13.44140625" style="2955" customWidth="1"/>
    <col min="10246" max="10246" width="9" style="2955"/>
    <col min="10247" max="10247" width="9.33203125" style="2955" bestFit="1" customWidth="1"/>
    <col min="10248" max="10249" width="9" style="2955"/>
    <col min="10250" max="10250" width="9.33203125" style="2955" bestFit="1" customWidth="1"/>
    <col min="10251" max="10251" width="4" style="2955" customWidth="1"/>
    <col min="10252" max="10252" width="5.109375" style="2955" customWidth="1"/>
    <col min="10253" max="10253" width="13.77734375" style="2955" customWidth="1"/>
    <col min="10254" max="10496" width="9" style="2955"/>
    <col min="10497" max="10497" width="4.88671875" style="2955" customWidth="1"/>
    <col min="10498" max="10498" width="13.21875" style="2955" customWidth="1"/>
    <col min="10499" max="10499" width="15.6640625" style="2955" customWidth="1"/>
    <col min="10500" max="10500" width="9.33203125" style="2955" bestFit="1" customWidth="1"/>
    <col min="10501" max="10501" width="13.44140625" style="2955" customWidth="1"/>
    <col min="10502" max="10502" width="9" style="2955"/>
    <col min="10503" max="10503" width="9.33203125" style="2955" bestFit="1" customWidth="1"/>
    <col min="10504" max="10505" width="9" style="2955"/>
    <col min="10506" max="10506" width="9.33203125" style="2955" bestFit="1" customWidth="1"/>
    <col min="10507" max="10507" width="4" style="2955" customWidth="1"/>
    <col min="10508" max="10508" width="5.109375" style="2955" customWidth="1"/>
    <col min="10509" max="10509" width="13.77734375" style="2955" customWidth="1"/>
    <col min="10510" max="10752" width="9" style="2955"/>
    <col min="10753" max="10753" width="4.88671875" style="2955" customWidth="1"/>
    <col min="10754" max="10754" width="13.21875" style="2955" customWidth="1"/>
    <col min="10755" max="10755" width="15.6640625" style="2955" customWidth="1"/>
    <col min="10756" max="10756" width="9.33203125" style="2955" bestFit="1" customWidth="1"/>
    <col min="10757" max="10757" width="13.44140625" style="2955" customWidth="1"/>
    <col min="10758" max="10758" width="9" style="2955"/>
    <col min="10759" max="10759" width="9.33203125" style="2955" bestFit="1" customWidth="1"/>
    <col min="10760" max="10761" width="9" style="2955"/>
    <col min="10762" max="10762" width="9.33203125" style="2955" bestFit="1" customWidth="1"/>
    <col min="10763" max="10763" width="4" style="2955" customWidth="1"/>
    <col min="10764" max="10764" width="5.109375" style="2955" customWidth="1"/>
    <col min="10765" max="10765" width="13.77734375" style="2955" customWidth="1"/>
    <col min="10766" max="11008" width="9" style="2955"/>
    <col min="11009" max="11009" width="4.88671875" style="2955" customWidth="1"/>
    <col min="11010" max="11010" width="13.21875" style="2955" customWidth="1"/>
    <col min="11011" max="11011" width="15.6640625" style="2955" customWidth="1"/>
    <col min="11012" max="11012" width="9.33203125" style="2955" bestFit="1" customWidth="1"/>
    <col min="11013" max="11013" width="13.44140625" style="2955" customWidth="1"/>
    <col min="11014" max="11014" width="9" style="2955"/>
    <col min="11015" max="11015" width="9.33203125" style="2955" bestFit="1" customWidth="1"/>
    <col min="11016" max="11017" width="9" style="2955"/>
    <col min="11018" max="11018" width="9.33203125" style="2955" bestFit="1" customWidth="1"/>
    <col min="11019" max="11019" width="4" style="2955" customWidth="1"/>
    <col min="11020" max="11020" width="5.109375" style="2955" customWidth="1"/>
    <col min="11021" max="11021" width="13.77734375" style="2955" customWidth="1"/>
    <col min="11022" max="11264" width="9" style="2955"/>
    <col min="11265" max="11265" width="4.88671875" style="2955" customWidth="1"/>
    <col min="11266" max="11266" width="13.21875" style="2955" customWidth="1"/>
    <col min="11267" max="11267" width="15.6640625" style="2955" customWidth="1"/>
    <col min="11268" max="11268" width="9.33203125" style="2955" bestFit="1" customWidth="1"/>
    <col min="11269" max="11269" width="13.44140625" style="2955" customWidth="1"/>
    <col min="11270" max="11270" width="9" style="2955"/>
    <col min="11271" max="11271" width="9.33203125" style="2955" bestFit="1" customWidth="1"/>
    <col min="11272" max="11273" width="9" style="2955"/>
    <col min="11274" max="11274" width="9.33203125" style="2955" bestFit="1" customWidth="1"/>
    <col min="11275" max="11275" width="4" style="2955" customWidth="1"/>
    <col min="11276" max="11276" width="5.109375" style="2955" customWidth="1"/>
    <col min="11277" max="11277" width="13.77734375" style="2955" customWidth="1"/>
    <col min="11278" max="11520" width="9" style="2955"/>
    <col min="11521" max="11521" width="4.88671875" style="2955" customWidth="1"/>
    <col min="11522" max="11522" width="13.21875" style="2955" customWidth="1"/>
    <col min="11523" max="11523" width="15.6640625" style="2955" customWidth="1"/>
    <col min="11524" max="11524" width="9.33203125" style="2955" bestFit="1" customWidth="1"/>
    <col min="11525" max="11525" width="13.44140625" style="2955" customWidth="1"/>
    <col min="11526" max="11526" width="9" style="2955"/>
    <col min="11527" max="11527" width="9.33203125" style="2955" bestFit="1" customWidth="1"/>
    <col min="11528" max="11529" width="9" style="2955"/>
    <col min="11530" max="11530" width="9.33203125" style="2955" bestFit="1" customWidth="1"/>
    <col min="11531" max="11531" width="4" style="2955" customWidth="1"/>
    <col min="11532" max="11532" width="5.109375" style="2955" customWidth="1"/>
    <col min="11533" max="11533" width="13.77734375" style="2955" customWidth="1"/>
    <col min="11534" max="11776" width="9" style="2955"/>
    <col min="11777" max="11777" width="4.88671875" style="2955" customWidth="1"/>
    <col min="11778" max="11778" width="13.21875" style="2955" customWidth="1"/>
    <col min="11779" max="11779" width="15.6640625" style="2955" customWidth="1"/>
    <col min="11780" max="11780" width="9.33203125" style="2955" bestFit="1" customWidth="1"/>
    <col min="11781" max="11781" width="13.44140625" style="2955" customWidth="1"/>
    <col min="11782" max="11782" width="9" style="2955"/>
    <col min="11783" max="11783" width="9.33203125" style="2955" bestFit="1" customWidth="1"/>
    <col min="11784" max="11785" width="9" style="2955"/>
    <col min="11786" max="11786" width="9.33203125" style="2955" bestFit="1" customWidth="1"/>
    <col min="11787" max="11787" width="4" style="2955" customWidth="1"/>
    <col min="11788" max="11788" width="5.109375" style="2955" customWidth="1"/>
    <col min="11789" max="11789" width="13.77734375" style="2955" customWidth="1"/>
    <col min="11790" max="12032" width="9" style="2955"/>
    <col min="12033" max="12033" width="4.88671875" style="2955" customWidth="1"/>
    <col min="12034" max="12034" width="13.21875" style="2955" customWidth="1"/>
    <col min="12035" max="12035" width="15.6640625" style="2955" customWidth="1"/>
    <col min="12036" max="12036" width="9.33203125" style="2955" bestFit="1" customWidth="1"/>
    <col min="12037" max="12037" width="13.44140625" style="2955" customWidth="1"/>
    <col min="12038" max="12038" width="9" style="2955"/>
    <col min="12039" max="12039" width="9.33203125" style="2955" bestFit="1" customWidth="1"/>
    <col min="12040" max="12041" width="9" style="2955"/>
    <col min="12042" max="12042" width="9.33203125" style="2955" bestFit="1" customWidth="1"/>
    <col min="12043" max="12043" width="4" style="2955" customWidth="1"/>
    <col min="12044" max="12044" width="5.109375" style="2955" customWidth="1"/>
    <col min="12045" max="12045" width="13.77734375" style="2955" customWidth="1"/>
    <col min="12046" max="12288" width="9" style="2955"/>
    <col min="12289" max="12289" width="4.88671875" style="2955" customWidth="1"/>
    <col min="12290" max="12290" width="13.21875" style="2955" customWidth="1"/>
    <col min="12291" max="12291" width="15.6640625" style="2955" customWidth="1"/>
    <col min="12292" max="12292" width="9.33203125" style="2955" bestFit="1" customWidth="1"/>
    <col min="12293" max="12293" width="13.44140625" style="2955" customWidth="1"/>
    <col min="12294" max="12294" width="9" style="2955"/>
    <col min="12295" max="12295" width="9.33203125" style="2955" bestFit="1" customWidth="1"/>
    <col min="12296" max="12297" width="9" style="2955"/>
    <col min="12298" max="12298" width="9.33203125" style="2955" bestFit="1" customWidth="1"/>
    <col min="12299" max="12299" width="4" style="2955" customWidth="1"/>
    <col min="12300" max="12300" width="5.109375" style="2955" customWidth="1"/>
    <col min="12301" max="12301" width="13.77734375" style="2955" customWidth="1"/>
    <col min="12302" max="12544" width="9" style="2955"/>
    <col min="12545" max="12545" width="4.88671875" style="2955" customWidth="1"/>
    <col min="12546" max="12546" width="13.21875" style="2955" customWidth="1"/>
    <col min="12547" max="12547" width="15.6640625" style="2955" customWidth="1"/>
    <col min="12548" max="12548" width="9.33203125" style="2955" bestFit="1" customWidth="1"/>
    <col min="12549" max="12549" width="13.44140625" style="2955" customWidth="1"/>
    <col min="12550" max="12550" width="9" style="2955"/>
    <col min="12551" max="12551" width="9.33203125" style="2955" bestFit="1" customWidth="1"/>
    <col min="12552" max="12553" width="9" style="2955"/>
    <col min="12554" max="12554" width="9.33203125" style="2955" bestFit="1" customWidth="1"/>
    <col min="12555" max="12555" width="4" style="2955" customWidth="1"/>
    <col min="12556" max="12556" width="5.109375" style="2955" customWidth="1"/>
    <col min="12557" max="12557" width="13.77734375" style="2955" customWidth="1"/>
    <col min="12558" max="12800" width="9" style="2955"/>
    <col min="12801" max="12801" width="4.88671875" style="2955" customWidth="1"/>
    <col min="12802" max="12802" width="13.21875" style="2955" customWidth="1"/>
    <col min="12803" max="12803" width="15.6640625" style="2955" customWidth="1"/>
    <col min="12804" max="12804" width="9.33203125" style="2955" bestFit="1" customWidth="1"/>
    <col min="12805" max="12805" width="13.44140625" style="2955" customWidth="1"/>
    <col min="12806" max="12806" width="9" style="2955"/>
    <col min="12807" max="12807" width="9.33203125" style="2955" bestFit="1" customWidth="1"/>
    <col min="12808" max="12809" width="9" style="2955"/>
    <col min="12810" max="12810" width="9.33203125" style="2955" bestFit="1" customWidth="1"/>
    <col min="12811" max="12811" width="4" style="2955" customWidth="1"/>
    <col min="12812" max="12812" width="5.109375" style="2955" customWidth="1"/>
    <col min="12813" max="12813" width="13.77734375" style="2955" customWidth="1"/>
    <col min="12814" max="13056" width="9" style="2955"/>
    <col min="13057" max="13057" width="4.88671875" style="2955" customWidth="1"/>
    <col min="13058" max="13058" width="13.21875" style="2955" customWidth="1"/>
    <col min="13059" max="13059" width="15.6640625" style="2955" customWidth="1"/>
    <col min="13060" max="13060" width="9.33203125" style="2955" bestFit="1" customWidth="1"/>
    <col min="13061" max="13061" width="13.44140625" style="2955" customWidth="1"/>
    <col min="13062" max="13062" width="9" style="2955"/>
    <col min="13063" max="13063" width="9.33203125" style="2955" bestFit="1" customWidth="1"/>
    <col min="13064" max="13065" width="9" style="2955"/>
    <col min="13066" max="13066" width="9.33203125" style="2955" bestFit="1" customWidth="1"/>
    <col min="13067" max="13067" width="4" style="2955" customWidth="1"/>
    <col min="13068" max="13068" width="5.109375" style="2955" customWidth="1"/>
    <col min="13069" max="13069" width="13.77734375" style="2955" customWidth="1"/>
    <col min="13070" max="13312" width="9" style="2955"/>
    <col min="13313" max="13313" width="4.88671875" style="2955" customWidth="1"/>
    <col min="13314" max="13314" width="13.21875" style="2955" customWidth="1"/>
    <col min="13315" max="13315" width="15.6640625" style="2955" customWidth="1"/>
    <col min="13316" max="13316" width="9.33203125" style="2955" bestFit="1" customWidth="1"/>
    <col min="13317" max="13317" width="13.44140625" style="2955" customWidth="1"/>
    <col min="13318" max="13318" width="9" style="2955"/>
    <col min="13319" max="13319" width="9.33203125" style="2955" bestFit="1" customWidth="1"/>
    <col min="13320" max="13321" width="9" style="2955"/>
    <col min="13322" max="13322" width="9.33203125" style="2955" bestFit="1" customWidth="1"/>
    <col min="13323" max="13323" width="4" style="2955" customWidth="1"/>
    <col min="13324" max="13324" width="5.109375" style="2955" customWidth="1"/>
    <col min="13325" max="13325" width="13.77734375" style="2955" customWidth="1"/>
    <col min="13326" max="13568" width="9" style="2955"/>
    <col min="13569" max="13569" width="4.88671875" style="2955" customWidth="1"/>
    <col min="13570" max="13570" width="13.21875" style="2955" customWidth="1"/>
    <col min="13571" max="13571" width="15.6640625" style="2955" customWidth="1"/>
    <col min="13572" max="13572" width="9.33203125" style="2955" bestFit="1" customWidth="1"/>
    <col min="13573" max="13573" width="13.44140625" style="2955" customWidth="1"/>
    <col min="13574" max="13574" width="9" style="2955"/>
    <col min="13575" max="13575" width="9.33203125" style="2955" bestFit="1" customWidth="1"/>
    <col min="13576" max="13577" width="9" style="2955"/>
    <col min="13578" max="13578" width="9.33203125" style="2955" bestFit="1" customWidth="1"/>
    <col min="13579" max="13579" width="4" style="2955" customWidth="1"/>
    <col min="13580" max="13580" width="5.109375" style="2955" customWidth="1"/>
    <col min="13581" max="13581" width="13.77734375" style="2955" customWidth="1"/>
    <col min="13582" max="13824" width="9" style="2955"/>
    <col min="13825" max="13825" width="4.88671875" style="2955" customWidth="1"/>
    <col min="13826" max="13826" width="13.21875" style="2955" customWidth="1"/>
    <col min="13827" max="13827" width="15.6640625" style="2955" customWidth="1"/>
    <col min="13828" max="13828" width="9.33203125" style="2955" bestFit="1" customWidth="1"/>
    <col min="13829" max="13829" width="13.44140625" style="2955" customWidth="1"/>
    <col min="13830" max="13830" width="9" style="2955"/>
    <col min="13831" max="13831" width="9.33203125" style="2955" bestFit="1" customWidth="1"/>
    <col min="13832" max="13833" width="9" style="2955"/>
    <col min="13834" max="13834" width="9.33203125" style="2955" bestFit="1" customWidth="1"/>
    <col min="13835" max="13835" width="4" style="2955" customWidth="1"/>
    <col min="13836" max="13836" width="5.109375" style="2955" customWidth="1"/>
    <col min="13837" max="13837" width="13.77734375" style="2955" customWidth="1"/>
    <col min="13838" max="14080" width="9" style="2955"/>
    <col min="14081" max="14081" width="4.88671875" style="2955" customWidth="1"/>
    <col min="14082" max="14082" width="13.21875" style="2955" customWidth="1"/>
    <col min="14083" max="14083" width="15.6640625" style="2955" customWidth="1"/>
    <col min="14084" max="14084" width="9.33203125" style="2955" bestFit="1" customWidth="1"/>
    <col min="14085" max="14085" width="13.44140625" style="2955" customWidth="1"/>
    <col min="14086" max="14086" width="9" style="2955"/>
    <col min="14087" max="14087" width="9.33203125" style="2955" bestFit="1" customWidth="1"/>
    <col min="14088" max="14089" width="9" style="2955"/>
    <col min="14090" max="14090" width="9.33203125" style="2955" bestFit="1" customWidth="1"/>
    <col min="14091" max="14091" width="4" style="2955" customWidth="1"/>
    <col min="14092" max="14092" width="5.109375" style="2955" customWidth="1"/>
    <col min="14093" max="14093" width="13.77734375" style="2955" customWidth="1"/>
    <col min="14094" max="14336" width="9" style="2955"/>
    <col min="14337" max="14337" width="4.88671875" style="2955" customWidth="1"/>
    <col min="14338" max="14338" width="13.21875" style="2955" customWidth="1"/>
    <col min="14339" max="14339" width="15.6640625" style="2955" customWidth="1"/>
    <col min="14340" max="14340" width="9.33203125" style="2955" bestFit="1" customWidth="1"/>
    <col min="14341" max="14341" width="13.44140625" style="2955" customWidth="1"/>
    <col min="14342" max="14342" width="9" style="2955"/>
    <col min="14343" max="14343" width="9.33203125" style="2955" bestFit="1" customWidth="1"/>
    <col min="14344" max="14345" width="9" style="2955"/>
    <col min="14346" max="14346" width="9.33203125" style="2955" bestFit="1" customWidth="1"/>
    <col min="14347" max="14347" width="4" style="2955" customWidth="1"/>
    <col min="14348" max="14348" width="5.109375" style="2955" customWidth="1"/>
    <col min="14349" max="14349" width="13.77734375" style="2955" customWidth="1"/>
    <col min="14350" max="14592" width="9" style="2955"/>
    <col min="14593" max="14593" width="4.88671875" style="2955" customWidth="1"/>
    <col min="14594" max="14594" width="13.21875" style="2955" customWidth="1"/>
    <col min="14595" max="14595" width="15.6640625" style="2955" customWidth="1"/>
    <col min="14596" max="14596" width="9.33203125" style="2955" bestFit="1" customWidth="1"/>
    <col min="14597" max="14597" width="13.44140625" style="2955" customWidth="1"/>
    <col min="14598" max="14598" width="9" style="2955"/>
    <col min="14599" max="14599" width="9.33203125" style="2955" bestFit="1" customWidth="1"/>
    <col min="14600" max="14601" width="9" style="2955"/>
    <col min="14602" max="14602" width="9.33203125" style="2955" bestFit="1" customWidth="1"/>
    <col min="14603" max="14603" width="4" style="2955" customWidth="1"/>
    <col min="14604" max="14604" width="5.109375" style="2955" customWidth="1"/>
    <col min="14605" max="14605" width="13.77734375" style="2955" customWidth="1"/>
    <col min="14606" max="14848" width="9" style="2955"/>
    <col min="14849" max="14849" width="4.88671875" style="2955" customWidth="1"/>
    <col min="14850" max="14850" width="13.21875" style="2955" customWidth="1"/>
    <col min="14851" max="14851" width="15.6640625" style="2955" customWidth="1"/>
    <col min="14852" max="14852" width="9.33203125" style="2955" bestFit="1" customWidth="1"/>
    <col min="14853" max="14853" width="13.44140625" style="2955" customWidth="1"/>
    <col min="14854" max="14854" width="9" style="2955"/>
    <col min="14855" max="14855" width="9.33203125" style="2955" bestFit="1" customWidth="1"/>
    <col min="14856" max="14857" width="9" style="2955"/>
    <col min="14858" max="14858" width="9.33203125" style="2955" bestFit="1" customWidth="1"/>
    <col min="14859" max="14859" width="4" style="2955" customWidth="1"/>
    <col min="14860" max="14860" width="5.109375" style="2955" customWidth="1"/>
    <col min="14861" max="14861" width="13.77734375" style="2955" customWidth="1"/>
    <col min="14862" max="15104" width="9" style="2955"/>
    <col min="15105" max="15105" width="4.88671875" style="2955" customWidth="1"/>
    <col min="15106" max="15106" width="13.21875" style="2955" customWidth="1"/>
    <col min="15107" max="15107" width="15.6640625" style="2955" customWidth="1"/>
    <col min="15108" max="15108" width="9.33203125" style="2955" bestFit="1" customWidth="1"/>
    <col min="15109" max="15109" width="13.44140625" style="2955" customWidth="1"/>
    <col min="15110" max="15110" width="9" style="2955"/>
    <col min="15111" max="15111" width="9.33203125" style="2955" bestFit="1" customWidth="1"/>
    <col min="15112" max="15113" width="9" style="2955"/>
    <col min="15114" max="15114" width="9.33203125" style="2955" bestFit="1" customWidth="1"/>
    <col min="15115" max="15115" width="4" style="2955" customWidth="1"/>
    <col min="15116" max="15116" width="5.109375" style="2955" customWidth="1"/>
    <col min="15117" max="15117" width="13.77734375" style="2955" customWidth="1"/>
    <col min="15118" max="15360" width="9" style="2955"/>
    <col min="15361" max="15361" width="4.88671875" style="2955" customWidth="1"/>
    <col min="15362" max="15362" width="13.21875" style="2955" customWidth="1"/>
    <col min="15363" max="15363" width="15.6640625" style="2955" customWidth="1"/>
    <col min="15364" max="15364" width="9.33203125" style="2955" bestFit="1" customWidth="1"/>
    <col min="15365" max="15365" width="13.44140625" style="2955" customWidth="1"/>
    <col min="15366" max="15366" width="9" style="2955"/>
    <col min="15367" max="15367" width="9.33203125" style="2955" bestFit="1" customWidth="1"/>
    <col min="15368" max="15369" width="9" style="2955"/>
    <col min="15370" max="15370" width="9.33203125" style="2955" bestFit="1" customWidth="1"/>
    <col min="15371" max="15371" width="4" style="2955" customWidth="1"/>
    <col min="15372" max="15372" width="5.109375" style="2955" customWidth="1"/>
    <col min="15373" max="15373" width="13.77734375" style="2955" customWidth="1"/>
    <col min="15374" max="15616" width="9" style="2955"/>
    <col min="15617" max="15617" width="4.88671875" style="2955" customWidth="1"/>
    <col min="15618" max="15618" width="13.21875" style="2955" customWidth="1"/>
    <col min="15619" max="15619" width="15.6640625" style="2955" customWidth="1"/>
    <col min="15620" max="15620" width="9.33203125" style="2955" bestFit="1" customWidth="1"/>
    <col min="15621" max="15621" width="13.44140625" style="2955" customWidth="1"/>
    <col min="15622" max="15622" width="9" style="2955"/>
    <col min="15623" max="15623" width="9.33203125" style="2955" bestFit="1" customWidth="1"/>
    <col min="15624" max="15625" width="9" style="2955"/>
    <col min="15626" max="15626" width="9.33203125" style="2955" bestFit="1" customWidth="1"/>
    <col min="15627" max="15627" width="4" style="2955" customWidth="1"/>
    <col min="15628" max="15628" width="5.109375" style="2955" customWidth="1"/>
    <col min="15629" max="15629" width="13.77734375" style="2955" customWidth="1"/>
    <col min="15630" max="15872" width="9" style="2955"/>
    <col min="15873" max="15873" width="4.88671875" style="2955" customWidth="1"/>
    <col min="15874" max="15874" width="13.21875" style="2955" customWidth="1"/>
    <col min="15875" max="15875" width="15.6640625" style="2955" customWidth="1"/>
    <col min="15876" max="15876" width="9.33203125" style="2955" bestFit="1" customWidth="1"/>
    <col min="15877" max="15877" width="13.44140625" style="2955" customWidth="1"/>
    <col min="15878" max="15878" width="9" style="2955"/>
    <col min="15879" max="15879" width="9.33203125" style="2955" bestFit="1" customWidth="1"/>
    <col min="15880" max="15881" width="9" style="2955"/>
    <col min="15882" max="15882" width="9.33203125" style="2955" bestFit="1" customWidth="1"/>
    <col min="15883" max="15883" width="4" style="2955" customWidth="1"/>
    <col min="15884" max="15884" width="5.109375" style="2955" customWidth="1"/>
    <col min="15885" max="15885" width="13.77734375" style="2955" customWidth="1"/>
    <col min="15886" max="16128" width="9" style="2955"/>
    <col min="16129" max="16129" width="4.88671875" style="2955" customWidth="1"/>
    <col min="16130" max="16130" width="13.21875" style="2955" customWidth="1"/>
    <col min="16131" max="16131" width="15.6640625" style="2955" customWidth="1"/>
    <col min="16132" max="16132" width="9.33203125" style="2955" bestFit="1" customWidth="1"/>
    <col min="16133" max="16133" width="13.44140625" style="2955" customWidth="1"/>
    <col min="16134" max="16134" width="9" style="2955"/>
    <col min="16135" max="16135" width="9.33203125" style="2955" bestFit="1" customWidth="1"/>
    <col min="16136" max="16137" width="9" style="2955"/>
    <col min="16138" max="16138" width="9.33203125" style="2955" bestFit="1" customWidth="1"/>
    <col min="16139" max="16139" width="4" style="2955" customWidth="1"/>
    <col min="16140" max="16140" width="5.109375" style="2955" customWidth="1"/>
    <col min="16141" max="16141" width="13.77734375" style="2955" customWidth="1"/>
    <col min="16142" max="16384" width="9" style="2955"/>
  </cols>
  <sheetData>
    <row r="1" spans="1:257" s="3015" customFormat="1" ht="15" thickBot="1">
      <c r="A1" s="3014"/>
      <c r="B1" s="3016" t="s">
        <v>2792</v>
      </c>
      <c r="C1" s="3020">
        <f>项目基本情况!D3</f>
        <v>43924</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6"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399999999999999">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2">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31.2">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6.8">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124" sqref="O124"/>
    </sheetView>
  </sheetViews>
  <sheetFormatPr defaultRowHeight="14.4"/>
  <sheetData/>
  <phoneticPr fontId="23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227"/>
  <sheetViews>
    <sheetView topLeftCell="A7" workbookViewId="0">
      <selection activeCell="I227" sqref="I227"/>
    </sheetView>
  </sheetViews>
  <sheetFormatPr defaultRowHeight="14.4"/>
  <cols>
    <col min="1" max="1" width="32.6640625" customWidth="1"/>
    <col min="3" max="3" width="12.33203125" customWidth="1"/>
    <col min="4" max="4" width="13.21875" customWidth="1"/>
    <col min="5" max="5" width="11.6640625" customWidth="1"/>
    <col min="6" max="6" width="15.77734375" customWidth="1"/>
    <col min="8" max="8" width="10.44140625" customWidth="1"/>
    <col min="11" max="11" width="18.21875" customWidth="1"/>
  </cols>
  <sheetData>
    <row r="39" spans="1:13" ht="15" thickBot="1">
      <c r="A39" s="3573" t="s">
        <v>3219</v>
      </c>
      <c r="B39" s="3573" t="s">
        <v>3220</v>
      </c>
      <c r="C39" s="3573" t="s">
        <v>3221</v>
      </c>
      <c r="D39" s="3573" t="s">
        <v>3222</v>
      </c>
      <c r="E39" s="3573" t="s">
        <v>3223</v>
      </c>
      <c r="F39" s="3573" t="s">
        <v>2033</v>
      </c>
      <c r="G39" s="3573" t="s">
        <v>3224</v>
      </c>
      <c r="H39" s="3574" t="s">
        <v>3225</v>
      </c>
      <c r="I39" s="3573" t="s">
        <v>3226</v>
      </c>
      <c r="J39" s="3573" t="s">
        <v>3227</v>
      </c>
      <c r="K39" s="3573" t="s">
        <v>3228</v>
      </c>
      <c r="L39" s="3573" t="s">
        <v>3229</v>
      </c>
      <c r="M39" s="3573" t="s">
        <v>3230</v>
      </c>
    </row>
    <row r="40" spans="1:13" ht="15" thickBot="1">
      <c r="A40" s="3575" t="s">
        <v>3481</v>
      </c>
      <c r="B40" s="3576" t="s">
        <v>3232</v>
      </c>
      <c r="C40" s="3576" t="s">
        <v>3233</v>
      </c>
      <c r="D40" s="3577">
        <v>3672</v>
      </c>
      <c r="E40" s="3577">
        <v>2937.6</v>
      </c>
      <c r="F40" s="3577" t="s">
        <v>3482</v>
      </c>
      <c r="G40" s="3576" t="s">
        <v>3234</v>
      </c>
      <c r="H40" s="3578">
        <v>43832</v>
      </c>
      <c r="I40" s="3577">
        <v>540</v>
      </c>
      <c r="J40" s="3577">
        <v>540</v>
      </c>
      <c r="K40" s="3577">
        <v>1838.24</v>
      </c>
      <c r="L40" s="3577">
        <v>0</v>
      </c>
      <c r="M40" s="3575" t="s">
        <v>3483</v>
      </c>
    </row>
    <row r="41" spans="1:13" ht="15" thickBot="1">
      <c r="A41" s="3575" t="s">
        <v>3484</v>
      </c>
      <c r="B41" s="3576" t="s">
        <v>3232</v>
      </c>
      <c r="C41" s="3576" t="s">
        <v>3233</v>
      </c>
      <c r="D41" s="3577">
        <v>5791.1</v>
      </c>
      <c r="E41" s="3577">
        <v>5791.1</v>
      </c>
      <c r="F41" s="3577" t="s">
        <v>3485</v>
      </c>
      <c r="G41" s="3576" t="s">
        <v>3234</v>
      </c>
      <c r="H41" s="3578">
        <v>43817</v>
      </c>
      <c r="I41" s="3577">
        <v>1057</v>
      </c>
      <c r="J41" s="3577">
        <v>1057</v>
      </c>
      <c r="K41" s="3577">
        <v>1825.21</v>
      </c>
      <c r="L41" s="3577">
        <v>0</v>
      </c>
      <c r="M41" s="3575" t="s">
        <v>3486</v>
      </c>
    </row>
    <row r="42" spans="1:13" ht="15" thickBot="1">
      <c r="A42" s="3575" t="s">
        <v>3487</v>
      </c>
      <c r="B42" s="3576" t="s">
        <v>3232</v>
      </c>
      <c r="C42" s="3576" t="s">
        <v>3233</v>
      </c>
      <c r="D42" s="3577">
        <v>10359.1</v>
      </c>
      <c r="E42" s="3577">
        <v>10359.1</v>
      </c>
      <c r="F42" s="3577" t="s">
        <v>3485</v>
      </c>
      <c r="G42" s="3576" t="s">
        <v>3234</v>
      </c>
      <c r="H42" s="3578">
        <v>43817</v>
      </c>
      <c r="I42" s="3577">
        <v>1891</v>
      </c>
      <c r="J42" s="3577">
        <v>1891</v>
      </c>
      <c r="K42" s="3577">
        <v>1825.45</v>
      </c>
      <c r="L42" s="3577">
        <v>0</v>
      </c>
      <c r="M42" s="3575" t="s">
        <v>3488</v>
      </c>
    </row>
    <row r="43" spans="1:13" ht="15" thickBot="1">
      <c r="A43" s="3575" t="s">
        <v>3489</v>
      </c>
      <c r="B43" s="3576" t="s">
        <v>3232</v>
      </c>
      <c r="C43" s="3576" t="s">
        <v>3233</v>
      </c>
      <c r="D43" s="3577">
        <v>2399.8000000000002</v>
      </c>
      <c r="E43" s="3577">
        <v>719.94</v>
      </c>
      <c r="F43" s="3577" t="s">
        <v>3490</v>
      </c>
      <c r="G43" s="3576" t="s">
        <v>3234</v>
      </c>
      <c r="H43" s="3578">
        <v>43817</v>
      </c>
      <c r="I43" s="3577">
        <v>1800</v>
      </c>
      <c r="J43" s="3577">
        <v>1800</v>
      </c>
      <c r="K43" s="3577">
        <v>25002.080000000002</v>
      </c>
      <c r="L43" s="3577">
        <v>0</v>
      </c>
      <c r="M43" s="3575" t="s">
        <v>3491</v>
      </c>
    </row>
    <row r="44" spans="1:13" ht="15" thickBot="1">
      <c r="A44" s="3575" t="s">
        <v>3492</v>
      </c>
      <c r="B44" s="3576" t="s">
        <v>3232</v>
      </c>
      <c r="C44" s="3576" t="s">
        <v>3233</v>
      </c>
      <c r="D44" s="3577">
        <v>1559.8</v>
      </c>
      <c r="E44" s="3577">
        <v>857.89</v>
      </c>
      <c r="F44" s="3577" t="s">
        <v>3493</v>
      </c>
      <c r="G44" s="3576" t="s">
        <v>3234</v>
      </c>
      <c r="H44" s="3578">
        <v>43817</v>
      </c>
      <c r="I44" s="3577">
        <v>683</v>
      </c>
      <c r="J44" s="3577">
        <v>683</v>
      </c>
      <c r="K44" s="3577">
        <v>7961.39</v>
      </c>
      <c r="L44" s="3577">
        <v>0</v>
      </c>
      <c r="M44" s="3575" t="s">
        <v>3494</v>
      </c>
    </row>
    <row r="45" spans="1:13" ht="15" thickBot="1">
      <c r="A45" s="3575" t="s">
        <v>3495</v>
      </c>
      <c r="B45" s="3576" t="s">
        <v>3232</v>
      </c>
      <c r="C45" s="3576" t="s">
        <v>3233</v>
      </c>
      <c r="D45" s="3577">
        <v>3924.9</v>
      </c>
      <c r="E45" s="3577">
        <v>1177.47</v>
      </c>
      <c r="F45" s="3577" t="s">
        <v>3490</v>
      </c>
      <c r="G45" s="3576" t="s">
        <v>3234</v>
      </c>
      <c r="H45" s="3578">
        <v>43817</v>
      </c>
      <c r="I45" s="3577">
        <v>1422</v>
      </c>
      <c r="J45" s="3577">
        <v>1422</v>
      </c>
      <c r="K45" s="3577">
        <v>12076.73</v>
      </c>
      <c r="L45" s="3577">
        <v>0</v>
      </c>
      <c r="M45" s="3575" t="s">
        <v>3496</v>
      </c>
    </row>
    <row r="46" spans="1:13" ht="15" thickBot="1">
      <c r="A46" s="3575" t="s">
        <v>3497</v>
      </c>
      <c r="B46" s="3576" t="s">
        <v>3232</v>
      </c>
      <c r="C46" s="3576" t="s">
        <v>3233</v>
      </c>
      <c r="D46" s="3577">
        <v>9564</v>
      </c>
      <c r="E46" s="3577">
        <v>14346</v>
      </c>
      <c r="F46" s="3577" t="s">
        <v>3498</v>
      </c>
      <c r="G46" s="3576" t="s">
        <v>3234</v>
      </c>
      <c r="H46" s="3578">
        <v>43809</v>
      </c>
      <c r="I46" s="3577">
        <v>2296</v>
      </c>
      <c r="J46" s="3577">
        <v>2396</v>
      </c>
      <c r="K46" s="3577">
        <v>1670.15</v>
      </c>
      <c r="L46" s="3577">
        <v>4.3600000000000003</v>
      </c>
      <c r="M46" s="3575" t="s">
        <v>3499</v>
      </c>
    </row>
    <row r="47" spans="1:13" ht="15" thickBot="1">
      <c r="A47" s="3575" t="s">
        <v>3500</v>
      </c>
      <c r="B47" s="3576" t="s">
        <v>3232</v>
      </c>
      <c r="C47" s="3576" t="s">
        <v>3233</v>
      </c>
      <c r="D47" s="3577">
        <v>46222.2</v>
      </c>
      <c r="E47" s="3577">
        <v>115555.5</v>
      </c>
      <c r="F47" s="3577" t="s">
        <v>3501</v>
      </c>
      <c r="G47" s="3576" t="s">
        <v>3234</v>
      </c>
      <c r="H47" s="3578">
        <v>43748</v>
      </c>
      <c r="I47" s="3577">
        <v>15998</v>
      </c>
      <c r="J47" s="3577">
        <v>15998</v>
      </c>
      <c r="K47" s="3577">
        <v>1384.44</v>
      </c>
      <c r="L47" s="3577">
        <v>0</v>
      </c>
      <c r="M47" s="3575" t="s">
        <v>3502</v>
      </c>
    </row>
    <row r="48" spans="1:13" ht="15" thickBot="1">
      <c r="A48" s="3575" t="s">
        <v>3500</v>
      </c>
      <c r="B48" s="3576" t="s">
        <v>3232</v>
      </c>
      <c r="C48" s="3576" t="s">
        <v>3233</v>
      </c>
      <c r="D48" s="3577">
        <v>9543.7999999999993</v>
      </c>
      <c r="E48" s="3577">
        <v>23859.5</v>
      </c>
      <c r="F48" s="3577" t="s">
        <v>3501</v>
      </c>
      <c r="G48" s="3576" t="s">
        <v>3234</v>
      </c>
      <c r="H48" s="3578">
        <v>43748</v>
      </c>
      <c r="I48" s="3577">
        <v>3303</v>
      </c>
      <c r="J48" s="3577">
        <v>3303</v>
      </c>
      <c r="K48" s="3577">
        <v>1384.34</v>
      </c>
      <c r="L48" s="3577">
        <v>0</v>
      </c>
      <c r="M48" s="3575" t="s">
        <v>3502</v>
      </c>
    </row>
    <row r="49" spans="1:13" ht="15" thickBot="1">
      <c r="A49" s="3575" t="s">
        <v>3503</v>
      </c>
      <c r="B49" s="3576" t="s">
        <v>3232</v>
      </c>
      <c r="C49" s="3576" t="s">
        <v>3233</v>
      </c>
      <c r="D49" s="3577">
        <v>2462.6999999999998</v>
      </c>
      <c r="E49" s="3577">
        <v>3201.51</v>
      </c>
      <c r="F49" s="3577" t="s">
        <v>3504</v>
      </c>
      <c r="G49" s="3576" t="s">
        <v>3234</v>
      </c>
      <c r="H49" s="3578">
        <v>43748</v>
      </c>
      <c r="I49" s="3577">
        <v>636</v>
      </c>
      <c r="J49" s="3577">
        <v>636</v>
      </c>
      <c r="K49" s="3577">
        <v>1986.55</v>
      </c>
      <c r="L49" s="3577">
        <v>0</v>
      </c>
      <c r="M49" s="3575" t="s">
        <v>3505</v>
      </c>
    </row>
    <row r="50" spans="1:13" ht="15" thickBot="1">
      <c r="A50" s="3575" t="s">
        <v>3506</v>
      </c>
      <c r="B50" s="3576" t="s">
        <v>3232</v>
      </c>
      <c r="C50" s="3576" t="s">
        <v>3233</v>
      </c>
      <c r="D50" s="3577">
        <v>17226</v>
      </c>
      <c r="E50" s="3577">
        <v>34452</v>
      </c>
      <c r="F50" s="3577" t="s">
        <v>3507</v>
      </c>
      <c r="G50" s="3576" t="s">
        <v>3234</v>
      </c>
      <c r="H50" s="3578">
        <v>43712</v>
      </c>
      <c r="I50" s="3577">
        <v>3489</v>
      </c>
      <c r="J50" s="3577">
        <v>3539</v>
      </c>
      <c r="K50" s="3577">
        <v>1027.23</v>
      </c>
      <c r="L50" s="3577">
        <v>1.43</v>
      </c>
      <c r="M50" s="3576" t="s">
        <v>3508</v>
      </c>
    </row>
    <row r="51" spans="1:13" ht="15" thickBot="1">
      <c r="A51" s="3575" t="s">
        <v>3509</v>
      </c>
      <c r="B51" s="3576" t="s">
        <v>3232</v>
      </c>
      <c r="C51" s="3576" t="s">
        <v>3233</v>
      </c>
      <c r="D51" s="3577">
        <v>4381</v>
      </c>
      <c r="E51" s="3577">
        <v>5257.2</v>
      </c>
      <c r="F51" s="3577" t="s">
        <v>3510</v>
      </c>
      <c r="G51" s="3576" t="s">
        <v>3234</v>
      </c>
      <c r="H51" s="3578">
        <v>43712</v>
      </c>
      <c r="I51" s="3577">
        <v>920</v>
      </c>
      <c r="J51" s="3577">
        <v>920</v>
      </c>
      <c r="K51" s="3577">
        <v>1749.98</v>
      </c>
      <c r="L51" s="3577">
        <v>0</v>
      </c>
      <c r="M51" s="3575" t="s">
        <v>3511</v>
      </c>
    </row>
    <row r="52" spans="1:13" s="3583" customFormat="1" ht="15" thickBot="1">
      <c r="A52" s="3579" t="s">
        <v>3512</v>
      </c>
      <c r="B52" s="3580" t="s">
        <v>3232</v>
      </c>
      <c r="C52" s="3580" t="s">
        <v>3233</v>
      </c>
      <c r="D52" s="3581">
        <v>8114.3</v>
      </c>
      <c r="E52" s="3581">
        <v>6491.44</v>
      </c>
      <c r="F52" s="3581">
        <v>1</v>
      </c>
      <c r="G52" s="3580" t="s">
        <v>3234</v>
      </c>
      <c r="H52" s="3582">
        <v>43712</v>
      </c>
      <c r="I52" s="3581">
        <v>1838</v>
      </c>
      <c r="J52" s="3581">
        <v>1838</v>
      </c>
      <c r="K52" s="3581">
        <v>2831.42</v>
      </c>
      <c r="L52" s="3581">
        <v>0</v>
      </c>
      <c r="M52" s="3579" t="s">
        <v>3513</v>
      </c>
    </row>
    <row r="53" spans="1:13" ht="15" thickBot="1">
      <c r="A53" s="3575" t="s">
        <v>3514</v>
      </c>
      <c r="B53" s="3576" t="s">
        <v>3232</v>
      </c>
      <c r="C53" s="3576" t="s">
        <v>3233</v>
      </c>
      <c r="D53" s="3577">
        <v>15161</v>
      </c>
      <c r="E53" s="3577">
        <v>56095.7</v>
      </c>
      <c r="F53" s="3577" t="s">
        <v>3515</v>
      </c>
      <c r="G53" s="3576" t="s">
        <v>3234</v>
      </c>
      <c r="H53" s="3578">
        <v>43712</v>
      </c>
      <c r="I53" s="3577">
        <v>7590</v>
      </c>
      <c r="J53" s="3577">
        <v>7590</v>
      </c>
      <c r="K53" s="3577">
        <v>1353.03</v>
      </c>
      <c r="L53" s="3577">
        <v>0</v>
      </c>
      <c r="M53" s="3575" t="s">
        <v>3516</v>
      </c>
    </row>
    <row r="54" spans="1:13" s="3583" customFormat="1" ht="15" thickBot="1">
      <c r="A54" s="3579" t="s">
        <v>3517</v>
      </c>
      <c r="B54" s="3580" t="s">
        <v>3232</v>
      </c>
      <c r="C54" s="3580" t="s">
        <v>3233</v>
      </c>
      <c r="D54" s="3581">
        <v>15108.1</v>
      </c>
      <c r="E54" s="3581">
        <v>12086.48</v>
      </c>
      <c r="F54" s="3581">
        <v>1</v>
      </c>
      <c r="G54" s="3580" t="s">
        <v>3234</v>
      </c>
      <c r="H54" s="3582">
        <v>43712</v>
      </c>
      <c r="I54" s="3581">
        <v>3408</v>
      </c>
      <c r="J54" s="3581">
        <v>3408</v>
      </c>
      <c r="K54" s="3581">
        <v>2819.67</v>
      </c>
      <c r="L54" s="3581">
        <v>0</v>
      </c>
      <c r="M54" s="3579" t="s">
        <v>3518</v>
      </c>
    </row>
    <row r="55" spans="1:13" ht="15" thickBot="1">
      <c r="A55" s="3575" t="s">
        <v>3514</v>
      </c>
      <c r="B55" s="3576" t="s">
        <v>3232</v>
      </c>
      <c r="C55" s="3576" t="s">
        <v>3233</v>
      </c>
      <c r="D55" s="3577">
        <v>13506.4</v>
      </c>
      <c r="E55" s="3577">
        <v>47272.4</v>
      </c>
      <c r="F55" s="3577" t="s">
        <v>3519</v>
      </c>
      <c r="G55" s="3576" t="s">
        <v>3234</v>
      </c>
      <c r="H55" s="3578">
        <v>43712</v>
      </c>
      <c r="I55" s="3577">
        <v>6390</v>
      </c>
      <c r="J55" s="3577">
        <v>6390</v>
      </c>
      <c r="K55" s="3577">
        <v>1351.74</v>
      </c>
      <c r="L55" s="3577">
        <v>0</v>
      </c>
      <c r="M55" s="3575" t="s">
        <v>3520</v>
      </c>
    </row>
    <row r="56" spans="1:13" ht="15" thickBot="1">
      <c r="A56" s="3575" t="s">
        <v>3521</v>
      </c>
      <c r="B56" s="3576" t="s">
        <v>3232</v>
      </c>
      <c r="C56" s="3576" t="s">
        <v>3233</v>
      </c>
      <c r="D56" s="3577">
        <v>10781</v>
      </c>
      <c r="E56" s="3577">
        <v>8624.7999999999993</v>
      </c>
      <c r="F56" s="3577" t="s">
        <v>3482</v>
      </c>
      <c r="G56" s="3576" t="s">
        <v>3234</v>
      </c>
      <c r="H56" s="3578">
        <v>43707</v>
      </c>
      <c r="I56" s="3577">
        <v>2160</v>
      </c>
      <c r="J56" s="3577">
        <v>2160</v>
      </c>
      <c r="K56" s="3577">
        <v>2504.4</v>
      </c>
      <c r="L56" s="3577">
        <v>0</v>
      </c>
      <c r="M56" s="3575" t="s">
        <v>3522</v>
      </c>
    </row>
    <row r="57" spans="1:13" ht="15" thickBot="1">
      <c r="A57" s="3575" t="s">
        <v>3523</v>
      </c>
      <c r="B57" s="3576" t="s">
        <v>3232</v>
      </c>
      <c r="C57" s="3576" t="s">
        <v>3233</v>
      </c>
      <c r="D57" s="3577">
        <v>12372</v>
      </c>
      <c r="E57" s="3577">
        <v>9897.6</v>
      </c>
      <c r="F57" s="3577" t="s">
        <v>3482</v>
      </c>
      <c r="G57" s="3576" t="s">
        <v>3234</v>
      </c>
      <c r="H57" s="3578">
        <v>43686</v>
      </c>
      <c r="I57" s="3577">
        <v>2650</v>
      </c>
      <c r="J57" s="3577">
        <v>2650</v>
      </c>
      <c r="K57" s="3577">
        <v>2677.42</v>
      </c>
      <c r="L57" s="3577">
        <v>0</v>
      </c>
      <c r="M57" s="3575" t="s">
        <v>3524</v>
      </c>
    </row>
    <row r="58" spans="1:13" ht="15" thickBot="1">
      <c r="A58" s="3575" t="s">
        <v>3525</v>
      </c>
      <c r="B58" s="3576" t="s">
        <v>3232</v>
      </c>
      <c r="C58" s="3576" t="s">
        <v>3233</v>
      </c>
      <c r="D58" s="3577">
        <v>36273</v>
      </c>
      <c r="E58" s="3577">
        <v>29018.400000000001</v>
      </c>
      <c r="F58" s="3577" t="s">
        <v>3482</v>
      </c>
      <c r="G58" s="3576" t="s">
        <v>3234</v>
      </c>
      <c r="H58" s="3578">
        <v>43686</v>
      </c>
      <c r="I58" s="3577">
        <v>7560</v>
      </c>
      <c r="J58" s="3577">
        <v>7560</v>
      </c>
      <c r="K58" s="3577">
        <v>2605.23</v>
      </c>
      <c r="L58" s="3577">
        <v>0</v>
      </c>
      <c r="M58" s="3575" t="s">
        <v>3524</v>
      </c>
    </row>
    <row r="59" spans="1:13" ht="15" thickBot="1">
      <c r="A59" s="3575" t="s">
        <v>3526</v>
      </c>
      <c r="B59" s="3576" t="s">
        <v>3232</v>
      </c>
      <c r="C59" s="3576" t="s">
        <v>3233</v>
      </c>
      <c r="D59" s="3577">
        <v>2451</v>
      </c>
      <c r="E59" s="3577">
        <v>980.4</v>
      </c>
      <c r="F59" s="3577" t="s">
        <v>3482</v>
      </c>
      <c r="G59" s="3576" t="s">
        <v>3234</v>
      </c>
      <c r="H59" s="3578">
        <v>43679</v>
      </c>
      <c r="I59" s="3577">
        <v>1063</v>
      </c>
      <c r="J59" s="3577">
        <v>1063</v>
      </c>
      <c r="K59" s="3577">
        <v>10842.51</v>
      </c>
      <c r="L59" s="3577">
        <v>0</v>
      </c>
      <c r="M59" s="3575" t="s">
        <v>3527</v>
      </c>
    </row>
    <row r="60" spans="1:13" ht="15" thickBot="1">
      <c r="A60" s="3575" t="s">
        <v>3528</v>
      </c>
      <c r="B60" s="3576" t="s">
        <v>3232</v>
      </c>
      <c r="C60" s="3576" t="s">
        <v>3233</v>
      </c>
      <c r="D60" s="3577">
        <v>55651.8</v>
      </c>
      <c r="E60" s="3577">
        <v>155268.51999999999</v>
      </c>
      <c r="F60" s="3577" t="s">
        <v>3529</v>
      </c>
      <c r="G60" s="3576" t="s">
        <v>3234</v>
      </c>
      <c r="H60" s="3578">
        <v>43663</v>
      </c>
      <c r="I60" s="3577">
        <v>16729</v>
      </c>
      <c r="J60" s="3577">
        <v>16729</v>
      </c>
      <c r="K60" s="3577">
        <v>1077.42</v>
      </c>
      <c r="L60" s="3577">
        <v>0</v>
      </c>
      <c r="M60" s="3575" t="s">
        <v>3530</v>
      </c>
    </row>
    <row r="61" spans="1:13" s="3583" customFormat="1" ht="15" thickBot="1">
      <c r="A61" s="3579" t="s">
        <v>3531</v>
      </c>
      <c r="B61" s="3580" t="s">
        <v>3232</v>
      </c>
      <c r="C61" s="3580" t="s">
        <v>3233</v>
      </c>
      <c r="D61" s="3581">
        <v>20470.900000000001</v>
      </c>
      <c r="E61" s="3581">
        <v>110542.9</v>
      </c>
      <c r="F61" s="3581">
        <v>5.5</v>
      </c>
      <c r="G61" s="3580" t="s">
        <v>3234</v>
      </c>
      <c r="H61" s="3582">
        <v>43663</v>
      </c>
      <c r="I61" s="3581">
        <v>35000</v>
      </c>
      <c r="J61" s="3581">
        <v>35000</v>
      </c>
      <c r="K61" s="3581">
        <v>3166.19</v>
      </c>
      <c r="L61" s="3581">
        <v>0</v>
      </c>
      <c r="M61" s="3579" t="s">
        <v>3532</v>
      </c>
    </row>
    <row r="62" spans="1:13" ht="15" thickBot="1">
      <c r="A62" s="3575" t="s">
        <v>3533</v>
      </c>
      <c r="B62" s="3576" t="s">
        <v>3232</v>
      </c>
      <c r="C62" s="3576" t="s">
        <v>3233</v>
      </c>
      <c r="D62" s="3577">
        <v>35132.5</v>
      </c>
      <c r="E62" s="3577">
        <v>42159</v>
      </c>
      <c r="F62" s="3577" t="s">
        <v>3534</v>
      </c>
      <c r="G62" s="3576" t="s">
        <v>3234</v>
      </c>
      <c r="H62" s="3578">
        <v>43615</v>
      </c>
      <c r="I62" s="3577">
        <v>28300</v>
      </c>
      <c r="J62" s="3577">
        <v>28300</v>
      </c>
      <c r="K62" s="3577">
        <v>6712.68</v>
      </c>
      <c r="L62" s="3577">
        <v>0</v>
      </c>
      <c r="M62" s="3575" t="s">
        <v>3535</v>
      </c>
    </row>
    <row r="63" spans="1:13" ht="15" thickBot="1">
      <c r="A63" s="3575" t="s">
        <v>3536</v>
      </c>
      <c r="B63" s="3576" t="s">
        <v>3232</v>
      </c>
      <c r="C63" s="3576" t="s">
        <v>3233</v>
      </c>
      <c r="D63" s="3577">
        <v>12331</v>
      </c>
      <c r="E63" s="3577">
        <v>14797.2</v>
      </c>
      <c r="F63" s="3577" t="s">
        <v>3534</v>
      </c>
      <c r="G63" s="3576" t="s">
        <v>3234</v>
      </c>
      <c r="H63" s="3578">
        <v>43595</v>
      </c>
      <c r="I63" s="3577">
        <v>4070</v>
      </c>
      <c r="J63" s="3577">
        <v>4070</v>
      </c>
      <c r="K63" s="3577">
        <v>2750.51</v>
      </c>
      <c r="L63" s="3577">
        <v>0</v>
      </c>
      <c r="M63" s="3576" t="s">
        <v>3537</v>
      </c>
    </row>
    <row r="64" spans="1:13" ht="15" thickBot="1">
      <c r="A64" s="3575" t="s">
        <v>3538</v>
      </c>
      <c r="B64" s="3576" t="s">
        <v>3232</v>
      </c>
      <c r="C64" s="3576" t="s">
        <v>3233</v>
      </c>
      <c r="D64" s="3577">
        <v>50275</v>
      </c>
      <c r="E64" s="3577">
        <v>60330</v>
      </c>
      <c r="F64" s="3577" t="s">
        <v>3510</v>
      </c>
      <c r="G64" s="3576" t="s">
        <v>3234</v>
      </c>
      <c r="H64" s="3578">
        <v>43594</v>
      </c>
      <c r="I64" s="3577">
        <v>9100</v>
      </c>
      <c r="J64" s="3577">
        <v>9100</v>
      </c>
      <c r="K64" s="3577">
        <v>1508.36</v>
      </c>
      <c r="L64" s="3577">
        <v>0</v>
      </c>
      <c r="M64" s="3575" t="s">
        <v>3539</v>
      </c>
    </row>
    <row r="65" spans="1:13" ht="15" thickBot="1">
      <c r="A65" s="3575" t="s">
        <v>3540</v>
      </c>
      <c r="B65" s="3576" t="s">
        <v>3232</v>
      </c>
      <c r="C65" s="3576" t="s">
        <v>3233</v>
      </c>
      <c r="D65" s="3577">
        <v>262658</v>
      </c>
      <c r="E65" s="3577">
        <v>262658</v>
      </c>
      <c r="F65" s="3577" t="s">
        <v>3541</v>
      </c>
      <c r="G65" s="3576" t="s">
        <v>3234</v>
      </c>
      <c r="H65" s="3578">
        <v>43594</v>
      </c>
      <c r="I65" s="3577">
        <v>22060</v>
      </c>
      <c r="J65" s="3577">
        <v>22060</v>
      </c>
      <c r="K65" s="3577">
        <v>839.87</v>
      </c>
      <c r="L65" s="3577">
        <v>0</v>
      </c>
      <c r="M65" s="3575" t="s">
        <v>3542</v>
      </c>
    </row>
    <row r="66" spans="1:13" ht="15" thickBot="1">
      <c r="A66" s="3575" t="s">
        <v>3543</v>
      </c>
      <c r="B66" s="3576" t="s">
        <v>3232</v>
      </c>
      <c r="C66" s="3576" t="s">
        <v>3233</v>
      </c>
      <c r="D66" s="3577">
        <v>1281.5</v>
      </c>
      <c r="E66" s="3577">
        <v>897.05</v>
      </c>
      <c r="F66" s="3577" t="s">
        <v>3544</v>
      </c>
      <c r="G66" s="3576" t="s">
        <v>3234</v>
      </c>
      <c r="H66" s="3578">
        <v>43558</v>
      </c>
      <c r="I66" s="3577">
        <v>621</v>
      </c>
      <c r="J66" s="3577">
        <v>621</v>
      </c>
      <c r="K66" s="3577">
        <v>6922.68</v>
      </c>
      <c r="L66" s="3577">
        <v>0</v>
      </c>
      <c r="M66" s="3575" t="s">
        <v>3545</v>
      </c>
    </row>
    <row r="67" spans="1:13" ht="15" thickBot="1">
      <c r="A67" s="3575" t="s">
        <v>3546</v>
      </c>
      <c r="B67" s="3576" t="s">
        <v>3232</v>
      </c>
      <c r="C67" s="3576" t="s">
        <v>3233</v>
      </c>
      <c r="D67" s="3577">
        <v>9932</v>
      </c>
      <c r="E67" s="3577">
        <v>11918.4</v>
      </c>
      <c r="F67" s="3577" t="s">
        <v>3534</v>
      </c>
      <c r="G67" s="3576" t="s">
        <v>3234</v>
      </c>
      <c r="H67" s="3578">
        <v>43532</v>
      </c>
      <c r="I67" s="3577">
        <v>404</v>
      </c>
      <c r="J67" s="3577">
        <v>404</v>
      </c>
      <c r="K67" s="3577">
        <v>338.97</v>
      </c>
      <c r="L67" s="3577">
        <v>0</v>
      </c>
      <c r="M67" s="3575" t="s">
        <v>3547</v>
      </c>
    </row>
    <row r="68" spans="1:13" ht="15" thickBot="1">
      <c r="A68" s="3575" t="s">
        <v>3548</v>
      </c>
      <c r="B68" s="3576" t="s">
        <v>3232</v>
      </c>
      <c r="C68" s="3576" t="s">
        <v>3233</v>
      </c>
      <c r="D68" s="3577">
        <v>2025</v>
      </c>
      <c r="E68" s="3577">
        <v>506.25</v>
      </c>
      <c r="F68" s="3577" t="s">
        <v>3549</v>
      </c>
      <c r="G68" s="3576" t="s">
        <v>3234</v>
      </c>
      <c r="H68" s="3578">
        <v>43532</v>
      </c>
      <c r="I68" s="3577">
        <v>904</v>
      </c>
      <c r="J68" s="3577">
        <v>904</v>
      </c>
      <c r="K68" s="3577">
        <v>17856.79</v>
      </c>
      <c r="L68" s="3577">
        <v>0</v>
      </c>
      <c r="M68" s="3575" t="s">
        <v>3550</v>
      </c>
    </row>
    <row r="69" spans="1:13" ht="15" thickBot="1">
      <c r="A69" s="3575" t="s">
        <v>3551</v>
      </c>
      <c r="B69" s="3576" t="s">
        <v>3232</v>
      </c>
      <c r="C69" s="3576" t="s">
        <v>3233</v>
      </c>
      <c r="D69" s="3577">
        <v>34078</v>
      </c>
      <c r="E69" s="3577">
        <v>54524.800000000003</v>
      </c>
      <c r="F69" s="3577" t="s">
        <v>3552</v>
      </c>
      <c r="G69" s="3576" t="s">
        <v>3234</v>
      </c>
      <c r="H69" s="3578">
        <v>43531</v>
      </c>
      <c r="I69" s="3577">
        <v>4500</v>
      </c>
      <c r="J69" s="3577">
        <v>4500</v>
      </c>
      <c r="K69" s="3577">
        <v>825.3</v>
      </c>
      <c r="L69" s="3577">
        <v>0</v>
      </c>
      <c r="M69" s="3575" t="s">
        <v>3553</v>
      </c>
    </row>
    <row r="70" spans="1:13" ht="15" thickBot="1">
      <c r="A70" s="3575" t="s">
        <v>3554</v>
      </c>
      <c r="B70" s="3576" t="s">
        <v>3232</v>
      </c>
      <c r="C70" s="3576" t="s">
        <v>3233</v>
      </c>
      <c r="D70" s="3577">
        <v>15942</v>
      </c>
      <c r="E70" s="3577">
        <v>9565.2000000000007</v>
      </c>
      <c r="F70" s="3577" t="s">
        <v>3555</v>
      </c>
      <c r="G70" s="3576" t="s">
        <v>3234</v>
      </c>
      <c r="H70" s="3578">
        <v>43525</v>
      </c>
      <c r="I70" s="3577">
        <v>2032</v>
      </c>
      <c r="J70" s="3577">
        <v>2032</v>
      </c>
      <c r="K70" s="3577">
        <v>2124.36</v>
      </c>
      <c r="L70" s="3577">
        <v>0</v>
      </c>
      <c r="M70" s="3575" t="s">
        <v>3556</v>
      </c>
    </row>
    <row r="71" spans="1:13" ht="15" thickBot="1">
      <c r="A71" s="3575" t="s">
        <v>3557</v>
      </c>
      <c r="B71" s="3576" t="s">
        <v>3232</v>
      </c>
      <c r="C71" s="3576" t="s">
        <v>3233</v>
      </c>
      <c r="D71" s="3577">
        <v>3988</v>
      </c>
      <c r="E71" s="3577">
        <v>5982</v>
      </c>
      <c r="F71" s="3577" t="s">
        <v>3558</v>
      </c>
      <c r="G71" s="3576" t="s">
        <v>3234</v>
      </c>
      <c r="H71" s="3578">
        <v>43498</v>
      </c>
      <c r="I71" s="3577">
        <v>778</v>
      </c>
      <c r="J71" s="3577">
        <v>778</v>
      </c>
      <c r="K71" s="3577">
        <v>1300.56</v>
      </c>
      <c r="L71" s="3577">
        <v>0</v>
      </c>
      <c r="M71" s="3575" t="s">
        <v>3559</v>
      </c>
    </row>
    <row r="72" spans="1:13" ht="15" thickBot="1">
      <c r="A72" s="3575" t="s">
        <v>3560</v>
      </c>
      <c r="B72" s="3576" t="s">
        <v>3232</v>
      </c>
      <c r="C72" s="3576" t="s">
        <v>3233</v>
      </c>
      <c r="D72" s="3577">
        <v>47741.4</v>
      </c>
      <c r="E72" s="3577">
        <v>109805.2</v>
      </c>
      <c r="F72" s="3577" t="s">
        <v>3561</v>
      </c>
      <c r="G72" s="3576" t="s">
        <v>3234</v>
      </c>
      <c r="H72" s="3578">
        <v>43494</v>
      </c>
      <c r="I72" s="3577">
        <v>22925</v>
      </c>
      <c r="J72" s="3577">
        <v>22925</v>
      </c>
      <c r="K72" s="3577">
        <v>2087.7800000000002</v>
      </c>
      <c r="L72" s="3577">
        <v>0</v>
      </c>
      <c r="M72" s="3575" t="s">
        <v>3562</v>
      </c>
    </row>
    <row r="73" spans="1:13" ht="15" thickBot="1">
      <c r="A73" s="3575" t="s">
        <v>3563</v>
      </c>
      <c r="B73" s="3576" t="s">
        <v>3232</v>
      </c>
      <c r="C73" s="3576" t="s">
        <v>3233</v>
      </c>
      <c r="D73" s="3577">
        <v>7110</v>
      </c>
      <c r="E73" s="3577">
        <v>31995</v>
      </c>
      <c r="F73" s="3577" t="s">
        <v>3564</v>
      </c>
      <c r="G73" s="3576" t="s">
        <v>3234</v>
      </c>
      <c r="H73" s="3578">
        <v>43494</v>
      </c>
      <c r="I73" s="3577">
        <v>1525</v>
      </c>
      <c r="J73" s="3577">
        <v>1525</v>
      </c>
      <c r="K73" s="3577">
        <v>476.63</v>
      </c>
      <c r="L73" s="3577">
        <v>0</v>
      </c>
      <c r="M73" s="3575" t="s">
        <v>3565</v>
      </c>
    </row>
    <row r="74" spans="1:13" ht="15" thickBot="1">
      <c r="A74" s="3575" t="s">
        <v>3566</v>
      </c>
      <c r="B74" s="3576" t="s">
        <v>3232</v>
      </c>
      <c r="C74" s="3576" t="s">
        <v>3233</v>
      </c>
      <c r="D74" s="3577">
        <v>4569</v>
      </c>
      <c r="E74" s="3577">
        <v>5482.8</v>
      </c>
      <c r="F74" s="3577" t="s">
        <v>3534</v>
      </c>
      <c r="G74" s="3576" t="s">
        <v>3234</v>
      </c>
      <c r="H74" s="3578">
        <v>43494</v>
      </c>
      <c r="I74" s="3577">
        <v>959</v>
      </c>
      <c r="J74" s="3577">
        <v>959</v>
      </c>
      <c r="K74" s="3577">
        <v>1749.1</v>
      </c>
      <c r="L74" s="3577">
        <v>0</v>
      </c>
      <c r="M74" s="3575" t="s">
        <v>3567</v>
      </c>
    </row>
    <row r="75" spans="1:13" ht="15" thickBot="1">
      <c r="A75" s="3575" t="s">
        <v>3568</v>
      </c>
      <c r="B75" s="3576" t="s">
        <v>3232</v>
      </c>
      <c r="C75" s="3576" t="s">
        <v>3233</v>
      </c>
      <c r="D75" s="3577">
        <v>9352</v>
      </c>
      <c r="E75" s="3577">
        <v>11222.4</v>
      </c>
      <c r="F75" s="3577" t="s">
        <v>3534</v>
      </c>
      <c r="G75" s="3576" t="s">
        <v>3234</v>
      </c>
      <c r="H75" s="3578">
        <v>43494</v>
      </c>
      <c r="I75" s="3577">
        <v>1964</v>
      </c>
      <c r="J75" s="3577">
        <v>1964</v>
      </c>
      <c r="K75" s="3577">
        <v>1750.06</v>
      </c>
      <c r="L75" s="3577">
        <v>0</v>
      </c>
      <c r="M75" s="3575" t="s">
        <v>3569</v>
      </c>
    </row>
    <row r="76" spans="1:13" ht="15" thickBot="1">
      <c r="A76" s="3575" t="s">
        <v>3570</v>
      </c>
      <c r="B76" s="3576" t="s">
        <v>3232</v>
      </c>
      <c r="C76" s="3576" t="s">
        <v>3233</v>
      </c>
      <c r="D76" s="3577">
        <v>2079</v>
      </c>
      <c r="E76" s="3577">
        <v>1663.2</v>
      </c>
      <c r="F76" s="3577" t="s">
        <v>3571</v>
      </c>
      <c r="G76" s="3576" t="s">
        <v>3234</v>
      </c>
      <c r="H76" s="3578">
        <v>43488</v>
      </c>
      <c r="I76" s="3577">
        <v>394</v>
      </c>
      <c r="J76" s="3577">
        <v>394</v>
      </c>
      <c r="K76" s="3577">
        <v>2368.92</v>
      </c>
      <c r="L76" s="3577">
        <v>0</v>
      </c>
      <c r="M76" s="3575" t="s">
        <v>3572</v>
      </c>
    </row>
    <row r="77" spans="1:13" ht="15" thickBot="1">
      <c r="A77" s="3575" t="s">
        <v>3573</v>
      </c>
      <c r="B77" s="3576" t="s">
        <v>3232</v>
      </c>
      <c r="C77" s="3576" t="s">
        <v>3233</v>
      </c>
      <c r="D77" s="3577">
        <v>6213</v>
      </c>
      <c r="E77" s="3577">
        <v>14289.9</v>
      </c>
      <c r="F77" s="3577" t="s">
        <v>3561</v>
      </c>
      <c r="G77" s="3576" t="s">
        <v>3234</v>
      </c>
      <c r="H77" s="3578">
        <v>43483</v>
      </c>
      <c r="I77" s="3577">
        <v>3094</v>
      </c>
      <c r="J77" s="3577">
        <v>3094</v>
      </c>
      <c r="K77" s="3577">
        <v>2165.17</v>
      </c>
      <c r="L77" s="3577">
        <v>0</v>
      </c>
      <c r="M77" s="3575" t="s">
        <v>3574</v>
      </c>
    </row>
    <row r="78" spans="1:13" ht="15" thickBot="1">
      <c r="A78" s="3575" t="s">
        <v>3575</v>
      </c>
      <c r="B78" s="3576" t="s">
        <v>3232</v>
      </c>
      <c r="C78" s="3576" t="s">
        <v>3233</v>
      </c>
      <c r="D78" s="3577">
        <v>10630</v>
      </c>
      <c r="E78" s="3577">
        <v>31890</v>
      </c>
      <c r="F78" s="3577" t="s">
        <v>3576</v>
      </c>
      <c r="G78" s="3576" t="s">
        <v>3234</v>
      </c>
      <c r="H78" s="3578">
        <v>43452</v>
      </c>
      <c r="I78" s="3577">
        <v>1560</v>
      </c>
      <c r="J78" s="3577">
        <v>1560</v>
      </c>
      <c r="K78" s="3577">
        <v>489.18</v>
      </c>
      <c r="L78" s="3577">
        <v>0</v>
      </c>
      <c r="M78" s="3575" t="s">
        <v>3577</v>
      </c>
    </row>
    <row r="79" spans="1:13" ht="15" thickBot="1">
      <c r="A79" s="3575" t="s">
        <v>3578</v>
      </c>
      <c r="B79" s="3576" t="s">
        <v>3232</v>
      </c>
      <c r="C79" s="3576" t="s">
        <v>3233</v>
      </c>
      <c r="D79" s="3577">
        <v>36292</v>
      </c>
      <c r="E79" s="3577">
        <v>101617.60000000001</v>
      </c>
      <c r="F79" s="3577" t="s">
        <v>3579</v>
      </c>
      <c r="G79" s="3576" t="s">
        <v>3234</v>
      </c>
      <c r="H79" s="3578">
        <v>43448</v>
      </c>
      <c r="I79" s="3577">
        <v>16006</v>
      </c>
      <c r="J79" s="3577">
        <v>16006</v>
      </c>
      <c r="K79" s="3577">
        <v>1575.11</v>
      </c>
      <c r="L79" s="3577">
        <v>0</v>
      </c>
      <c r="M79" s="3575" t="s">
        <v>3580</v>
      </c>
    </row>
    <row r="80" spans="1:13" ht="15" thickBot="1">
      <c r="A80" s="3575" t="s">
        <v>3581</v>
      </c>
      <c r="B80" s="3576" t="s">
        <v>3232</v>
      </c>
      <c r="C80" s="3576" t="s">
        <v>3233</v>
      </c>
      <c r="D80" s="3577">
        <v>43018</v>
      </c>
      <c r="E80" s="3577">
        <v>81734.2</v>
      </c>
      <c r="F80" s="3577" t="s">
        <v>3582</v>
      </c>
      <c r="G80" s="3576" t="s">
        <v>3234</v>
      </c>
      <c r="H80" s="3578">
        <v>43448</v>
      </c>
      <c r="I80" s="3577">
        <v>15552</v>
      </c>
      <c r="J80" s="3577">
        <v>15552</v>
      </c>
      <c r="K80" s="3577">
        <v>1902.75</v>
      </c>
      <c r="L80" s="3577">
        <v>0</v>
      </c>
      <c r="M80" s="3575" t="s">
        <v>3580</v>
      </c>
    </row>
    <row r="81" spans="1:13" ht="15" thickBot="1">
      <c r="A81" s="3575" t="s">
        <v>3583</v>
      </c>
      <c r="B81" s="3576" t="s">
        <v>3232</v>
      </c>
      <c r="C81" s="3576" t="s">
        <v>3233</v>
      </c>
      <c r="D81" s="3577">
        <v>13822</v>
      </c>
      <c r="E81" s="3577">
        <v>16586.400000000001</v>
      </c>
      <c r="F81" s="3577" t="s">
        <v>3584</v>
      </c>
      <c r="G81" s="3576" t="s">
        <v>3234</v>
      </c>
      <c r="H81" s="3578">
        <v>43448</v>
      </c>
      <c r="I81" s="3577">
        <v>12799</v>
      </c>
      <c r="J81" s="3577">
        <v>12799</v>
      </c>
      <c r="K81" s="3577">
        <v>7716.56</v>
      </c>
      <c r="L81" s="3577">
        <v>0</v>
      </c>
      <c r="M81" s="3575" t="s">
        <v>3585</v>
      </c>
    </row>
    <row r="82" spans="1:13" ht="15" thickBot="1">
      <c r="A82" s="3575" t="s">
        <v>3583</v>
      </c>
      <c r="B82" s="3576" t="s">
        <v>3232</v>
      </c>
      <c r="C82" s="3576" t="s">
        <v>3233</v>
      </c>
      <c r="D82" s="3577">
        <v>33787</v>
      </c>
      <c r="E82" s="3577">
        <v>40544.400000000001</v>
      </c>
      <c r="F82" s="3577" t="s">
        <v>3584</v>
      </c>
      <c r="G82" s="3576" t="s">
        <v>3234</v>
      </c>
      <c r="H82" s="3578">
        <v>43448</v>
      </c>
      <c r="I82" s="3577">
        <v>31290</v>
      </c>
      <c r="J82" s="3577">
        <v>31290</v>
      </c>
      <c r="K82" s="3577">
        <v>7717.47</v>
      </c>
      <c r="L82" s="3577">
        <v>0</v>
      </c>
      <c r="M82" s="3575" t="s">
        <v>3585</v>
      </c>
    </row>
    <row r="83" spans="1:13" ht="15" thickBot="1">
      <c r="A83" s="3575" t="s">
        <v>3586</v>
      </c>
      <c r="B83" s="3576" t="s">
        <v>3232</v>
      </c>
      <c r="C83" s="3576" t="s">
        <v>3233</v>
      </c>
      <c r="D83" s="3577">
        <v>8246</v>
      </c>
      <c r="E83" s="3577">
        <v>20615</v>
      </c>
      <c r="F83" s="3577" t="s">
        <v>3501</v>
      </c>
      <c r="G83" s="3576" t="s">
        <v>3234</v>
      </c>
      <c r="H83" s="3578">
        <v>43418</v>
      </c>
      <c r="I83" s="3577">
        <v>770</v>
      </c>
      <c r="J83" s="3577">
        <v>770</v>
      </c>
      <c r="K83" s="3577">
        <v>373.5</v>
      </c>
      <c r="L83" s="3577">
        <v>0</v>
      </c>
      <c r="M83" s="3575" t="s">
        <v>3587</v>
      </c>
    </row>
    <row r="84" spans="1:13" ht="15" thickBot="1">
      <c r="A84" s="3575" t="s">
        <v>3588</v>
      </c>
      <c r="B84" s="3576" t="s">
        <v>3232</v>
      </c>
      <c r="C84" s="3576" t="s">
        <v>3233</v>
      </c>
      <c r="D84" s="3577">
        <v>5493</v>
      </c>
      <c r="E84" s="3577">
        <v>2746.5</v>
      </c>
      <c r="F84" s="3577" t="s">
        <v>3589</v>
      </c>
      <c r="G84" s="3576" t="s">
        <v>3234</v>
      </c>
      <c r="H84" s="3578">
        <v>43417</v>
      </c>
      <c r="I84" s="3577">
        <v>4944</v>
      </c>
      <c r="J84" s="3577">
        <v>6744</v>
      </c>
      <c r="K84" s="3577">
        <v>24554.880000000001</v>
      </c>
      <c r="L84" s="3577">
        <v>36.409999999999997</v>
      </c>
      <c r="M84" s="3575" t="s">
        <v>3590</v>
      </c>
    </row>
    <row r="85" spans="1:13" ht="15" thickBot="1">
      <c r="A85" s="3575" t="s">
        <v>3591</v>
      </c>
      <c r="B85" s="3576" t="s">
        <v>3232</v>
      </c>
      <c r="C85" s="3576" t="s">
        <v>3233</v>
      </c>
      <c r="D85" s="3577">
        <v>23113</v>
      </c>
      <c r="E85" s="3577">
        <v>36980.800000000003</v>
      </c>
      <c r="F85" s="3577" t="s">
        <v>3552</v>
      </c>
      <c r="G85" s="3576" t="s">
        <v>3234</v>
      </c>
      <c r="H85" s="3578">
        <v>43406</v>
      </c>
      <c r="I85" s="3577">
        <v>2960</v>
      </c>
      <c r="J85" s="3577">
        <v>2960</v>
      </c>
      <c r="K85" s="3577">
        <v>800.41</v>
      </c>
      <c r="L85" s="3577">
        <v>0</v>
      </c>
      <c r="M85" s="3575" t="s">
        <v>3592</v>
      </c>
    </row>
    <row r="86" spans="1:13" ht="15" thickBot="1">
      <c r="A86" s="3575" t="s">
        <v>3593</v>
      </c>
      <c r="B86" s="3576" t="s">
        <v>3232</v>
      </c>
      <c r="C86" s="3576" t="s">
        <v>3233</v>
      </c>
      <c r="D86" s="3577">
        <v>99806.5</v>
      </c>
      <c r="E86" s="3577">
        <v>149709.79999999999</v>
      </c>
      <c r="F86" s="3577" t="s">
        <v>3558</v>
      </c>
      <c r="G86" s="3576" t="s">
        <v>3234</v>
      </c>
      <c r="H86" s="3578">
        <v>43382</v>
      </c>
      <c r="I86" s="3577">
        <v>21500</v>
      </c>
      <c r="J86" s="3577">
        <v>21500</v>
      </c>
      <c r="K86" s="3577">
        <v>1436.1</v>
      </c>
      <c r="L86" s="3577">
        <v>0</v>
      </c>
      <c r="M86" s="3575" t="s">
        <v>3594</v>
      </c>
    </row>
    <row r="87" spans="1:13" ht="15" thickBot="1">
      <c r="A87" s="3575" t="s">
        <v>3595</v>
      </c>
      <c r="B87" s="3576" t="s">
        <v>3232</v>
      </c>
      <c r="C87" s="3576" t="s">
        <v>3233</v>
      </c>
      <c r="D87" s="3577">
        <v>1664</v>
      </c>
      <c r="E87" s="3577">
        <v>748.8</v>
      </c>
      <c r="F87" s="3577" t="s">
        <v>3596</v>
      </c>
      <c r="G87" s="3576" t="s">
        <v>3234</v>
      </c>
      <c r="H87" s="3578">
        <v>43371</v>
      </c>
      <c r="I87" s="3577">
        <v>611</v>
      </c>
      <c r="J87" s="3577">
        <v>4091</v>
      </c>
      <c r="K87" s="3577">
        <v>54634.080000000002</v>
      </c>
      <c r="L87" s="3577">
        <v>569.55999999999995</v>
      </c>
      <c r="M87" s="3575" t="s">
        <v>3545</v>
      </c>
    </row>
    <row r="88" spans="1:13" ht="15" thickBot="1">
      <c r="A88" s="3575" t="s">
        <v>3597</v>
      </c>
      <c r="B88" s="3576" t="s">
        <v>3232</v>
      </c>
      <c r="C88" s="3576" t="s">
        <v>3233</v>
      </c>
      <c r="D88" s="3577">
        <v>3561</v>
      </c>
      <c r="E88" s="3577">
        <v>3596.61</v>
      </c>
      <c r="F88" s="3577">
        <v>1.01</v>
      </c>
      <c r="G88" s="3576" t="s">
        <v>3234</v>
      </c>
      <c r="H88" s="3578">
        <v>43369</v>
      </c>
      <c r="I88" s="3577">
        <v>712</v>
      </c>
      <c r="J88" s="3577">
        <v>712</v>
      </c>
      <c r="K88" s="3577">
        <v>1979.64</v>
      </c>
      <c r="L88" s="3577">
        <v>0</v>
      </c>
      <c r="M88" s="3575" t="s">
        <v>3598</v>
      </c>
    </row>
    <row r="89" spans="1:13" ht="15" thickBot="1">
      <c r="A89" s="3575" t="s">
        <v>3599</v>
      </c>
      <c r="B89" s="3576" t="s">
        <v>3232</v>
      </c>
      <c r="C89" s="3576" t="s">
        <v>3233</v>
      </c>
      <c r="D89" s="3577">
        <v>4517</v>
      </c>
      <c r="E89" s="3577">
        <v>11292.5</v>
      </c>
      <c r="F89" s="3577" t="s">
        <v>3501</v>
      </c>
      <c r="G89" s="3576" t="s">
        <v>3234</v>
      </c>
      <c r="H89" s="3578">
        <v>43369</v>
      </c>
      <c r="I89" s="3577">
        <v>955</v>
      </c>
      <c r="J89" s="3577">
        <v>955</v>
      </c>
      <c r="K89" s="3577">
        <v>845.69</v>
      </c>
      <c r="L89" s="3577">
        <v>0</v>
      </c>
      <c r="M89" s="3575" t="s">
        <v>3598</v>
      </c>
    </row>
    <row r="227" spans="9:9">
      <c r="I227" s="3501" t="s">
        <v>3615</v>
      </c>
    </row>
  </sheetData>
  <phoneticPr fontId="233" type="noConversion"/>
  <hyperlinks>
    <hyperlink ref="A40" r:id="rId1" tooltip="宜兴市太华镇石门村凤石线北侧地块" display="https://creis.fang.com/land/Detail?sParceliD=d4cdc633-e7c3-442a-8707-8242c33e7f7d"/>
    <hyperlink ref="M40" r:id="rId2" display="https://creis.fang.com/land/Tyc/Index/?sParcelID=d4cdc633-e7c3-442a-8707-8242c33e7f7d"/>
    <hyperlink ref="A41" r:id="rId3" tooltip="滨湖区胡埭工业园洋溪河西侧" display="https://creis.fang.com/land/Detail?sParceliD=3eb39dab-0d23-4e66-a1ae-ee51e98f324e"/>
    <hyperlink ref="M41" r:id="rId4" display="https://creis.fang.com/land/Tyc/Index/?sParcelID=3eb39dab-0d23-4e66-a1ae-ee51e98f324e"/>
    <hyperlink ref="A42" r:id="rId5" tooltip="滨湖区胡埭工业园洋溪河与钱胡路交叉口西北侧" display="https://creis.fang.com/land/Detail?sParceliD=5776fdd7-92bf-4f9b-86b4-e7613b42ba79"/>
    <hyperlink ref="M42" r:id="rId6" display="https://creis.fang.com/land/Tyc/Index/?sParcelID=5776fdd7-92bf-4f9b-86b4-e7613b42ba79"/>
    <hyperlink ref="A43" r:id="rId7" tooltip="惠山区洛社镇中惠路北侧、石洲路西侧" display="https://creis.fang.com/land/Detail?sParceliD=aa44ce2c-8f17-411f-b5e8-0e2a26be6085"/>
    <hyperlink ref="M43" r:id="rId8" display="https://creis.fang.com/land/Tyc/Index/?sParcelID=aa44ce2c-8f17-411f-b5e8-0e2a26be6085"/>
    <hyperlink ref="A44" r:id="rId9" tooltip="经开区贡湖大道与梁东璐交叉口东南侧" display="https://creis.fang.com/land/Detail?sParceliD=bbfff951-cc6a-41e1-80a2-b7475476f75d"/>
    <hyperlink ref="M44" r:id="rId10" display="https://creis.fang.com/land/Tyc/Index/?sParcelID=bbfff951-cc6a-41e1-80a2-b7475476f75d"/>
    <hyperlink ref="A45" r:id="rId11" tooltip="惠山区惠山新城堰裕路北侧" display="https://creis.fang.com/land/Detail?sParceliD=fd453957-6d19-4faf-a22b-08b3d8b3af66"/>
    <hyperlink ref="M45" r:id="rId12" display="https://creis.fang.com/land/Tyc/Index/?sParcelID=fd453957-6d19-4faf-a22b-08b3d8b3af66"/>
    <hyperlink ref="A46" r:id="rId13" tooltip="江阴市澄江街道青山路北、通渡路西" display="https://creis.fang.com/land/Detail?sParceliD=08425961-6f03-4589-bf3d-27df02fbf4a9"/>
    <hyperlink ref="M46" r:id="rId14" display="https://creis.fang.com/land/Tyc/Index/?sParcelID=08425961-6f03-4589-bf3d-27df02fbf4a9"/>
    <hyperlink ref="A47" r:id="rId15" tooltip="新吴区华谊路以东、科研北路以南、净慧西道以西、和风路以北" display="https://creis.fang.com/land/Detail?sParceliD=6b45d9bf-38d0-4200-81d4-f2da3be8e579"/>
    <hyperlink ref="M47" r:id="rId16" display="https://creis.fang.com/land/Tyc/Index/?sParcelID=6b45d9bf-38d0-4200-81d4-f2da3be8e579"/>
    <hyperlink ref="A48" r:id="rId17" tooltip="新吴区华谊路以东、科研北路以南、净慧西道以西、和风路以北" display="https://creis.fang.com/land/Detail?sParceliD=c6ae4626-ddd4-4b6f-9540-32fa3fb23d09"/>
    <hyperlink ref="M48" r:id="rId18" display="https://creis.fang.com/land/Tyc/Index/?sParcelID=c6ae4626-ddd4-4b6f-9540-32fa3fb23d09"/>
    <hyperlink ref="A49" r:id="rId19" tooltip="梁溪区广益路与北新河交叉口西北侧" display="https://creis.fang.com/land/Detail?sParceliD=c972c955-239a-41e2-be29-f538511b37e9"/>
    <hyperlink ref="M49" r:id="rId20" display="https://creis.fang.com/land/Tyc/Index/?sParcelID=c972c955-239a-41e2-be29-f538511b37e9"/>
    <hyperlink ref="A50" r:id="rId21" tooltip="江阴市祝塘镇东至纵二路、西至香草花苑、南至镇北路" display="https://creis.fang.com/land/Detail?sParceliD=1bd1bcfe-b3e8-4df8-a9b9-c2f623e3808b"/>
    <hyperlink ref="A51" r:id="rId22" tooltip="锡东新城商务区盛源路西、鹏程路南" display="https://creis.fang.com/land/Detail?sParceliD=391b4f60-9217-477e-8d8c-82b8346d2c64"/>
    <hyperlink ref="M51" r:id="rId23" display="https://creis.fang.com/land/Tyc/Index/?sParcelID=391b4f60-9217-477e-8d8c-82b8346d2c64"/>
    <hyperlink ref="A52" r:id="rId24" tooltip="新吴区兴昌路东侧、金城路南侧" display="https://creis.fang.com/land/Detail?sParceliD=6aa34804-df7c-4f0d-a374-42689fdb8e2b"/>
    <hyperlink ref="M52" r:id="rId25" display="https://creis.fang.com/land/Tyc/Index/?sParcelID=6aa34804-df7c-4f0d-a374-42689fdb8e2b"/>
    <hyperlink ref="A53" r:id="rId26" tooltip="滨湖区科教产业园中邦蠡湖商务园东侧" display="https://creis.fang.com/land/Detail?sParceliD=912d23d1-07e8-48b0-b1c6-48a4ab9fa8b4"/>
    <hyperlink ref="M53" r:id="rId27" display="https://creis.fang.com/land/Tyc/Index/?sParcelID=912d23d1-07e8-48b0-b1c6-48a4ab9fa8b4"/>
    <hyperlink ref="A54" r:id="rId28" tooltip="新吴区兴昌路东侧、前卫路北侧" display="https://creis.fang.com/land/Detail?sParceliD=93e8cd06-1929-49d5-9e6b-c6fb65f88a87"/>
    <hyperlink ref="M54" r:id="rId29" display="https://creis.fang.com/land/Tyc/Index/?sParcelID=93e8cd06-1929-49d5-9e6b-c6fb65f88a87"/>
    <hyperlink ref="A55" r:id="rId30" tooltip="滨湖区科教产业园中邦蠡湖商务园东侧" display="https://creis.fang.com/land/Detail?sParceliD=b99bb968-7cd1-4834-a896-bdcd7e0b8ed4"/>
    <hyperlink ref="M55" r:id="rId31" display="https://creis.fang.com/land/Tyc/Index/?sParcelID=b99bb968-7cd1-4834-a896-bdcd7e0b8ed4"/>
    <hyperlink ref="A56" r:id="rId32" tooltip="宜兴市丁蜀镇通蜀西路南侧" display="https://creis.fang.com/land/Detail?sParceliD=031096d2-55a1-483c-b831-89b7a55cd1b9"/>
    <hyperlink ref="M56" r:id="rId33" display="https://creis.fang.com/land/Tyc/Index/?sParcelID=031096d2-55a1-483c-b831-89b7a55cd1b9"/>
    <hyperlink ref="A57" r:id="rId34" tooltip="宜兴市丁蜀镇蜀山社区(原丁山监狱青龙山F地块)" display="https://creis.fang.com/land/Detail?sParceliD=28422137-e934-49bf-b4e6-528a92aad2b9"/>
    <hyperlink ref="M57" r:id="rId35" display="https://creis.fang.com/land/Tyc/Index/?sParcelID=28422137-e934-49bf-b4e6-528a92aad2b9"/>
    <hyperlink ref="A58" r:id="rId36" tooltip="宜兴市丁蜀镇蜀山社区(原丁山监狱青龙山G地块)" display="https://creis.fang.com/land/Detail?sParceliD=98acfb6f-cd98-4823-ba00-1f7242f4bbc9"/>
    <hyperlink ref="M58" r:id="rId37" display="https://creis.fang.com/land/Tyc/Index/?sParcelID=98acfb6f-cd98-4823-ba00-1f7242f4bbc9"/>
    <hyperlink ref="A59" r:id="rId38" tooltip="宜兴市丁蜀镇范蠡大道西侧" display="https://creis.fang.com/land/Detail?sParceliD=ef42d8f0-b0cb-4446-ae3e-d9ff8e6d2f78"/>
    <hyperlink ref="M59" r:id="rId39" display="https://creis.fang.com/land/Tyc/Index/?sParcelID=ef42d8f0-b0cb-4446-ae3e-d9ff8e6d2f78"/>
    <hyperlink ref="A60" r:id="rId40" tooltip="滨湖区具区路和塘绛路交叉口东南侧" display="https://creis.fang.com/land/Detail?sParceliD=4668c4d0-44da-400a-8fc2-94ad65c6f19f"/>
    <hyperlink ref="M60" r:id="rId41" display="https://creis.fang.com/land/Tyc/Index/?sParcelID=4668c4d0-44da-400a-8fc2-94ad65c6f19f"/>
    <hyperlink ref="A61" r:id="rId42" tooltip="梁溪区锡沪路与江海东路交叉口东北侧" display="https://creis.fang.com/land/Detail?sParceliD=802e12b6-d585-4ff6-83e8-427e856f4838"/>
    <hyperlink ref="M61" r:id="rId43" display="https://creis.fang.com/land/Tyc/Index/?sParcelID=802e12b6-d585-4ff6-83e8-427e856f4838"/>
    <hyperlink ref="A62" r:id="rId44" tooltip="梁溪区塘南路与清名路交叉口西南侧" display="https://creis.fang.com/land/Detail?sParceliD=fcdea27c-19d7-4bd6-8767-186c4b8c301f"/>
    <hyperlink ref="M62" r:id="rId45" display="https://creis.fang.com/land/Tyc/Index/?sParcelID=fcdea27c-19d7-4bd6-8767-186c4b8c301f"/>
    <hyperlink ref="A63" r:id="rId46" tooltip="江阴市城东街道石山路西、龙泉路北" display="https://creis.fang.com/land/Detail?sParceliD=abe2a275-6811-4a99-8aa7-af73dc459e59"/>
    <hyperlink ref="A64" r:id="rId47" tooltip="锡东新城商务区弘业东路北、中心河西地块" display="https://creis.fang.com/land/Detail?sParceliD=16b24f37-5a19-493c-8c12-bdaee92b7ba1"/>
    <hyperlink ref="M64" r:id="rId48" display="https://creis.fang.com/land/Tyc/Index/?sParcelID=16b24f37-5a19-493c-8c12-bdaee92b7ba1"/>
    <hyperlink ref="A65" r:id="rId49" tooltip="宜兴市张渚镇茗岭村、龙池村" display="https://creis.fang.com/land/Detail?sParceliD=583f4db3-7120-4539-a7a9-72b1e98f43d9"/>
    <hyperlink ref="M65" r:id="rId50" display="https://creis.fang.com/land/Tyc/Index/?sParcelID=583f4db3-7120-4539-a7a9-72b1e98f43d9"/>
    <hyperlink ref="A66" r:id="rId51" tooltip="梁溪区北中路与桐桥港路交叉口东北侧(锡虞西路与广桐路交叉口东北侧)" display="https://creis.fang.com/land/Detail?sParceliD=e125bc4b-edb9-4b1c-9cdf-ce8595d421e0"/>
    <hyperlink ref="M66" r:id="rId52" display="https://creis.fang.com/land/Tyc/Index/?sParcelID=e125bc4b-edb9-4b1c-9cdf-ce8595d421e0"/>
    <hyperlink ref="A67" r:id="rId53" tooltip="宜兴市丁蜀镇华骐污水处理公司东侧" display="https://creis.fang.com/land/Detail?sParceliD=924de161-5936-4110-9a82-08a34fe1d0b6"/>
    <hyperlink ref="M67" r:id="rId54" display="https://creis.fang.com/land/Tyc/Index/?sParcelID=924de161-5936-4110-9a82-08a34fe1d0b6"/>
    <hyperlink ref="A68" r:id="rId55" tooltip="宜兴市新庄街道湖滨公路西侧" display="https://creis.fang.com/land/Detail?sParceliD=f81ff7fc-efbc-451d-ac44-b9a41fa63cb8"/>
    <hyperlink ref="M68" r:id="rId56" display="https://creis.fang.com/land/Tyc/Index/?sParcelID=f81ff7fc-efbc-451d-ac44-b9a41fa63cb8"/>
    <hyperlink ref="A69" r:id="rId57" tooltip="宜兴市官林镇紫京路北侧官丰路西侧" display="https://creis.fang.com/land/Detail?sParceliD=bc34da70-1398-4461-a7a3-7bb7a52d218d"/>
    <hyperlink ref="M69" r:id="rId58" display="https://creis.fang.com/land/Tyc/Index/?sParcelID=bc34da70-1398-4461-a7a3-7bb7a52d218d"/>
    <hyperlink ref="A70" r:id="rId59" tooltip="宜兴市丁蜀镇洛涧村" display="https://creis.fang.com/land/Detail?sParceliD=7fe710bf-477e-4436-ae58-c8f8f784be2c"/>
    <hyperlink ref="M70" r:id="rId60" display="https://creis.fang.com/land/Tyc/Index/?sParcelID=7fe710bf-477e-4436-ae58-c8f8f784be2c"/>
    <hyperlink ref="A71" r:id="rId61" tooltip="宜兴市湖父镇竹海村" display="https://creis.fang.com/land/Detail?sParceliD=35cceb6d-0a72-463b-a077-69d192898df0"/>
    <hyperlink ref="M71" r:id="rId62" display="https://creis.fang.com/land/Tyc/Index/?sParcelID=35cceb6d-0a72-463b-a077-69d192898df0"/>
    <hyperlink ref="A72" r:id="rId63" tooltip="新吴区震泽路与净慧西道交叉口东南侧" display="https://creis.fang.com/land/Detail?sParceliD=0f381026-a006-49af-8cab-c74135d5c5dd"/>
    <hyperlink ref="M72" r:id="rId64" display="https://creis.fang.com/land/Tyc/Index/?sParcelID=0f381026-a006-49af-8cab-c74135d5c5dd"/>
    <hyperlink ref="A73" r:id="rId65" tooltip="锡山区东北塘街道芙蓉三路北、裕隆大厦东" display="https://creis.fang.com/land/Detail?sParceliD=47dd5202-050b-4c78-a27f-7bb396568e12"/>
    <hyperlink ref="M73" r:id="rId66" display="https://creis.fang.com/land/Tyc/Index/?sParcelID=47dd5202-050b-4c78-a27f-7bb396568e12"/>
    <hyperlink ref="A74" r:id="rId67" tooltip="锡东新城商务区吉利4S东、鹏程路南" display="https://creis.fang.com/land/Detail?sParceliD=7be52908-b0bd-4a26-b233-69f7f02fe6a7"/>
    <hyperlink ref="M74" r:id="rId68" display="https://creis.fang.com/land/Tyc/Index/?sParcelID=7be52908-b0bd-4a26-b233-69f7f02fe6a7"/>
    <hyperlink ref="A75" r:id="rId69" tooltip="锡东新城商务区盛源路西、东安路辅道北" display="https://creis.fang.com/land/Detail?sParceliD=9af068d3-c384-4ad3-bec3-61d909806766"/>
    <hyperlink ref="M75" r:id="rId70" display="https://creis.fang.com/land/Tyc/Index/?sParcelID=9af068d3-c384-4ad3-bec3-61d909806766"/>
    <hyperlink ref="A76" r:id="rId71" tooltip="宜兴市和桥镇和桥庭院南侧" display="https://creis.fang.com/land/Detail?sParceliD=15dff3c3-8b6d-46a6-a2d6-8f3758ca311e"/>
    <hyperlink ref="M76" r:id="rId72" display="https://creis.fang.com/land/Tyc/Index/?sParcelID=15dff3c3-8b6d-46a6-a2d6-8f3758ca311e"/>
    <hyperlink ref="A77" r:id="rId73" tooltip="江阴市顾山镇行政区域范围内东至香山北路、南至人民西路" display="https://creis.fang.com/land/Detail?sParceliD=c9ec083a-6173-4da6-bad2-3475a3d20ff5"/>
    <hyperlink ref="M77" r:id="rId74" display="https://creis.fang.com/land/Tyc/Index/?sParcelID=c9ec083a-6173-4da6-bad2-3475a3d20ff5"/>
    <hyperlink ref="A78" r:id="rId75" tooltip="宜兴市高塍镇赛特大道东侧" display="https://creis.fang.com/land/Detail?sParceliD=1e99119e-532b-49f8-9850-6c38f166108f"/>
    <hyperlink ref="M78" r:id="rId76" display="https://creis.fang.com/land/Tyc/Index/?sParcelID=1e99119e-532b-49f8-9850-6c38f166108f"/>
    <hyperlink ref="A79" r:id="rId77" tooltip="江阴市城东街道创富路东、滨江东路南、秦望山路西、规划道路北" display="https://creis.fang.com/land/Detail?sParceliD=18ed2e5e-2980-499c-bec4-bbec4470fa6f"/>
    <hyperlink ref="M79" r:id="rId78" display="https://creis.fang.com/land/Tyc/Index/?sParcelID=18ed2e5e-2980-499c-bec4-bbec4470fa6f"/>
    <hyperlink ref="A80" r:id="rId79" tooltip="江阴市城东街道秦望山路东、滨江东路南、定山路西、规划道路北" display="https://creis.fang.com/land/Detail?sParceliD=49c93dd5-6f2f-47be-9c0d-aaed8cf34086"/>
    <hyperlink ref="M80" r:id="rId80" display="https://creis.fang.com/land/Tyc/Index/?sParcelID=49c93dd5-6f2f-47be-9c0d-aaed8cf34086"/>
    <hyperlink ref="A81" r:id="rId81" tooltip="江阴市澄江街道虹桥路东、青果路西、塘前路北侧" display="https://creis.fang.com/land/Detail?sParceliD=525d9770-993d-4fd5-acc0-db00f96ae78e"/>
    <hyperlink ref="M81" r:id="rId82" display="https://creis.fang.com/land/Tyc/Index/?sParcelID=525d9770-993d-4fd5-acc0-db00f96ae78e"/>
    <hyperlink ref="A82" r:id="rId83" tooltip="江阴市澄江街道虹桥路东、青果路西、塘前路北侧" display="https://creis.fang.com/land/Detail?sParceliD=dd981c84-235a-4417-bb9e-fb358c751def"/>
    <hyperlink ref="M82" r:id="rId84" display="https://creis.fang.com/land/Tyc/Index/?sParcelID=dd981c84-235a-4417-bb9e-fb358c751def"/>
    <hyperlink ref="A83" r:id="rId85" tooltip="宜兴市西渚镇筱里村" display="https://creis.fang.com/land/Detail?sParceliD=69795874-8f73-46b9-af4b-7569c35e9ef4"/>
    <hyperlink ref="M83" r:id="rId86" display="https://creis.fang.com/land/Tyc/Index/?sParcelID=69795874-8f73-46b9-af4b-7569c35e9ef4"/>
    <hyperlink ref="A84" r:id="rId87" tooltip="江阴市周庄镇龙云路东侧、老澄杨路北侧" display="https://creis.fang.com/land/Detail?sParceliD=4f385d04-6518-4db1-a54a-f32380718267"/>
    <hyperlink ref="M84" r:id="rId88" display="https://creis.fang.com/land/Tyc/Index/?sParcelID=4f385d04-6518-4db1-a54a-f32380718267"/>
    <hyperlink ref="A85" r:id="rId89" tooltip="宜兴市周铁镇解放路西侧、华仁大道南侧" display="https://creis.fang.com/land/Detail?sParceliD=a23412a7-57b5-464d-84b4-a6af8cae72ae"/>
    <hyperlink ref="M85" r:id="rId90" display="https://creis.fang.com/land/Tyc/Index/?sParcelID=a23412a7-57b5-464d-84b4-a6af8cae72ae"/>
    <hyperlink ref="A86" r:id="rId91" tooltip="滨湖区清源路与万顺道交叉口西北侧" display="https://creis.fang.com/land/Detail?sParceliD=f5c2480f-2968-4f50-9724-1af906771ae6"/>
    <hyperlink ref="M86" r:id="rId92" display="https://creis.fang.com/land/Tyc/Index/?sParcelID=f5c2480f-2968-4f50-9724-1af906771ae6"/>
    <hyperlink ref="A87" r:id="rId93" tooltip="宜兴市和桥镇大生村" display="https://creis.fang.com/land/Detail?sParceliD=03a51a05-3e15-47ea-a040-7d2b7be5ce95"/>
    <hyperlink ref="M87" r:id="rId94" display="https://creis.fang.com/land/Tyc/Index/?sParcelID=03a51a05-3e15-47ea-a040-7d2b7be5ce95"/>
    <hyperlink ref="A88" r:id="rId95" tooltip="宜兴市湖父镇银湖村" display="https://creis.fang.com/land/Detail?sParceliD=1c6da8d0-5347-4206-91b7-211ac19987fd"/>
    <hyperlink ref="M88" r:id="rId96" display="https://creis.fang.com/land/Tyc/Index/?sParcelID=1c6da8d0-5347-4206-91b7-211ac19987fd"/>
    <hyperlink ref="A89" r:id="rId97" tooltip="宜兴市湖父镇大东村" display="https://creis.fang.com/land/Detail?sParceliD=49ac57c5-0c6b-4bbf-bd93-4ac8c7e1a5a3"/>
    <hyperlink ref="M89" r:id="rId98" display="https://creis.fang.com/land/Tyc/Index/?sParcelID=49ac57c5-0c6b-4bbf-bd93-4ac8c7e1a5a3"/>
  </hyperlinks>
  <pageMargins left="0.7" right="0.7" top="0.75" bottom="0.75" header="0.3" footer="0.3"/>
  <pageSetup paperSize="9" orientation="portrait" r:id="rId99"/>
  <drawing r:id="rId1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1" customWidth="1"/>
    <col min="2" max="2" width="9" style="1771"/>
    <col min="3" max="4" width="9.6640625" style="1771" customWidth="1"/>
    <col min="5" max="16384" width="9" style="1771"/>
  </cols>
  <sheetData>
    <row r="1" spans="1:4" ht="22.2">
      <c r="A1" s="1770" t="s">
        <v>1903</v>
      </c>
    </row>
    <row r="2" spans="1:4">
      <c r="A2" s="1772"/>
    </row>
    <row r="3" spans="1:4" ht="17.399999999999999">
      <c r="A3" s="1790" t="str">
        <f>项目基本情况!B5&amp;"："</f>
        <v>：</v>
      </c>
    </row>
    <row r="4" spans="1:4" ht="34.799999999999997">
      <c r="A4" s="1784" t="str">
        <f>"受贵公司委托，我公司对"&amp;项目基本情况!K2&amp;项目基本情况!B9&amp;"进行了预评估。"</f>
        <v>受贵公司委托，我公司对出让国有建设用地使用权抵押价格进行了预评估。</v>
      </c>
    </row>
    <row r="5" spans="1:4" ht="17.399999999999999">
      <c r="A5" s="1787" t="s">
        <v>1904</v>
      </c>
    </row>
    <row r="6" spans="1:4" ht="69.599999999999994">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87">
      <c r="A7" s="2890" t="s">
        <v>2752</v>
      </c>
    </row>
    <row r="8" spans="1:4" ht="17.399999999999999">
      <c r="A8" s="1787" t="s">
        <v>1905</v>
      </c>
    </row>
    <row r="9" spans="1:4" ht="69.599999999999994">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0" t="s">
        <v>2027</v>
      </c>
    </row>
    <row r="11" spans="1:4" ht="17.399999999999999">
      <c r="A11" s="1773" t="str">
        <f>TEXT(项目基本情况!D3,"yyyy年m月d日;;")&amp;IF(项目基本情况!B3=项目基本情况!D3,"（评估专业人员勘察现场之日）","")</f>
        <v>2020年4月3日</v>
      </c>
    </row>
    <row r="12" spans="1:4" ht="17.399999999999999">
      <c r="A12" s="1790" t="s">
        <v>2026</v>
      </c>
    </row>
    <row r="13" spans="1:4" ht="17.399999999999999">
      <c r="A13" s="1784" t="s">
        <v>2072</v>
      </c>
    </row>
    <row r="14" spans="1:4" ht="17.399999999999999">
      <c r="A14" s="1784" t="str">
        <f>"根据"&amp;项目基本情况!F12&amp;"，本次评估估价对象证载（地类）用途为"&amp;项目基本情况!B12&amp;"。"</f>
        <v>根据《国有土地使用证》[]，本次评估估价对象证载（地类）用途为。</v>
      </c>
      <c r="C14" s="1774"/>
      <c r="D14" s="1775"/>
    </row>
    <row r="15" spans="1:4" ht="17.399999999999999">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7.399999999999999">
      <c r="A16" s="1784" t="s">
        <v>2073</v>
      </c>
    </row>
    <row r="17" spans="1:1" ht="52.2">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4" t="s">
        <v>2074</v>
      </c>
    </row>
    <row r="20" spans="1:1" ht="52.2">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87">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4" t="s">
        <v>2075</v>
      </c>
    </row>
    <row r="23" spans="1:1" ht="17.399999999999999">
      <c r="A23" s="2892" t="s">
        <v>2753</v>
      </c>
    </row>
    <row r="24" spans="1:1" ht="17.399999999999999">
      <c r="A24" s="1784" t="s">
        <v>2076</v>
      </c>
    </row>
    <row r="25" spans="1:1" ht="87">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52.2">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4" t="str">
        <f>IF(项目基本情况!E9="——","",定义!C57)</f>
        <v/>
      </c>
    </row>
    <row r="29" spans="1:1" ht="17.399999999999999">
      <c r="A29" s="1790" t="s">
        <v>2028</v>
      </c>
    </row>
    <row r="30" spans="1:1" ht="69.599999999999994">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7.399999999999999">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90" t="s">
        <v>2039</v>
      </c>
      <c r="B1" s="3590"/>
      <c r="C1" s="3590"/>
      <c r="D1" s="3590"/>
      <c r="E1" s="3590"/>
      <c r="F1" s="3590"/>
      <c r="G1" s="3590"/>
      <c r="H1" s="3590"/>
      <c r="I1" s="3590"/>
      <c r="J1" s="3590"/>
      <c r="K1" s="3590"/>
      <c r="L1" s="3590"/>
      <c r="M1" s="3590"/>
      <c r="N1" s="3590"/>
      <c r="O1" s="3590"/>
      <c r="P1" s="3590"/>
      <c r="Q1" s="3590"/>
      <c r="R1" s="3590"/>
    </row>
    <row r="2" spans="1:18">
      <c r="A2" s="1800" t="s">
        <v>2041</v>
      </c>
      <c r="B2" s="1800"/>
      <c r="C2" s="1800"/>
      <c r="D2" s="1800"/>
      <c r="E2" s="1800"/>
      <c r="F2" s="1800"/>
      <c r="G2" s="1800"/>
      <c r="H2" s="1800"/>
      <c r="I2" s="1801"/>
      <c r="J2" s="1801"/>
      <c r="K2" s="1802" t="str">
        <f>"估价期日："&amp;TEXT(项目基本情况!D3,"yyyy年m月d日;;")</f>
        <v>估价期日：2020年4月3日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91" t="s">
        <v>2030</v>
      </c>
      <c r="B3" s="3591" t="s">
        <v>2735</v>
      </c>
      <c r="C3" s="3592" t="s">
        <v>2031</v>
      </c>
      <c r="D3" s="3591" t="s">
        <v>2739</v>
      </c>
      <c r="E3" s="3594" t="s">
        <v>2032</v>
      </c>
      <c r="F3" s="3594"/>
      <c r="G3" s="3594"/>
      <c r="H3" s="3594" t="s">
        <v>2033</v>
      </c>
      <c r="I3" s="3594"/>
      <c r="J3" s="3594"/>
      <c r="K3" s="3592" t="s">
        <v>2034</v>
      </c>
      <c r="L3" s="3592" t="s">
        <v>2035</v>
      </c>
      <c r="M3" s="3591" t="s">
        <v>2736</v>
      </c>
      <c r="N3" s="3593" t="str">
        <f>"（分摊）"&amp;项目基本情况!B16&amp;"国有建设用地使用权面积/㎡"</f>
        <v>（分摊）出让国有建设用地使用权面积/㎡</v>
      </c>
      <c r="O3" s="3591" t="s">
        <v>2064</v>
      </c>
      <c r="P3" s="3592" t="s">
        <v>2044</v>
      </c>
      <c r="Q3" s="3592" t="s">
        <v>2065</v>
      </c>
      <c r="R3" s="3592" t="s">
        <v>2036</v>
      </c>
    </row>
    <row r="4" spans="1:18" ht="36.75" customHeight="1">
      <c r="A4" s="3591"/>
      <c r="B4" s="3591"/>
      <c r="C4" s="3592"/>
      <c r="D4" s="3591"/>
      <c r="E4" s="2666" t="s">
        <v>2043</v>
      </c>
      <c r="F4" s="2666" t="s">
        <v>2748</v>
      </c>
      <c r="G4" s="2666" t="s">
        <v>2037</v>
      </c>
      <c r="H4" s="2666" t="s">
        <v>2038</v>
      </c>
      <c r="I4" s="2666" t="s">
        <v>2749</v>
      </c>
      <c r="J4" s="2666" t="s">
        <v>2037</v>
      </c>
      <c r="K4" s="3592"/>
      <c r="L4" s="3592"/>
      <c r="M4" s="3591"/>
      <c r="N4" s="3593"/>
      <c r="O4" s="3591"/>
      <c r="P4" s="3592"/>
      <c r="Q4" s="3592"/>
      <c r="R4" s="3592"/>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21467</v>
      </c>
      <c r="Q5" s="1803">
        <f ca="1">结果表!D42</f>
        <v>3343</v>
      </c>
      <c r="R5" s="1804">
        <f ca="1">结果表!C42</f>
        <v>160287</v>
      </c>
    </row>
    <row r="6" spans="1:18">
      <c r="A6" s="3595" t="str">
        <f>IF(项目基本情况!B9="市场价格","——","抵押价格")</f>
        <v>抵押价格</v>
      </c>
      <c r="B6" s="3596"/>
      <c r="C6" s="3596"/>
      <c r="D6" s="3596"/>
      <c r="E6" s="3596"/>
      <c r="F6" s="3596"/>
      <c r="G6" s="3596"/>
      <c r="H6" s="3596"/>
      <c r="I6" s="3596"/>
      <c r="J6" s="3596"/>
      <c r="K6" s="3596"/>
      <c r="L6" s="3596"/>
      <c r="M6" s="3596"/>
      <c r="N6" s="3596"/>
      <c r="O6" s="3596"/>
      <c r="P6" s="3596"/>
      <c r="Q6" s="3597"/>
      <c r="R6" s="1805">
        <f ca="1">结果表!O39</f>
        <v>159289</v>
      </c>
    </row>
    <row r="7" spans="1:18">
      <c r="A7" s="3595" t="str">
        <f>IF(项目基本情况!B9="市场价格","——",IF(项目基本情况!E8="已注销及未注销","抵押担保权已注销时的抵押价格","——"))</f>
        <v>——</v>
      </c>
      <c r="B7" s="3596"/>
      <c r="C7" s="3596"/>
      <c r="D7" s="3596"/>
      <c r="E7" s="3596"/>
      <c r="F7" s="3596"/>
      <c r="G7" s="3596"/>
      <c r="H7" s="3596"/>
      <c r="I7" s="3596"/>
      <c r="J7" s="3596"/>
      <c r="K7" s="3596"/>
      <c r="L7" s="3596"/>
      <c r="M7" s="3596"/>
      <c r="N7" s="3596"/>
      <c r="O7" s="3596"/>
      <c r="P7" s="3596"/>
      <c r="Q7" s="3597"/>
      <c r="R7" s="1805" t="str">
        <f>结果表!O40</f>
        <v>——</v>
      </c>
    </row>
    <row r="8" spans="1:18">
      <c r="A8" s="3595" t="str">
        <f>IF(项目基本情况!B9="市场价格","——",项目基本情况!E9)</f>
        <v>——</v>
      </c>
      <c r="B8" s="3596"/>
      <c r="C8" s="3596"/>
      <c r="D8" s="3596"/>
      <c r="E8" s="3596"/>
      <c r="F8" s="3596"/>
      <c r="G8" s="3596"/>
      <c r="H8" s="3596"/>
      <c r="I8" s="3596"/>
      <c r="J8" s="3596"/>
      <c r="K8" s="3596"/>
      <c r="L8" s="3596"/>
      <c r="M8" s="3596"/>
      <c r="N8" s="3596"/>
      <c r="O8" s="3596"/>
      <c r="P8" s="3596"/>
      <c r="Q8" s="3597"/>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795" customWidth="1"/>
    <col min="2" max="3" width="21.33203125" style="1795" customWidth="1"/>
    <col min="4" max="4" width="19.88671875" style="1795" customWidth="1"/>
    <col min="5" max="16384" width="9" style="1795"/>
  </cols>
  <sheetData>
    <row r="1" spans="1:4">
      <c r="A1" s="3598" t="s">
        <v>2066</v>
      </c>
      <c r="B1" s="3598"/>
      <c r="C1" s="3598"/>
      <c r="D1" s="3598"/>
    </row>
    <row r="2" spans="1:4" ht="47.25" customHeight="1">
      <c r="A2" s="3602" t="str">
        <f>"1.权利限制："&amp;项目基本情况!L24&amp;"未设定租赁等其他他项权利。"</f>
        <v>1.权利限制：根据估价对象《不动产权证书》原件、《国有土地使用权》复印件，截至估价期日，估价对象抵押权未见登记。未设定租赁等其他他项权利。</v>
      </c>
      <c r="B2" s="3602"/>
      <c r="C2" s="3602"/>
      <c r="D2" s="3602"/>
    </row>
    <row r="3" spans="1:4" ht="48" customHeight="1">
      <c r="A3" s="35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8"/>
      <c r="C3" s="3598"/>
      <c r="D3" s="3598"/>
    </row>
    <row r="4" spans="1:4" ht="36.75" customHeight="1">
      <c r="A4" s="3598" t="str">
        <f>"3.估价规划限制条件：详见"&amp;项目基本情况!E21&amp;"。"</f>
        <v>3.估价规划限制条件：详见《建设工程规划许可证》[]、《出让合同》[]。</v>
      </c>
      <c r="B4" s="3598"/>
      <c r="C4" s="3598"/>
      <c r="D4" s="3598"/>
    </row>
    <row r="5" spans="1:4">
      <c r="A5" s="3601" t="s">
        <v>2067</v>
      </c>
      <c r="B5" s="3601"/>
      <c r="C5" s="3601"/>
      <c r="D5" s="3601"/>
    </row>
    <row r="6" spans="1:4">
      <c r="A6" s="3598" t="s">
        <v>2045</v>
      </c>
      <c r="B6" s="3598"/>
      <c r="C6" s="3598"/>
      <c r="D6" s="3598"/>
    </row>
    <row r="7" spans="1:4" ht="33" customHeight="1">
      <c r="A7" s="3598" t="s">
        <v>2579</v>
      </c>
      <c r="B7" s="3598"/>
      <c r="C7" s="3598"/>
      <c r="D7" s="3598"/>
    </row>
    <row r="8" spans="1:4" ht="32.25" customHeight="1">
      <c r="A8" s="35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8"/>
      <c r="C8" s="3598"/>
      <c r="D8" s="3598"/>
    </row>
    <row r="9" spans="1:4" ht="33.75" customHeight="1">
      <c r="A9" s="35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8"/>
      <c r="C9" s="3598"/>
      <c r="D9" s="3598"/>
    </row>
    <row r="10" spans="1:4">
      <c r="A10" s="3598" t="str">
        <f>IF(项目基本情况!B8="抵押","4.估价师所知悉的法定优先受偿款情况为：","——")</f>
        <v>4.估价师所知悉的法定优先受偿款情况为：</v>
      </c>
      <c r="B10" s="3598"/>
      <c r="C10" s="3598"/>
      <c r="D10" s="3598"/>
    </row>
    <row r="11" spans="1:4" ht="37.5" customHeight="1">
      <c r="A11" s="36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0"/>
      <c r="C11" s="3600"/>
      <c r="D11" s="3600"/>
    </row>
    <row r="12" spans="1:4" ht="168" customHeight="1">
      <c r="A12" s="3601" t="s">
        <v>2069</v>
      </c>
      <c r="B12" s="3601"/>
      <c r="C12" s="3601"/>
      <c r="D12" s="3601"/>
    </row>
    <row r="13" spans="1:4">
      <c r="A13" s="3599" t="s">
        <v>2750</v>
      </c>
      <c r="B13" s="3599"/>
      <c r="C13" s="3599"/>
      <c r="D13" s="3599"/>
    </row>
    <row r="14" spans="1:4">
      <c r="A14" s="3600" t="str">
        <f>IF(项目基本情况!B8="抵押","综上，"&amp;结果表!K47,"——")</f>
        <v>综上，本次评估估价师知悉的法定优先受偿款为人民币998万元整。</v>
      </c>
      <c r="B14" s="3600"/>
      <c r="C14" s="3600"/>
      <c r="D14" s="3600"/>
    </row>
    <row r="15" spans="1:4" ht="58.5" customHeight="1">
      <c r="A15" s="35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8"/>
      <c r="C15" s="3598"/>
      <c r="D15" s="3598"/>
    </row>
    <row r="16" spans="1:4" ht="70.5" customHeight="1">
      <c r="A16" s="35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8"/>
      <c r="C16" s="3598"/>
      <c r="D16" s="3598"/>
    </row>
    <row r="17" spans="1:4">
      <c r="A17" s="3598" t="s">
        <v>2706</v>
      </c>
      <c r="B17" s="3598"/>
      <c r="C17" s="3598"/>
      <c r="D17" s="3598"/>
    </row>
    <row r="18" spans="1:4">
      <c r="A18" s="3598" t="s">
        <v>2698</v>
      </c>
      <c r="B18" s="3598"/>
      <c r="C18" s="3598"/>
      <c r="D18" s="3598"/>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598" t="s">
        <v>2703</v>
      </c>
      <c r="B23" s="3598"/>
      <c r="C23" s="3598"/>
      <c r="D23" s="3598"/>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4">
      <c r="A15" s="3610" t="s">
        <v>53</v>
      </c>
      <c r="B15" s="3611" t="s">
        <v>846</v>
      </c>
      <c r="C15" s="3607"/>
    </row>
    <row r="16" spans="1:7" ht="14.4">
      <c r="A16" s="3610"/>
      <c r="B16" s="3608" t="s">
        <v>54</v>
      </c>
      <c r="C16" s="1165" t="s">
        <v>53</v>
      </c>
    </row>
    <row r="17" spans="1:3" ht="14.4">
      <c r="A17" s="3610"/>
      <c r="B17" s="3608"/>
      <c r="C17" s="1165" t="s">
        <v>55</v>
      </c>
    </row>
    <row r="18" spans="1:3" ht="14.4">
      <c r="A18" s="3610"/>
      <c r="B18" s="3608"/>
      <c r="C18" s="1165" t="s">
        <v>56</v>
      </c>
    </row>
    <row r="19" spans="1:3" ht="14.4">
      <c r="A19" s="3610"/>
      <c r="B19" s="3606" t="s">
        <v>57</v>
      </c>
      <c r="C19" s="3607"/>
    </row>
    <row r="20" spans="1:3" ht="14.4">
      <c r="A20" s="1166" t="s">
        <v>58</v>
      </c>
      <c r="B20" s="1167"/>
      <c r="C20" s="1168"/>
    </row>
    <row r="21" spans="1:3" ht="14.4">
      <c r="A21" s="3609" t="s">
        <v>59</v>
      </c>
      <c r="B21" s="3606" t="s">
        <v>60</v>
      </c>
      <c r="C21" s="3607"/>
    </row>
    <row r="22" spans="1:3" ht="14.4">
      <c r="A22" s="3609"/>
      <c r="B22" s="3606" t="s">
        <v>61</v>
      </c>
      <c r="C22" s="3607"/>
    </row>
    <row r="23" spans="1:3" ht="14.4">
      <c r="A23" s="3609"/>
      <c r="B23" s="3606" t="s">
        <v>62</v>
      </c>
      <c r="C23" s="3607"/>
    </row>
    <row r="24" spans="1:3" ht="14.4">
      <c r="A24" s="3609"/>
      <c r="B24" s="3612" t="s">
        <v>63</v>
      </c>
      <c r="C24" s="1169" t="s">
        <v>837</v>
      </c>
    </row>
    <row r="25" spans="1:3" ht="14.4">
      <c r="A25" s="3609"/>
      <c r="B25" s="3613"/>
      <c r="C25" s="1169" t="s">
        <v>838</v>
      </c>
    </row>
    <row r="26" spans="1:3" ht="14.4">
      <c r="A26" s="3609"/>
      <c r="B26" s="3613"/>
      <c r="C26" s="1169" t="s">
        <v>839</v>
      </c>
    </row>
    <row r="27" spans="1:3" ht="14.4">
      <c r="A27" s="3609"/>
      <c r="B27" s="3613"/>
      <c r="C27" s="1169" t="s">
        <v>840</v>
      </c>
    </row>
    <row r="28" spans="1:3" ht="14.4">
      <c r="A28" s="3609"/>
      <c r="B28" s="3613"/>
      <c r="C28" s="1169" t="s">
        <v>841</v>
      </c>
    </row>
    <row r="29" spans="1:3" ht="14.4">
      <c r="A29" s="3609"/>
      <c r="B29" s="3613"/>
      <c r="C29" s="1169" t="s">
        <v>842</v>
      </c>
    </row>
    <row r="30" spans="1:3" ht="14.4">
      <c r="A30" s="3609"/>
      <c r="B30" s="3613"/>
      <c r="C30" s="1169" t="s">
        <v>843</v>
      </c>
    </row>
    <row r="31" spans="1:3" ht="14.4">
      <c r="A31" s="3609"/>
      <c r="B31" s="3613"/>
      <c r="C31" s="1169" t="s">
        <v>844</v>
      </c>
    </row>
    <row r="32" spans="1:3" ht="14.4">
      <c r="A32" s="3609"/>
      <c r="B32" s="3613"/>
      <c r="C32" s="1169" t="s">
        <v>1647</v>
      </c>
    </row>
    <row r="33" spans="1:3" ht="14.4">
      <c r="A33" s="3609"/>
      <c r="B33" s="3603" t="s">
        <v>1653</v>
      </c>
      <c r="C33" s="1169" t="s">
        <v>1648</v>
      </c>
    </row>
    <row r="34" spans="1:3" ht="14.4">
      <c r="A34" s="3609"/>
      <c r="B34" s="3604"/>
      <c r="C34" s="1174" t="s">
        <v>1649</v>
      </c>
    </row>
    <row r="35" spans="1:3" ht="14.4">
      <c r="A35" s="3609"/>
      <c r="B35" s="3604"/>
      <c r="C35" s="1175" t="s">
        <v>1650</v>
      </c>
    </row>
    <row r="36" spans="1:3" ht="14.4">
      <c r="A36" s="3609"/>
      <c r="B36" s="3604"/>
      <c r="C36" s="1175" t="s">
        <v>1651</v>
      </c>
    </row>
    <row r="37" spans="1:3" ht="14.4">
      <c r="A37" s="3609"/>
      <c r="B37" s="3605"/>
      <c r="C37" s="1176" t="s">
        <v>1652</v>
      </c>
    </row>
    <row r="38" spans="1:3">
      <c r="A38" s="1170" t="s">
        <v>845</v>
      </c>
    </row>
    <row r="41" spans="1:3">
      <c r="A41" s="1170" t="s">
        <v>68</v>
      </c>
    </row>
    <row r="42" spans="1:3" ht="14.4">
      <c r="A42" s="1171" t="s">
        <v>853</v>
      </c>
    </row>
    <row r="43" spans="1:3" ht="14.4">
      <c r="A43" s="1172" t="s">
        <v>69</v>
      </c>
    </row>
    <row r="44" spans="1:3" ht="14.4">
      <c r="A44" s="1171" t="s">
        <v>852</v>
      </c>
    </row>
    <row r="45" spans="1:3" ht="14.4">
      <c r="A45" s="1173" t="s">
        <v>854</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640625" defaultRowHeight="20.25" customHeight="1"/>
  <cols>
    <col min="1" max="1" width="24.77734375" style="2333" customWidth="1"/>
    <col min="2" max="5" width="22.6640625" style="2333"/>
    <col min="6" max="6" width="25.6640625" style="2333" customWidth="1"/>
    <col min="7" max="16384" width="22.6640625" style="2333"/>
  </cols>
  <sheetData>
    <row r="2" spans="1:6" ht="20.25" customHeight="1">
      <c r="A2" s="2330" t="s">
        <v>1906</v>
      </c>
      <c r="B2" s="1649">
        <f ca="1">TODAY()</f>
        <v>43928</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t="str">
        <f ca="1">IF(C4&lt;B2,"已过期",1119970066)</f>
        <v>已过期</v>
      </c>
      <c r="C4" s="3022">
        <v>43849</v>
      </c>
      <c r="D4" s="2335" t="s">
        <v>1913</v>
      </c>
      <c r="E4" s="2335">
        <f ca="1">IF(F4&lt;B2,"已过期",96010014)</f>
        <v>96010014</v>
      </c>
      <c r="F4" s="3023">
        <v>47118</v>
      </c>
    </row>
    <row r="5" spans="1:6" ht="20.25" customHeight="1">
      <c r="A5" s="2335" t="s">
        <v>1914</v>
      </c>
      <c r="B5" s="2335" t="str">
        <f ca="1">IF(C5&lt;B2,"已过期",1119970074)</f>
        <v>已过期</v>
      </c>
      <c r="C5" s="3022">
        <v>43849</v>
      </c>
      <c r="D5" s="2335" t="s">
        <v>1914</v>
      </c>
      <c r="E5" s="2335">
        <f ca="1">IF(F5&lt;B2,"已过期",2002110027)</f>
        <v>2002110027</v>
      </c>
      <c r="F5" s="3023">
        <v>46752</v>
      </c>
    </row>
    <row r="6" spans="1:6" ht="20.25" customHeight="1">
      <c r="A6" s="2335" t="s">
        <v>1915</v>
      </c>
      <c r="B6" s="2335" t="str">
        <f ca="1">IF(C6&lt;B2,"已过期",1119970111)</f>
        <v>已过期</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t="str">
        <f ca="1">IF(C8&lt;B2,"已过期",1120000080)</f>
        <v>已过期</v>
      </c>
      <c r="C8" s="3022">
        <v>43849</v>
      </c>
      <c r="D8" s="2335" t="s">
        <v>1917</v>
      </c>
      <c r="E8" s="2335">
        <f ca="1">IF(F8&lt;B2,"已过期",2000110082)</f>
        <v>2000110082</v>
      </c>
      <c r="F8" s="3023">
        <v>46387</v>
      </c>
    </row>
    <row r="9" spans="1:6" ht="20.25" customHeight="1">
      <c r="A9" s="2335" t="s">
        <v>1918</v>
      </c>
      <c r="B9" s="2335" t="str">
        <f ca="1">IF(C9&lt;B2,"已过期",1419970001)</f>
        <v>已过期</v>
      </c>
      <c r="C9" s="3022">
        <v>43867</v>
      </c>
      <c r="D9" s="2335" t="s">
        <v>1918</v>
      </c>
      <c r="E9" s="2335">
        <f ca="1">IF(F9&lt;B2,"已过期",2002110125)</f>
        <v>2002110125</v>
      </c>
      <c r="F9" s="3023">
        <v>47118</v>
      </c>
    </row>
    <row r="10" spans="1:6" ht="20.25" customHeight="1">
      <c r="A10" s="2335" t="s">
        <v>1919</v>
      </c>
      <c r="B10" s="2335" t="str">
        <f ca="1">IF(C10&lt;B2,"已过期",1120060040)</f>
        <v>已过期</v>
      </c>
      <c r="C10" s="3022">
        <v>43483</v>
      </c>
      <c r="D10" s="2335" t="s">
        <v>1919</v>
      </c>
      <c r="E10" s="2335">
        <f ca="1">IF(F10&lt;B2,"已过期",2004110096)</f>
        <v>2004110096</v>
      </c>
      <c r="F10" s="3023">
        <v>47118</v>
      </c>
    </row>
    <row r="11" spans="1:6" ht="20.25" customHeight="1">
      <c r="A11" s="2335" t="s">
        <v>1920</v>
      </c>
      <c r="B11" s="2335" t="str">
        <f ca="1">IF(C11&lt;B2,"已过期",1120100036)</f>
        <v>已过期</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t="str">
        <f ca="1">IF(C13&lt;B2,"已过期",1120070131)</f>
        <v>已过期</v>
      </c>
      <c r="C13" s="3022">
        <v>43814</v>
      </c>
      <c r="D13" s="2335" t="s">
        <v>1921</v>
      </c>
      <c r="E13" s="2335">
        <v>2014110011</v>
      </c>
      <c r="F13" s="3023">
        <v>49302</v>
      </c>
    </row>
    <row r="14" spans="1:6" ht="20.25" customHeight="1">
      <c r="A14" s="2335" t="s">
        <v>1922</v>
      </c>
      <c r="B14" s="2335" t="str">
        <f ca="1">IF(C14&lt;B2,"已过期",1120130020)</f>
        <v>已过期</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t="str">
        <f ca="1">IF(C23&lt;B2,"已过期",1120130048)</f>
        <v>已过期</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14" t="s">
        <v>1927</v>
      </c>
      <c r="B25" s="3614"/>
      <c r="C25" s="3614"/>
      <c r="D25" s="3614"/>
      <c r="E25" s="3614"/>
      <c r="F25" s="3614"/>
      <c r="G25" s="3614"/>
    </row>
    <row r="26" spans="1:7" ht="20.25" customHeight="1">
      <c r="A26" s="3615" t="s">
        <v>1928</v>
      </c>
      <c r="B26" s="3615"/>
      <c r="C26" s="3615"/>
      <c r="D26" s="3615" t="s">
        <v>1929</v>
      </c>
      <c r="E26" s="3615"/>
      <c r="F26" s="3615"/>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2018-06-20T08:17:08Z</cp:lastPrinted>
  <dcterms:created xsi:type="dcterms:W3CDTF">2015-07-13T07:17:23Z</dcterms:created>
  <dcterms:modified xsi:type="dcterms:W3CDTF">2020-04-07T01:27:50Z</dcterms:modified>
</cp:coreProperties>
</file>