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1400" tabRatio="875" firstSheet="18"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 name="Sheet1" sheetId="77" r:id="rId49"/>
  </sheets>
  <externalReferences>
    <externalReference r:id="rId50"/>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I47" i="33" l="1"/>
  <c r="G47" i="33"/>
  <c r="E47" i="33"/>
  <c r="I48" i="34"/>
  <c r="G48" i="34"/>
  <c r="E48" i="34"/>
  <c r="B130" i="33"/>
  <c r="F46" i="33"/>
  <c r="AA46" i="33"/>
  <c r="R47" i="33"/>
  <c r="R48" i="33"/>
  <c r="H46" i="33"/>
  <c r="AB46" i="33"/>
  <c r="T47" i="33"/>
  <c r="T48" i="33"/>
  <c r="J46" i="33"/>
  <c r="AC46" i="33"/>
  <c r="V47" i="33"/>
  <c r="V48" i="33"/>
  <c r="R49" i="33"/>
  <c r="C49" i="33"/>
  <c r="B3" i="33"/>
  <c r="R24" i="31"/>
  <c r="R28" i="31"/>
  <c r="S28" i="31"/>
  <c r="C10" i="12"/>
  <c r="S24" i="31"/>
  <c r="R25" i="31"/>
  <c r="S25" i="31"/>
  <c r="R26" i="31"/>
  <c r="S26" i="31"/>
  <c r="R27" i="31"/>
  <c r="S27"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D10" i="12"/>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9" i="1"/>
  <c r="F41" i="15"/>
  <c r="C40" i="15"/>
  <c r="F10" i="12"/>
  <c r="R48" i="34"/>
  <c r="B131" i="34"/>
  <c r="F47" i="34"/>
  <c r="AA47" i="34"/>
  <c r="R49" i="34"/>
  <c r="T48" i="34"/>
  <c r="H47" i="34"/>
  <c r="AB47" i="34"/>
  <c r="T49" i="34"/>
  <c r="V48" i="34"/>
  <c r="J47" i="34"/>
  <c r="AC47" i="34"/>
  <c r="V49" i="34"/>
  <c r="R50" i="34"/>
  <c r="C50" i="34"/>
  <c r="B3" i="34"/>
  <c r="B2" i="34"/>
  <c r="E10" i="12"/>
  <c r="C6" i="12"/>
  <c r="E8" i="12"/>
  <c r="G7" i="39"/>
  <c r="E5" i="33"/>
  <c r="D83" i="39"/>
  <c r="E83" i="39"/>
  <c r="F83" i="39"/>
  <c r="G83" i="39"/>
  <c r="H13" i="39"/>
  <c r="AB13"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H9" i="39"/>
  <c r="AB9" i="39"/>
  <c r="F9" i="39"/>
  <c r="AA9" i="39"/>
  <c r="C1" i="65"/>
  <c r="N1" i="65"/>
  <c r="H1" i="65"/>
  <c r="C42" i="1"/>
  <c r="C28" i="15"/>
  <c r="G19" i="4"/>
  <c r="F9" i="1"/>
  <c r="J51" i="15"/>
  <c r="C7" i="33"/>
  <c r="C58" i="33"/>
  <c r="D58" i="33"/>
  <c r="E58" i="33"/>
  <c r="F58" i="33"/>
  <c r="G58" i="33"/>
  <c r="H58" i="33"/>
  <c r="I58" i="33"/>
  <c r="J58" i="33"/>
  <c r="K58" i="33"/>
  <c r="L58" i="33"/>
  <c r="M58" i="33"/>
  <c r="N58" i="33"/>
  <c r="O58" i="33"/>
  <c r="F7" i="33"/>
  <c r="AA7" i="33"/>
  <c r="D77" i="33"/>
  <c r="F15" i="33"/>
  <c r="AA15" i="33"/>
  <c r="H7" i="33"/>
  <c r="AB7" i="33"/>
  <c r="E77" i="33"/>
  <c r="H15" i="33"/>
  <c r="AB15" i="33"/>
  <c r="H32" i="33"/>
  <c r="AB32" i="33"/>
  <c r="J7" i="33"/>
  <c r="AC7" i="33"/>
  <c r="J15" i="33"/>
  <c r="AC15" i="33"/>
  <c r="C7" i="34"/>
  <c r="C59" i="34"/>
  <c r="D59" i="34"/>
  <c r="E59" i="34"/>
  <c r="F59" i="34"/>
  <c r="G59" i="34"/>
  <c r="H59" i="34"/>
  <c r="I59" i="34"/>
  <c r="J59" i="34"/>
  <c r="K59" i="34"/>
  <c r="L59" i="34"/>
  <c r="M59" i="34"/>
  <c r="N59" i="34"/>
  <c r="O59" i="34"/>
  <c r="F7" i="34"/>
  <c r="AA7" i="34"/>
  <c r="H7" i="34"/>
  <c r="AB7" i="34"/>
  <c r="J7" i="34"/>
  <c r="AC7" i="34"/>
  <c r="M7" i="1"/>
  <c r="O7" i="1"/>
  <c r="P7" i="1"/>
  <c r="P16" i="1"/>
  <c r="C13" i="12"/>
  <c r="C14" i="12"/>
  <c r="C15" i="12"/>
  <c r="D16" i="12"/>
  <c r="C16" i="12"/>
  <c r="C17" i="12"/>
  <c r="C18" i="12"/>
  <c r="D19" i="12"/>
  <c r="C19" i="12"/>
  <c r="D21" i="12"/>
  <c r="C21" i="12"/>
  <c r="D22" i="12"/>
  <c r="C22" i="12"/>
  <c r="B29" i="1"/>
  <c r="C20" i="12"/>
  <c r="C23" i="12"/>
  <c r="C24" i="12"/>
  <c r="F26" i="12"/>
  <c r="C28" i="12"/>
  <c r="C26" i="12"/>
  <c r="C29" i="12"/>
  <c r="C31" i="12"/>
  <c r="C30" i="12"/>
  <c r="Q16" i="1"/>
  <c r="F33" i="12"/>
  <c r="C35" i="12"/>
  <c r="C33" i="12"/>
  <c r="C25" i="12"/>
  <c r="C27" i="12"/>
  <c r="D26" i="12"/>
  <c r="C32" i="12"/>
  <c r="D30" i="12"/>
  <c r="C34" i="12"/>
  <c r="D33" i="12"/>
  <c r="C36" i="12"/>
  <c r="B2" i="12"/>
  <c r="D19" i="9"/>
  <c r="T24" i="31"/>
  <c r="V24" i="31"/>
  <c r="D8" i="12"/>
  <c r="U24" i="31"/>
  <c r="M57" i="76"/>
  <c r="L56" i="76"/>
  <c r="L54" i="76"/>
  <c r="L53" i="76"/>
  <c r="L52" i="76"/>
  <c r="K52" i="76"/>
  <c r="I40" i="39"/>
  <c r="E40" i="39"/>
  <c r="I9" i="39"/>
  <c r="E9" i="39"/>
  <c r="I7" i="39"/>
  <c r="E7" i="39"/>
  <c r="R48" i="76"/>
  <c r="I7" i="6"/>
  <c r="Q48" i="76"/>
  <c r="P48" i="76"/>
  <c r="O48" i="76"/>
  <c r="N48" i="76"/>
  <c r="M48" i="76"/>
  <c r="G35" i="9"/>
  <c r="E37" i="9"/>
  <c r="C37" i="9"/>
  <c r="B37" i="9"/>
  <c r="AL15" i="3"/>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B19" i="73"/>
  <c r="C19" i="73"/>
  <c r="B18" i="73"/>
  <c r="B17" i="73"/>
  <c r="B20" i="73"/>
  <c r="I1" i="73"/>
  <c r="I4" i="73"/>
  <c r="F22" i="73"/>
  <c r="K4" i="73"/>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C40" i="39"/>
  <c r="L18" i="69"/>
  <c r="L19" i="69"/>
  <c r="L20" i="69"/>
  <c r="L21" i="69"/>
  <c r="L22" i="69"/>
  <c r="L23" i="69"/>
  <c r="L24" i="69"/>
  <c r="L25" i="69"/>
  <c r="L26" i="69"/>
  <c r="L27" i="69"/>
  <c r="L28" i="69"/>
  <c r="L17" i="69"/>
  <c r="L3" i="69"/>
  <c r="F28" i="69"/>
  <c r="F27" i="69"/>
  <c r="F26" i="69"/>
  <c r="F25" i="69"/>
  <c r="F24" i="69"/>
  <c r="F23" i="69"/>
  <c r="F22" i="69"/>
  <c r="F21" i="69"/>
  <c r="F20" i="69"/>
  <c r="F19" i="69"/>
  <c r="F18" i="69"/>
  <c r="F17" i="69"/>
  <c r="L6" i="69"/>
  <c r="L4" i="69"/>
  <c r="L5" i="69"/>
  <c r="L7" i="69"/>
  <c r="L8" i="69"/>
  <c r="L9" i="69"/>
  <c r="L10" i="69"/>
  <c r="L11" i="69"/>
  <c r="F11" i="69"/>
  <c r="F10" i="69"/>
  <c r="F9" i="69"/>
  <c r="F8" i="69"/>
  <c r="F7" i="69"/>
  <c r="F6" i="69"/>
  <c r="F5" i="69"/>
  <c r="F4" i="69"/>
  <c r="F3" i="69"/>
  <c r="B22" i="7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N7" i="65"/>
  <c r="B76" i="63"/>
  <c r="N6" i="65"/>
  <c r="N3" i="65"/>
  <c r="N5" i="65"/>
  <c r="J5" i="65"/>
  <c r="I3" i="65"/>
  <c r="I7"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M20" i="46"/>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F41" i="21"/>
  <c r="S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29" i="34"/>
  <c r="B127" i="34"/>
  <c r="B99" i="34"/>
  <c r="B97" i="34"/>
  <c r="H31" i="34"/>
  <c r="B95" i="34"/>
  <c r="B93" i="34"/>
  <c r="B75" i="34"/>
  <c r="B73" i="34"/>
  <c r="J13" i="34"/>
  <c r="W13" i="34"/>
  <c r="B71" i="34"/>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Q11" i="33"/>
  <c r="Z11" i="33"/>
  <c r="Q10" i="33"/>
  <c r="Z10" i="33"/>
  <c r="Q9" i="33"/>
  <c r="Z9" i="33"/>
  <c r="J9" i="33"/>
  <c r="AC9" i="33"/>
  <c r="H9" i="33"/>
  <c r="AB9" i="33"/>
  <c r="F9" i="33"/>
  <c r="AA9" i="33"/>
  <c r="J8" i="33"/>
  <c r="W8" i="33"/>
  <c r="H8" i="33"/>
  <c r="F8" i="33"/>
  <c r="S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H13" i="34"/>
  <c r="U13" i="34"/>
  <c r="F13" i="34"/>
  <c r="AA13" i="34"/>
  <c r="F29" i="34"/>
  <c r="S29" i="34"/>
  <c r="J31" i="34"/>
  <c r="F31" i="34"/>
  <c r="S31" i="34"/>
  <c r="J45" i="34"/>
  <c r="W45" i="34"/>
  <c r="U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J51" i="71"/>
  <c r="J51" i="72"/>
  <c r="U32" i="33"/>
  <c r="W33" i="33"/>
  <c r="AB43" i="33"/>
  <c r="AC36" i="33"/>
  <c r="S32" i="33"/>
  <c r="W32" i="33"/>
  <c r="AC28"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48" i="35"/>
  <c r="D48" i="35"/>
  <c r="C52" i="37"/>
  <c r="D52" i="37"/>
  <c r="C67" i="40"/>
  <c r="D65" i="40"/>
  <c r="P24" i="46"/>
  <c r="B68" i="40"/>
  <c r="P23" i="46"/>
  <c r="P21" i="46"/>
  <c r="P22" i="46"/>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L48" i="68"/>
  <c r="L49" i="44"/>
  <c r="F43" i="68"/>
  <c r="M8" i="44"/>
  <c r="F45" i="44"/>
  <c r="F7" i="68"/>
  <c r="M24" i="44"/>
  <c r="M22" i="15"/>
  <c r="F10" i="44"/>
  <c r="M10" i="44"/>
  <c r="F7" i="71"/>
  <c r="M11" i="44"/>
  <c r="M30" i="44"/>
  <c r="M26" i="44"/>
  <c r="F40" i="44"/>
  <c r="F9" i="44"/>
  <c r="F38" i="44"/>
  <c r="F43" i="71"/>
  <c r="F15" i="44"/>
  <c r="F28" i="44"/>
  <c r="M9" i="15"/>
  <c r="F39" i="44"/>
  <c r="M6" i="15"/>
  <c r="L48" i="71"/>
  <c r="J17" i="44"/>
  <c r="M25" i="44"/>
  <c r="L48" i="72"/>
  <c r="M31" i="44"/>
  <c r="M23"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6" i="44"/>
  <c r="C26" i="44"/>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E48" i="35"/>
  <c r="F48" i="35"/>
  <c r="G48" i="35"/>
  <c r="H48" i="35"/>
  <c r="I48" i="35"/>
  <c r="J48" i="35"/>
  <c r="K48" i="35"/>
  <c r="L48" i="35"/>
  <c r="M48" i="35"/>
  <c r="N48" i="35"/>
  <c r="O48" i="35"/>
  <c r="E46" i="36"/>
  <c r="F46" i="36"/>
  <c r="G46" i="36"/>
  <c r="H46" i="36"/>
  <c r="I46" i="36"/>
  <c r="J46" i="36"/>
  <c r="K46" i="36"/>
  <c r="L46" i="36"/>
  <c r="M46" i="36"/>
  <c r="N46" i="36"/>
  <c r="O46" i="36"/>
  <c r="W7" i="33"/>
  <c r="I48" i="33"/>
  <c r="I52" i="33"/>
  <c r="J52" i="33"/>
  <c r="U7" i="33"/>
  <c r="G48" i="33"/>
  <c r="D67" i="40"/>
  <c r="E65" i="40"/>
  <c r="S7" i="33"/>
  <c r="C39" i="46"/>
  <c r="G39" i="46"/>
  <c r="I39" i="46"/>
  <c r="C37" i="46"/>
  <c r="G37" i="46"/>
  <c r="I37" i="46"/>
  <c r="F18" i="11"/>
  <c r="E4" i="4"/>
  <c r="C4" i="4"/>
  <c r="F64" i="15"/>
  <c r="F50" i="15"/>
  <c r="F67" i="15"/>
  <c r="F70" i="15"/>
  <c r="G66" i="36"/>
  <c r="J18" i="36"/>
  <c r="AE8" i="1"/>
  <c r="M17" i="71"/>
  <c r="M19" i="44"/>
  <c r="F33" i="44"/>
  <c r="F31" i="15"/>
  <c r="F31" i="71"/>
  <c r="F31" i="72"/>
  <c r="J36" i="71"/>
  <c r="F26" i="71"/>
  <c r="F16" i="71"/>
  <c r="M26" i="71"/>
  <c r="F38" i="72"/>
  <c r="F43" i="72"/>
  <c r="F37" i="72"/>
  <c r="L47" i="72"/>
  <c r="M22" i="71"/>
  <c r="M29" i="72"/>
  <c r="F13" i="72"/>
  <c r="F6" i="71"/>
  <c r="F42" i="72"/>
  <c r="J36" i="15"/>
  <c r="M17" i="68"/>
  <c r="C16" i="68"/>
  <c r="M26" i="72"/>
  <c r="F37" i="71"/>
  <c r="F8" i="71"/>
  <c r="J15" i="72"/>
  <c r="M6" i="71"/>
  <c r="M27" i="72"/>
  <c r="F9" i="71"/>
  <c r="M28" i="71"/>
  <c r="M26" i="15"/>
  <c r="F7" i="72"/>
  <c r="F16" i="72"/>
  <c r="M24" i="72"/>
  <c r="M23" i="72"/>
  <c r="M28" i="15"/>
  <c r="F36" i="71"/>
  <c r="M24" i="71"/>
  <c r="L47" i="15"/>
  <c r="M8" i="72"/>
  <c r="J15" i="15"/>
  <c r="F40" i="71"/>
  <c r="M23" i="71"/>
  <c r="M29" i="15"/>
  <c r="F8" i="72"/>
  <c r="M6" i="72"/>
  <c r="F40" i="72"/>
  <c r="F9" i="72"/>
  <c r="M22" i="72"/>
  <c r="M9" i="71"/>
  <c r="F38" i="71"/>
  <c r="J36" i="72"/>
  <c r="M8" i="71"/>
  <c r="F13" i="71"/>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C24" i="72"/>
  <c r="E27" i="6"/>
  <c r="K26" i="6"/>
  <c r="M26" i="6"/>
  <c r="I26" i="6"/>
  <c r="S26" i="6"/>
  <c r="F107" i="46"/>
  <c r="K105" i="46"/>
  <c r="C105" i="46"/>
  <c r="K104" i="46"/>
  <c r="J109" i="46"/>
  <c r="J105" i="46"/>
  <c r="F30" i="6"/>
  <c r="F31" i="6"/>
  <c r="H7" i="36"/>
  <c r="AB7" i="36"/>
  <c r="T36" i="36"/>
  <c r="G36" i="36"/>
  <c r="G40" i="36"/>
  <c r="H40" i="36"/>
  <c r="J7" i="35"/>
  <c r="AC7" i="35"/>
  <c r="V38" i="35"/>
  <c r="I38" i="35"/>
  <c r="I42" i="35"/>
  <c r="J42" i="35"/>
  <c r="F65" i="15"/>
  <c r="J57" i="15"/>
  <c r="J55" i="15"/>
  <c r="J58" i="15"/>
  <c r="Q51" i="15"/>
  <c r="L56" i="15"/>
  <c r="I54" i="15"/>
  <c r="F63" i="15"/>
  <c r="Q72" i="15"/>
  <c r="L58" i="15"/>
  <c r="Q74" i="15"/>
  <c r="L59" i="15"/>
  <c r="Q75" i="15"/>
  <c r="F49" i="15"/>
  <c r="C48" i="15"/>
  <c r="M7" i="15"/>
  <c r="J6" i="68"/>
  <c r="J5" i="68"/>
  <c r="J7" i="36"/>
  <c r="W7" i="36"/>
  <c r="F7" i="36"/>
  <c r="H7" i="35"/>
  <c r="AB7" i="35"/>
  <c r="T38" i="35"/>
  <c r="G38" i="35"/>
  <c r="G42" i="35"/>
  <c r="H42" i="35"/>
  <c r="F7" i="35"/>
  <c r="G49" i="34"/>
  <c r="G53" i="34"/>
  <c r="H53" i="34"/>
  <c r="I49" i="34"/>
  <c r="I53" i="34"/>
  <c r="J53" i="34"/>
  <c r="T15" i="46"/>
  <c r="V15" i="46"/>
  <c r="T11" i="46"/>
  <c r="V11" i="46"/>
  <c r="T14" i="46"/>
  <c r="V14" i="46"/>
  <c r="T10" i="46"/>
  <c r="V10" i="46"/>
  <c r="O6" i="1"/>
  <c r="P6" i="1"/>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AG6" i="1"/>
  <c r="AC6" i="3"/>
  <c r="D12" i="11"/>
  <c r="C12" i="11"/>
  <c r="E59" i="40"/>
  <c r="E29" i="6"/>
  <c r="L20" i="6"/>
  <c r="E58" i="40"/>
  <c r="E63" i="39"/>
  <c r="E16" i="6"/>
  <c r="AZ5" i="3"/>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39" i="46"/>
  <c r="E46" i="37"/>
  <c r="F46" i="37"/>
  <c r="C48" i="33"/>
  <c r="M17" i="72"/>
  <c r="F58" i="71"/>
  <c r="F58" i="15"/>
  <c r="M17" i="15"/>
  <c r="F58" i="72"/>
  <c r="AE10" i="1"/>
  <c r="AE7" i="1"/>
  <c r="M27" i="15"/>
  <c r="M27" i="7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W7" i="34"/>
  <c r="S7" i="34"/>
  <c r="M24" i="6"/>
  <c r="I24" i="6"/>
  <c r="S24" i="6"/>
  <c r="S11" i="1"/>
  <c r="E31" i="6"/>
  <c r="K21" i="6"/>
  <c r="M21" i="6"/>
  <c r="I21" i="6"/>
  <c r="S21" i="6"/>
  <c r="K23" i="6"/>
  <c r="M23" i="6"/>
  <c r="I23" i="6"/>
  <c r="S23" i="6"/>
  <c r="K22" i="6"/>
  <c r="M22" i="6"/>
  <c r="I22" i="6"/>
  <c r="S22" i="6"/>
  <c r="C38" i="71"/>
  <c r="J24" i="71"/>
  <c r="J26" i="71"/>
  <c r="J18" i="71"/>
  <c r="C59" i="71"/>
  <c r="C65" i="71"/>
  <c r="Q53" i="15"/>
  <c r="S10" i="1"/>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E6" i="3"/>
  <c r="Q69" i="44"/>
  <c r="L58" i="44"/>
  <c r="L61" i="44"/>
  <c r="D113" i="46"/>
  <c r="J22" i="46"/>
  <c r="E41" i="36"/>
  <c r="F41" i="36"/>
  <c r="I47" i="37"/>
  <c r="J47" i="37"/>
  <c r="E53" i="33"/>
  <c r="F53" i="33"/>
  <c r="I53" i="33"/>
  <c r="J53" i="33"/>
  <c r="L27" i="6"/>
  <c r="E38" i="35"/>
  <c r="I43" i="35"/>
  <c r="J43" i="35"/>
  <c r="R37" i="36"/>
  <c r="C26" i="43"/>
  <c r="D24" i="43"/>
  <c r="M14" i="1"/>
  <c r="K16" i="1"/>
  <c r="M20" i="6"/>
  <c r="I20" i="6"/>
  <c r="S20" i="6"/>
  <c r="S7" i="1"/>
  <c r="M19" i="6"/>
  <c r="S6" i="1"/>
  <c r="E3" i="6"/>
  <c r="AY6" i="3"/>
  <c r="R43" i="37"/>
  <c r="E49" i="34"/>
  <c r="C39" i="35"/>
  <c r="B3" i="35"/>
  <c r="B2" i="35"/>
  <c r="AC7" i="21"/>
  <c r="V48" i="21"/>
  <c r="I48" i="21"/>
  <c r="W7" i="21"/>
  <c r="U7" i="21"/>
  <c r="AB7" i="21"/>
  <c r="T48" i="21"/>
  <c r="G48" i="21"/>
  <c r="S7" i="21"/>
  <c r="AA7" i="21"/>
  <c r="R48" i="21"/>
  <c r="F67" i="40"/>
  <c r="G65" i="40"/>
  <c r="J20" i="44"/>
  <c r="J26" i="44"/>
  <c r="F41" i="68"/>
  <c r="F41" i="72"/>
  <c r="C14" i="68"/>
  <c r="F41" i="71"/>
  <c r="F46" i="44"/>
  <c r="C17" i="68"/>
  <c r="C17" i="71"/>
  <c r="C30" i="46"/>
  <c r="E30" i="46"/>
  <c r="F68" i="72"/>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R27" i="74"/>
  <c r="S27" i="74"/>
  <c r="S24" i="74"/>
  <c r="R29" i="74"/>
  <c r="R28" i="74"/>
  <c r="R25" i="74"/>
  <c r="S25" i="74"/>
  <c r="R26" i="74"/>
  <c r="S26" i="74"/>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B14" i="66"/>
  <c r="B1" i="66"/>
  <c r="O14" i="1"/>
  <c r="M16" i="1"/>
  <c r="C43" i="37"/>
  <c r="B3" i="37"/>
  <c r="B2" i="37"/>
  <c r="C42" i="37"/>
  <c r="C49" i="34"/>
  <c r="E54" i="34"/>
  <c r="F54" i="34"/>
  <c r="I54" i="34"/>
  <c r="J54" i="34"/>
  <c r="E53" i="34"/>
  <c r="F53" i="34"/>
  <c r="I52" i="21"/>
  <c r="J52" i="21"/>
  <c r="E48" i="21"/>
  <c r="R49" i="21"/>
  <c r="G52" i="21"/>
  <c r="H52" i="21"/>
  <c r="G53" i="21"/>
  <c r="H53" i="21"/>
  <c r="G67" i="40"/>
  <c r="H65" i="40"/>
  <c r="C19" i="44"/>
  <c r="F7" i="67"/>
  <c r="C17" i="72"/>
  <c r="C27" i="46"/>
  <c r="C8" i="12"/>
  <c r="S16" i="1"/>
  <c r="T13" i="1"/>
  <c r="C13" i="39"/>
  <c r="E4" i="67"/>
  <c r="C26" i="46"/>
  <c r="S28" i="74"/>
  <c r="S29" i="74"/>
  <c r="C19" i="68"/>
  <c r="C20" i="68"/>
  <c r="C26" i="68"/>
  <c r="E68" i="39"/>
  <c r="E63" i="40"/>
  <c r="O16" i="1"/>
  <c r="P14" i="1"/>
  <c r="C13" i="43"/>
  <c r="L16" i="1"/>
  <c r="N16" i="1"/>
  <c r="C29" i="43"/>
  <c r="D13" i="11"/>
  <c r="C13" i="11"/>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65" i="40"/>
  <c r="H67" i="40"/>
  <c r="C14" i="71"/>
  <c r="E7" i="67"/>
  <c r="T11" i="1"/>
  <c r="T12" i="1"/>
  <c r="T9" i="1"/>
  <c r="T7" i="1"/>
  <c r="T8" i="1"/>
  <c r="T6" i="1"/>
  <c r="T10" i="1"/>
  <c r="C11" i="11"/>
  <c r="C10" i="11"/>
  <c r="F13" i="39"/>
  <c r="J13" i="39"/>
  <c r="E3" i="67"/>
  <c r="B2" i="46"/>
  <c r="B20" i="31"/>
  <c r="R22" i="31"/>
  <c r="S22" i="74"/>
  <c r="B2" i="21"/>
  <c r="C18" i="71"/>
  <c r="C15" i="71"/>
  <c r="C23" i="68"/>
  <c r="C29" i="68"/>
  <c r="C57" i="68"/>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C47" i="15"/>
  <c r="M21" i="15"/>
  <c r="B7" i="67"/>
  <c r="C14" i="72"/>
  <c r="C16" i="44"/>
  <c r="F35" i="68"/>
  <c r="M21" i="72"/>
  <c r="M21" i="68"/>
  <c r="F37" i="44"/>
  <c r="M21" i="71"/>
  <c r="F35" i="71"/>
  <c r="M23" i="44"/>
  <c r="F35" i="72"/>
  <c r="T16" i="1"/>
  <c r="C15" i="72"/>
  <c r="C18" i="72"/>
  <c r="C17" i="44"/>
  <c r="C20" i="44"/>
  <c r="C17" i="11"/>
  <c r="C18" i="11"/>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F62" i="15"/>
  <c r="C61" i="15"/>
  <c r="J22" i="44"/>
  <c r="R16" i="1"/>
  <c r="D31" i="6"/>
  <c r="I6" i="6"/>
  <c r="R27" i="6"/>
  <c r="C18" i="43"/>
  <c r="K65" i="40"/>
  <c r="J67" i="40"/>
  <c r="C65" i="15"/>
  <c r="C59"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19" i="43"/>
  <c r="C22" i="43"/>
  <c r="C21" i="43"/>
  <c r="K67" i="40"/>
  <c r="L65" i="40"/>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M65" i="40"/>
  <c r="L67" i="40"/>
  <c r="L51" i="68"/>
  <c r="Q50" i="15"/>
  <c r="J14" i="15"/>
  <c r="J22"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65" i="40"/>
  <c r="N67" i="40"/>
  <c r="M67" i="40"/>
  <c r="C60" i="15"/>
  <c r="J16" i="15"/>
  <c r="J25" i="15"/>
  <c r="J26" i="15"/>
  <c r="J29" i="15"/>
  <c r="C55" i="15"/>
  <c r="C64" i="15"/>
  <c r="Q71"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Q70" i="15"/>
  <c r="C58" i="15"/>
  <c r="Q70" i="44"/>
  <c r="Q49" i="44"/>
  <c r="Q55" i="44"/>
  <c r="Q58" i="44"/>
  <c r="Q64" i="44"/>
  <c r="B3" i="43"/>
  <c r="B5" i="43"/>
  <c r="B4" i="43"/>
  <c r="J9" i="40"/>
  <c r="F9" i="40"/>
  <c r="H9" i="40"/>
  <c r="J9" i="39"/>
  <c r="L51" i="71"/>
  <c r="C57" i="15"/>
  <c r="C66" i="15"/>
  <c r="C67" i="15"/>
  <c r="C70" i="15"/>
  <c r="Q69" i="15"/>
  <c r="Q68" i="71"/>
  <c r="J13" i="72"/>
  <c r="J23" i="72"/>
  <c r="J22" i="72"/>
  <c r="C63" i="72"/>
  <c r="C60" i="72"/>
  <c r="C58" i="72"/>
  <c r="Q71" i="72"/>
  <c r="C37" i="72"/>
  <c r="C30" i="72"/>
  <c r="C39" i="72"/>
  <c r="C55" i="72"/>
  <c r="C64" i="72"/>
  <c r="J35" i="72"/>
  <c r="C46" i="71"/>
  <c r="J39" i="15"/>
  <c r="J40" i="15"/>
  <c r="B5" i="44"/>
  <c r="B3" i="44"/>
  <c r="S9" i="39"/>
  <c r="W9" i="39"/>
  <c r="AC9" i="39"/>
  <c r="AA9" i="40"/>
  <c r="R44" i="40"/>
  <c r="S9" i="40"/>
  <c r="U9" i="39"/>
  <c r="AB9" i="40"/>
  <c r="T44" i="40"/>
  <c r="G44" i="40"/>
  <c r="U9" i="40"/>
  <c r="AC9" i="40"/>
  <c r="V44" i="40"/>
  <c r="I44" i="40"/>
  <c r="W9" i="40"/>
  <c r="L51" i="15"/>
  <c r="L51" i="72"/>
  <c r="Q48" i="15"/>
  <c r="Q54" i="15"/>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C70" i="72"/>
  <c r="C46" i="72"/>
  <c r="Q66" i="72"/>
  <c r="Q76" i="72"/>
  <c r="B2" i="72"/>
  <c r="B3" i="72"/>
  <c r="C43" i="72"/>
  <c r="Q48" i="72"/>
  <c r="Q54" i="72"/>
  <c r="Q57" i="72"/>
  <c r="Q63" i="72"/>
  <c r="J42" i="72"/>
  <c r="J43" i="72"/>
  <c r="L46" i="15"/>
  <c r="B2" i="15"/>
  <c r="Q76" i="15"/>
  <c r="Q58" i="15"/>
  <c r="Q63" i="15"/>
  <c r="E48" i="40"/>
  <c r="F48" i="40"/>
  <c r="E49" i="40"/>
  <c r="F49" i="40"/>
  <c r="C45" i="40"/>
  <c r="C44" i="40"/>
  <c r="I49" i="40"/>
  <c r="J49" i="40"/>
  <c r="B3" i="15"/>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L44" i="9"/>
  <c r="B5" i="12"/>
  <c r="B4" i="12"/>
  <c r="B3" i="12"/>
  <c r="D45" i="9"/>
  <c r="E45" i="9"/>
  <c r="O40" i="9"/>
  <c r="F45" i="9"/>
  <c r="D20" i="9"/>
  <c r="D21" i="9"/>
  <c r="K31" i="9"/>
  <c r="K32" i="9"/>
  <c r="R7" i="54"/>
  <c r="B52" i="63"/>
  <c r="N76" i="9"/>
  <c r="C46" i="9"/>
  <c r="K33" i="9"/>
  <c r="F46" i="9"/>
  <c r="I14" i="66"/>
  <c r="B8" i="66"/>
  <c r="D46" i="9"/>
  <c r="O41" i="9"/>
  <c r="R8" i="54"/>
  <c r="B54" i="63"/>
  <c r="E46" i="9"/>
  <c r="C8" i="66"/>
  <c r="D8" i="66"/>
  <c r="K34"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D14" i="66"/>
  <c r="B5" i="66"/>
  <c r="D5" i="66"/>
  <c r="C5" i="66"/>
  <c r="E98" i="9"/>
  <c r="E99" i="9"/>
  <c r="E114" i="9"/>
  <c r="E115" i="9"/>
  <c r="M83" i="9"/>
  <c r="N83" i="9"/>
  <c r="M84" i="9"/>
  <c r="N84" i="9"/>
  <c r="M85" i="9"/>
  <c r="N85" i="9"/>
  <c r="M86" i="9"/>
  <c r="N86" i="9"/>
  <c r="M87" i="9"/>
  <c r="N87" i="9"/>
  <c r="M88" i="9"/>
  <c r="N88" i="9"/>
  <c r="N89" i="9"/>
  <c r="O89" i="9"/>
  <c r="E14" i="66"/>
  <c r="F14" i="66"/>
  <c r="C82" i="9"/>
  <c r="C81" i="9"/>
  <c r="C85" i="9"/>
  <c r="C86" i="9"/>
  <c r="D72" i="9"/>
  <c r="D70" i="9"/>
  <c r="O38" i="9"/>
  <c r="K26" i="9"/>
  <c r="K25" i="9"/>
  <c r="C34" i="9"/>
  <c r="M38" i="9"/>
  <c r="K27" i="9"/>
  <c r="E42" i="9"/>
  <c r="P5" i="54"/>
  <c r="B46" i="63"/>
  <c r="C33" i="9"/>
  <c r="N38" i="9"/>
  <c r="K28" i="9"/>
  <c r="D42" i="9"/>
  <c r="Q5" i="54"/>
  <c r="B47" i="63"/>
  <c r="N68" i="9"/>
  <c r="R5" i="54"/>
  <c r="B48" i="63"/>
  <c r="O39" i="9"/>
  <c r="R6" i="54"/>
  <c r="B50" i="63"/>
  <c r="K29" i="9"/>
  <c r="K30" i="9"/>
  <c r="O43" i="9"/>
  <c r="C35" i="9"/>
  <c r="F42" i="9"/>
  <c r="F44" i="9"/>
  <c r="E44" i="9"/>
  <c r="D44" i="9"/>
  <c r="G14" i="66"/>
  <c r="B6" i="66"/>
  <c r="C6" i="66"/>
  <c r="D6" i="66"/>
  <c r="N43" i="9"/>
  <c r="G22" i="9"/>
  <c r="B4" i="39"/>
  <c r="C21" i="9"/>
  <c r="G21" i="9"/>
  <c r="B3" i="39"/>
  <c r="C20" i="9"/>
  <c r="G20" i="9"/>
  <c r="D22" i="9"/>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<sst xmlns="http://schemas.openxmlformats.org/spreadsheetml/2006/main" count="8999" uniqueCount="3616">
  <si>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</si>
  <si>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</si>
  <si>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</si>
  <si>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</si>
  <si>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</si>
  <si>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</si>
  <si>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</si>
  <si>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</si>
  <si>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</si>
  <si>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</si>
  <si>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</si>
  <si>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</si>
  <si>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</si>
  <si>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</si>
  <si>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</si>
  <si>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</si>
  <si>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</si>
  <si>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</si>
  <si>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</si>
  <si>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</si>
  <si>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</si>
  <si>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</si>
  <si>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</si>
  <si>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</si>
  <si>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</si>
  <si>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</si>
  <si>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</si>
  <si>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</si>
  <si>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</si>
  <si>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</si>
  <si>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</si>
  <si>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</si>
  <si>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</si>
  <si>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</si>
  <si>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</si>
  <si>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</si>
  <si>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</si>
  <si>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</si>
  <si>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</si>
  <si>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</si>
  <si>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</si>
  <si>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</si>
  <si>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</si>
  <si>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</si>
  <si>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</si>
  <si>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</si>
  <si>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</si>
  <si>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</si>
  <si>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</si>
  <si>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</si>
  <si>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</si>
  <si>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</si>
  <si>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</si>
  <si>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</si>
  <si>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</si>
  <si>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</si>
  <si>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</si>
  <si>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</si>
  <si>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</si>
  <si>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</si>
  <si>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</si>
  <si>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</si>
  <si>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</si>
  <si>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</si>
  <si>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</si>
  <si>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</si>
  <si>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</si>
  <si>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</si>
  <si>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</si>
  <si>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</si>
  <si>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</si>
  <si>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</si>
  <si>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</si>
  <si>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</si>
  <si>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</si>
  <si>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</si>
  <si>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</si>
  <si>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</si>
  <si>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</si>
  <si>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</si>
  <si>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</si>
  <si>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</si>
  <si>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</si>
  <si>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</si>
  <si>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</si>
  <si>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</si>
  <si>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</si>
  <si>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</si>
  <si>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</si>
  <si>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</si>
  <si>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</si>
  <si>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</si>
  <si>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</si>
  <si>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</si>
  <si>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</si>
  <si>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</si>
  <si>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</si>
  <si>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</si>
  <si>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</si>
  <si>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</si>
  <si>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</si>
  <si>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</si>
  <si>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</si>
  <si>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</si>
  <si>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</si>
  <si>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</si>
  <si>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</si>
  <si>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</si>
  <si>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</si>
  <si>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</si>
  <si>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</si>
  <si>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</si>
  <si>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</si>
  <si>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</si>
  <si>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</si>
  <si>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</si>
  <si>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</si>
  <si>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</si>
  <si>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</si>
  <si>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</si>
  <si>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</si>
  <si>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</si>
  <si>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</si>
  <si>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</si>
  <si>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</si>
  <si>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</si>
  <si>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</si>
  <si>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</si>
  <si>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</si>
  <si>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</si>
  <si>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</si>
  <si>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</si>
  <si>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</si>
  <si>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</si>
  <si>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</si>
  <si>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</si>
  <si>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</si>
  <si>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</si>
  <si>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</si>
  <si>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</si>
  <si>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</si>
  <si>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</si>
  <si>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</si>
  <si>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</si>
  <si>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</si>
  <si>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</si>
  <si>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</si>
  <si>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</si>
  <si>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</si>
  <si>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</si>
  <si>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</si>
  <si>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</si>
  <si>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</si>
  <si>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</si>
  <si>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</si>
  <si>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</si>
  <si>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</si>
  <si>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</si>
  <si>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</si>
  <si>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</si>
  <si>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</si>
  <si>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</si>
  <si>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</si>
  <si>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</si>
  <si>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</si>
  <si>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</si>
  <si>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</si>
  <si>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</si>
  <si>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</si>
  <si>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</si>
  <si>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</si>
  <si>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</si>
  <si>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</si>
  <si>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</si>
  <si>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</si>
  <si>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</si>
  <si>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</si>
  <si>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</si>
  <si>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</si>
  <si>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</si>
  <si>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</si>
  <si>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</si>
  <si>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</si>
  <si>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</si>
  <si>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</si>
  <si>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</si>
  <si>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</si>
  <si>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</si>
  <si>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</si>
  <si>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</si>
  <si>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</si>
  <si>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</si>
  <si>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</si>
  <si>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</si>
  <si>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</si>
  <si>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</si>
  <si>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</si>
  <si>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</si>
  <si>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</si>
  <si>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</si>
  <si>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</si>
  <si>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</si>
  <si>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</si>
  <si>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</si>
  <si>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</si>
  <si>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</si>
  <si>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</si>
  <si>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</si>
  <si>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</si>
  <si>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</si>
  <si>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</si>
  <si>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</si>
  <si>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</si>
  <si>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</si>
  <si>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</si>
  <si>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</si>
  <si>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</si>
  <si>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</si>
  <si>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</si>
  <si>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</si>
  <si>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</si>
  <si>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</si>
  <si>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</si>
  <si>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</si>
  <si>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</si>
  <si>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</si>
  <si>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</si>
  <si>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</si>
  <si>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</si>
  <si>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</si>
  <si>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</si>
  <si>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</si>
  <si>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</si>
  <si>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</si>
  <si>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</si>
  <si>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</si>
  <si>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</si>
  <si>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</si>
  <si>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</si>
  <si>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</si>
  <si>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</si>
  <si>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</si>
  <si>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</si>
  <si>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</si>
  <si>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</si>
  <si>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</si>
  <si>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</si>
  <si>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</si>
  <si>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</si>
  <si>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</si>
  <si>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</si>
  <si>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</si>
  <si>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</si>
  <si>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</si>
  <si>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</si>
  <si>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</si>
  <si>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</si>
  <si>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</si>
  <si>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</si>
  <si>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</si>
  <si>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</si>
  <si>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</si>
  <si>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</si>
  <si>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</si>
  <si>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</si>
  <si>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</si>
  <si>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</si>
  <si>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</si>
  <si>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</si>
  <si>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</si>
  <si>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</si>
  <si>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</si>
  <si>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</si>
  <si>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</si>
  <si>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</si>
  <si>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</si>
  <si>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</si>
  <si>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</si>
  <si>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</si>
  <si>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</si>
  <si>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</si>
  <si>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</si>
  <si>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</si>
  <si>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</si>
  <si>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</si>
  <si>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</si>
  <si>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</si>
  <si>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</si>
  <si>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</si>
  <si>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</si>
  <si>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</si>
  <si>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</si>
  <si>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</si>
  <si>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</si>
  <si>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</si>
  <si>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</si>
  <si>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</si>
  <si>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</si>
  <si>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</si>
  <si>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</si>
  <si>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</si>
  <si>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</si>
  <si>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</si>
  <si>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</si>
  <si>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</si>
  <si>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</si>
  <si>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</si>
  <si>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</si>
  <si>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</si>
  <si>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</si>
  <si>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</si>
  <si>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</si>
  <si>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</si>
  <si>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</si>
  <si>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</si>
  <si>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</si>
  <si>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</si>
  <si>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</si>
  <si>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</si>
  <si>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</si>
  <si>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</si>
  <si>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</si>
  <si>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</si>
  <si>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</si>
  <si>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</si>
  <si>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</si>
  <si>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</si>
  <si>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</si>
  <si>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</si>
  <si>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</si>
  <si>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</si>
  <si>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</si>
  <si>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</si>
  <si>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</si>
  <si>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</si>
  <si>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</si>
  <si>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</si>
  <si>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</si>
  <si>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</si>
  <si>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</si>
  <si>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</si>
  <si>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</si>
  <si>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</si>
  <si>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</si>
  <si>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</si>
  <si>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</si>
  <si>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</si>
  <si>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</si>
  <si>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</si>
  <si>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</si>
  <si>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</si>
  <si>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</si>
  <si>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</si>
  <si>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</si>
  <si>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</si>
  <si>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</si>
  <si>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</si>
  <si>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</si>
  <si>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</si>
  <si>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</si>
  <si>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</si>
  <si>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</si>
  <si>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</si>
  <si>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</si>
  <si>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</si>
  <si>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</si>
  <si>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</si>
  <si>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</si>
  <si>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</si>
  <si>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</si>
  <si>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</si>
  <si>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</si>
  <si>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</si>
  <si>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</si>
  <si>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</si>
  <si>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</si>
  <si>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</si>
  <si>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</si>
  <si>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</si>
  <si>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</si>
  <si>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</si>
  <si>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</si>
  <si>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</si>
  <si>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</si>
  <si>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</si>
  <si>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</si>
  <si>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</si>
  <si>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</si>
  <si>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</si>
  <si>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</si>
  <si>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</si>
  <si>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</si>
  <si>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</si>
  <si>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</si>
  <si>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</si>
  <si>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</si>
  <si>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</si>
  <si>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</si>
  <si>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</si>
  <si>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</si>
  <si>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</si>
  <si>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</si>
  <si>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</si>
  <si>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</si>
  <si>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</si>
  <si>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</si>
  <si>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</si>
  <si>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</si>
  <si>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</si>
  <si>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</si>
  <si>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</si>
  <si>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</si>
  <si>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</si>
  <si>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</si>
  <si>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</si>
  <si>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</si>
  <si>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</si>
  <si>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</si>
  <si>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</si>
  <si>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</si>
  <si>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</si>
  <si>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</si>
  <si>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</si>
  <si>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</si>
  <si>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</si>
  <si>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</si>
  <si>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</si>
  <si>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</si>
  <si>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</si>
  <si>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</si>
  <si>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</si>
  <si>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</si>
  <si>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</si>
  <si>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</si>
  <si>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</si>
  <si>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</si>
  <si>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</si>
  <si>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</si>
  <si>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</si>
  <si>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</si>
  <si>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</si>
  <si>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</si>
  <si>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</si>
  <si>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</si>
  <si>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</si>
  <si>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</si>
  <si>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</si>
  <si>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</si>
  <si>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</si>
  <si>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</si>
  <si>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</si>
  <si>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</si>
  <si>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</si>
  <si>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</si>
  <si>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</si>
  <si>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</si>
  <si>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</si>
  <si>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</si>
  <si>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</si>
  <si>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</si>
  <si>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</si>
  <si>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</si>
  <si>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</si>
  <si>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</si>
  <si>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</si>
  <si>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</si>
  <si>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</si>
  <si>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</si>
  <si>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</si>
  <si>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</si>
  <si>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</si>
  <si>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</si>
  <si>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</si>
  <si>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</si>
  <si>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</si>
  <si>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</si>
  <si>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</si>
  <si>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</si>
  <si>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</si>
  <si>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</si>
  <si>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</si>
  <si>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</si>
  <si>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</si>
  <si>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</si>
  <si>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</si>
  <si>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</si>
  <si>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</si>
  <si>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</si>
  <si>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</si>
  <si>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</si>
  <si>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</si>
  <si>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</si>
  <si>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</si>
  <si>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</si>
  <si>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</si>
  <si>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</si>
  <si>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</si>
  <si>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</si>
  <si>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</si>
  <si>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</si>
  <si>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</si>
  <si>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</si>
  <si>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</si>
  <si>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</si>
  <si>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</si>
  <si>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</si>
  <si>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</si>
  <si>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</si>
  <si>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</si>
  <si>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</si>
  <si>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</si>
  <si>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</si>
  <si>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</si>
  <si>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</si>
  <si>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</si>
  <si>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</si>
  <si>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</si>
  <si>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</si>
  <si>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</si>
  <si>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</si>
  <si>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</si>
  <si>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</si>
  <si>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</si>
  <si>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</si>
  <si>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</si>
  <si>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</si>
  <si>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</si>
  <si>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</si>
  <si>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</si>
  <si>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</si>
  <si>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</si>
  <si>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</si>
  <si>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</si>
  <si>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</si>
  <si>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</si>
  <si>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</si>
  <si>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</si>
  <si>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</si>
  <si>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</si>
  <si>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</si>
  <si>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</si>
  <si>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</si>
  <si>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</si>
  <si>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</si>
  <si>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</si>
  <si>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</si>
  <si>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</si>
  <si>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</si>
  <si>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</si>
  <si>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</si>
  <si>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</si>
  <si>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</si>
  <si>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</si>
  <si>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</si>
  <si>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</si>
  <si>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</si>
  <si>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</si>
  <si>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</si>
  <si>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</si>
  <si>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</si>
  <si>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</si>
  <si>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</si>
  <si>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</si>
  <si>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</si>
  <si>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</si>
  <si>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</si>
  <si>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</si>
  <si>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</si>
  <si>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</si>
  <si>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</si>
  <si>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</si>
  <si>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</si>
  <si>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</si>
  <si>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</si>
  <si>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</si>
  <si>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</si>
  <si>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</si>
  <si>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</si>
  <si>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</si>
  <si>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</si>
  <si>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</si>
  <si>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</si>
  <si>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</si>
  <si>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</si>
  <si>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</si>
  <si>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</si>
  <si>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</si>
  <si>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</si>
  <si>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</si>
  <si>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</si>
  <si>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</si>
  <si>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</si>
  <si>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</si>
  <si>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</si>
  <si>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</si>
  <si>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</si>
  <si>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</si>
  <si>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</si>
  <si>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</si>
  <si>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</si>
  <si>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</si>
  <si>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</si>
  <si>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</si>
  <si>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</si>
  <si>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</si>
  <si>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</si>
  <si>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</si>
  <si>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</si>
  <si>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</si>
  <si>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</si>
  <si>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</si>
  <si>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</si>
  <si>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</si>
  <si>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</si>
  <si>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</si>
  <si>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</si>
  <si>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</si>
  <si>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</si>
  <si>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</si>
  <si>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</si>
  <si>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</si>
  <si>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</si>
  <si>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</si>
  <si>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</si>
  <si>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</si>
  <si>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</si>
  <si>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</si>
  <si>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</si>
  <si>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</si>
  <si>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</si>
  <si>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</si>
  <si>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</si>
  <si>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</si>
  <si>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</si>
  <si>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</si>
  <si>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</si>
  <si>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</si>
  <si>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</si>
  <si>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</si>
  <si>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</si>
  <si>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</si>
  <si>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</si>
  <si>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</si>
  <si>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</si>
  <si>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</si>
  <si>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</si>
  <si>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</si>
  <si>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</si>
  <si>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</si>
  <si>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</si>
  <si>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</si>
  <si>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</si>
  <si>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</si>
  <si>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</si>
  <si>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</si>
  <si>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</si>
  <si>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</si>
  <si>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</si>
  <si>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</si>
  <si>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</si>
  <si>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</si>
  <si>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</si>
  <si>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</si>
  <si>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</si>
  <si>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</si>
  <si>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</si>
  <si>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</si>
  <si>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</si>
  <si>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</si>
  <si>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</si>
  <si>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</si>
  <si>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</si>
  <si>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</si>
  <si>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</si>
  <si>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</si>
  <si>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</si>
  <si>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</si>
  <si>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</si>
  <si>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</si>
  <si>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</si>
  <si>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</si>
  <si>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</si>
  <si>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</si>
  <si>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</si>
  <si>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</si>
  <si>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</si>
  <si>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</si>
  <si>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</si>
  <si>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</si>
  <si>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</si>
  <si>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</si>
  <si>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</si>
  <si>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</si>
  <si>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</si>
  <si>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</si>
  <si>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</si>
  <si>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</si>
  <si>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</si>
  <si>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</si>
  <si>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</si>
  <si>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</si>
  <si>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</si>
  <si>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</si>
  <si>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</si>
  <si>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</si>
  <si>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</si>
  <si>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</si>
  <si>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</si>
  <si>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</si>
  <si>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</si>
  <si>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</si>
  <si>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</si>
  <si>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</si>
  <si>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</si>
  <si>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</si>
  <si>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</si>
  <si>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</si>
  <si>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</si>
  <si>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</si>
  <si>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</si>
  <si>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</si>
  <si>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</si>
  <si>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</si>
  <si>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</si>
  <si>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</si>
  <si>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</si>
  <si>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</si>
  <si>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</si>
  <si>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</si>
  <si>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</si>
  <si>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</si>
  <si>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</si>
  <si>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</si>
  <si>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</si>
  <si>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</si>
  <si>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</si>
  <si>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</si>
  <si>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</si>
  <si>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</si>
  <si>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</si>
  <si>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</si>
  <si>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</si>
  <si>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</si>
  <si>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</si>
  <si>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</si>
  <si>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</si>
  <si>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</si>
  <si>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</si>
  <si>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</si>
  <si>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</si>
  <si>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</si>
  <si>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</si>
  <si>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</si>
  <si>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</si>
  <si>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</si>
  <si>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</si>
  <si>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</si>
  <si>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</si>
  <si>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</si>
  <si>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</si>
  <si>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</si>
  <si>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</si>
  <si>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</si>
  <si>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</si>
  <si>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</si>
  <si>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</si>
  <si>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</si>
  <si>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</si>
  <si>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</si>
  <si>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</si>
  <si>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</si>
  <si>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</si>
  <si>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</si>
  <si>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</si>
  <si>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</si>
  <si>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</si>
  <si>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</si>
  <si>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</si>
  <si>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</si>
  <si>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</si>
  <si>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</si>
  <si>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</si>
  <si>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</si>
  <si>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</si>
  <si>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</si>
  <si>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</si>
  <si>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</si>
  <si>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</si>
  <si>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</si>
  <si>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</si>
  <si>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</si>
  <si>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</si>
  <si>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</si>
  <si>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</si>
  <si>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</si>
  <si>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</si>
  <si>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</si>
  <si>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</si>
  <si>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</si>
  <si>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</si>
  <si>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</si>
  <si>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</si>
  <si>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</si>
  <si>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</si>
  <si>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</si>
  <si>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</si>
  <si>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</si>
  <si>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</si>
  <si>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</si>
  <si>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</si>
  <si>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</si>
  <si>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</si>
  <si>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</si>
  <si>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</si>
  <si>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</si>
  <si>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</si>
  <si>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</si>
  <si>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</si>
  <si>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</si>
  <si>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</si>
  <si>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</si>
  <si>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</si>
  <si>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</si>
  <si>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</si>
  <si>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</si>
  <si>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</si>
  <si>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</si>
  <si>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</si>
  <si>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</si>
  <si>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</si>
  <si>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</si>
  <si>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</si>
  <si>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</si>
  <si>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</si>
  <si>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</si>
  <si>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</si>
  <si>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</si>
  <si>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</si>
  <si>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</si>
  <si>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</si>
  <si>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</si>
  <si>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</si>
  <si>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</si>
  <si>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</si>
  <si>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</si>
  <si>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</si>
  <si>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</si>
  <si>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</si>
  <si>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</si>
  <si>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</si>
  <si>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</si>
  <si>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</si>
  <si>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</si>
  <si>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</si>
  <si>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</si>
  <si>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</si>
  <si>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</si>
  <si>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</si>
  <si>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</si>
  <si>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</si>
  <si>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</si>
  <si>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</si>
  <si>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</si>
  <si>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</si>
  <si>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</si>
  <si>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</si>
  <si>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</si>
  <si>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</si>
  <si>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</si>
  <si>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</si>
  <si>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</si>
  <si>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</si>
  <si>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</si>
  <si>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</si>
  <si>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</si>
  <si>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</si>
  <si>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</si>
  <si>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</si>
  <si>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</si>
  <si>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</si>
  <si>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</si>
  <si>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</si>
  <si>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</si>
  <si>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</si>
  <si>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</si>
  <si>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</si>
  <si>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</si>
  <si>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</si>
  <si>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</si>
  <si>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</si>
  <si>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</si>
  <si>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</si>
  <si>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</si>
  <si>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</si>
  <si>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</si>
  <si>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</si>
  <si>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</si>
  <si>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</si>
  <si>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</si>
  <si>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</si>
  <si>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</si>
  <si>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</si>
  <si>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</si>
  <si>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</si>
  <si>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</si>
  <si>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</si>
  <si>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</si>
  <si>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</si>
  <si>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</si>
  <si>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</si>
  <si>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</si>
  <si>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</si>
  <si>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</si>
  <si>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</si>
  <si>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</si>
  <si>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</si>
  <si>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</si>
  <si>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</si>
  <si>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</si>
  <si>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</si>
  <si>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</si>
  <si>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</si>
  <si>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</si>
  <si>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</si>
  <si>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</si>
  <si>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</si>
  <si>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</si>
  <si>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</si>
  <si>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</si>
  <si>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</si>
  <si>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</si>
  <si>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</si>
  <si>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</si>
  <si>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</si>
  <si>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</si>
  <si>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</si>
  <si>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</si>
  <si>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</si>
  <si>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</si>
  <si>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</si>
  <si>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</si>
  <si>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</si>
  <si>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</si>
  <si>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</si>
  <si>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</si>
  <si>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</si>
  <si>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</si>
  <si>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</si>
  <si>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</si>
  <si>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</si>
  <si>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</si>
  <si>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</si>
  <si>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</si>
  <si>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</si>
  <si>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</si>
  <si>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</si>
  <si>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</si>
  <si>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</si>
  <si>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</si>
  <si>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</si>
  <si>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</si>
  <si>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</si>
  <si>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</si>
  <si>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</si>
  <si>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</si>
  <si>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</si>
  <si>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</si>
  <si>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</si>
  <si>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</si>
  <si>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</si>
  <si>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</si>
  <si>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</si>
  <si>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</si>
  <si>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</si>
  <si>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</si>
  <si>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</si>
  <si>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</si>
  <si>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</si>
  <si>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</si>
  <si>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</si>
  <si>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</si>
  <si>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</si>
  <si>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</si>
  <si>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</si>
  <si>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</si>
  <si>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</si>
  <si>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</si>
  <si>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</si>
  <si>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</si>
  <si>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</si>
  <si>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</si>
  <si>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</si>
  <si>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</si>
  <si>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</si>
  <si>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</si>
  <si>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</si>
  <si>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</si>
  <si>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</si>
  <si>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</si>
  <si>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</si>
  <si>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</si>
  <si>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</si>
  <si>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</si>
  <si>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</si>
  <si>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</si>
  <si>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</si>
  <si>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</si>
  <si>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</si>
  <si>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</si>
  <si>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</si>
  <si>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</si>
  <si>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</si>
  <si>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</si>
  <si>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</si>
  <si>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</si>
  <si>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</si>
  <si>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</si>
  <si>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</si>
  <si>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</si>
  <si>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</si>
  <si>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</si>
  <si>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</si>
  <si>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</si>
  <si>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</si>
  <si>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</si>
  <si>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</si>
  <si>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</si>
  <si>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</si>
  <si>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</si>
  <si>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</si>
  <si>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</si>
  <si>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</si>
  <si>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</si>
  <si>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</si>
  <si>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</si>
  <si>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</si>
  <si>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</si>
  <si>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</si>
  <si>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</si>
  <si>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</si>
  <si>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</si>
  <si>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</si>
  <si>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</si>
  <si>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</si>
  <si>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</si>
  <si>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</si>
  <si>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</si>
  <si>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</si>
  <si>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</si>
  <si>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</si>
  <si>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</si>
  <si>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</si>
  <si>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</si>
  <si>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</si>
  <si>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</si>
  <si>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</si>
  <si>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</si>
  <si>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</si>
  <si>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</si>
  <si>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</si>
  <si>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</si>
  <si>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</si>
  <si>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</si>
  <si>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</si>
  <si>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</si>
  <si>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</si>
  <si>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</si>
  <si>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</si>
  <si>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</si>
  <si>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</si>
  <si>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</si>
  <si>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</si>
  <si>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</si>
  <si>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</si>
  <si>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</si>
  <si>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</si>
  <si>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</si>
  <si>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</si>
  <si>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</si>
  <si>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</si>
  <si>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</si>
  <si>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</si>
  <si>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</si>
  <si>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</si>
  <si>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</si>
  <si>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</si>
  <si>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</si>
  <si>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</si>
  <si>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</si>
  <si>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</si>
  <si>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</si>
  <si>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</si>
  <si>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</si>
  <si>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</si>
  <si>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</si>
  <si>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</si>
  <si>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</si>
  <si>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</si>
  <si>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</si>
  <si>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</si>
  <si>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</si>
  <si>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</si>
  <si>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</si>
  <si>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</si>
  <si>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</si>
  <si>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</si>
  <si>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</si>
  <si>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</si>
  <si>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</si>
  <si>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</si>
  <si>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</si>
  <si>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</si>
  <si>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</si>
  <si>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</si>
  <si>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</si>
  <si>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</si>
  <si>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</si>
  <si>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</si>
  <si>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</si>
  <si>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</si>
  <si>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</si>
  <si>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</si>
  <si>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</si>
  <si>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</si>
  <si>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</si>
  <si>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</si>
  <si>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</si>
  <si>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</si>
  <si>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</si>
  <si>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</si>
  <si>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</si>
  <si>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</si>
  <si>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</si>
  <si>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</si>
  <si>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</si>
  <si>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</si>
  <si>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</si>
  <si>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</si>
  <si>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</si>
  <si>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</si>
  <si>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</si>
  <si>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</si>
  <si>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</si>
  <si>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</si>
  <si>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</si>
  <si>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</si>
  <si>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</si>
  <si>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</si>
  <si>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</si>
  <si>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</si>
  <si>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</si>
  <si>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</si>
  <si>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</si>
  <si>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</si>
  <si>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</si>
  <si>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</si>
  <si>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</si>
  <si>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</si>
  <si>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</si>
  <si>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</si>
  <si>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</si>
  <si>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</si>
  <si>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</si>
  <si>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</si>
  <si>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</si>
  <si>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</si>
  <si>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</si>
  <si>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</si>
  <si>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</si>
  <si>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</si>
  <si>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</si>
  <si>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</si>
  <si>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</si>
  <si>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</si>
  <si>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</si>
  <si>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</si>
  <si>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</si>
  <si>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</si>
  <si>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</si>
  <si>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</si>
  <si>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</si>
  <si>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</si>
  <si>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</si>
  <si>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</si>
  <si>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</si>
  <si>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</si>
  <si>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</si>
  <si>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</si>
  <si>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</si>
  <si>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</si>
  <si>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</si>
  <si>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</si>
  <si>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</si>
  <si>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</si>
  <si>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</si>
  <si>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</si>
  <si>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</si>
  <si>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</si>
  <si>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</si>
  <si>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</si>
  <si>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</si>
  <si>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</si>
  <si>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</si>
  <si>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</si>
  <si>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</si>
  <si>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</si>
  <si>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</si>
  <si>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</si>
  <si>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</si>
  <si>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</si>
  <si>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</si>
  <si>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</si>
  <si>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</si>
  <si>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</si>
  <si>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</si>
  <si>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</si>
  <si>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</si>
  <si>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</si>
  <si>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</si>
  <si>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</si>
  <si>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</si>
  <si>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</si>
  <si>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</si>
  <si>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</si>
  <si>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</si>
  <si>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</si>
  <si>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</si>
  <si>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</si>
  <si>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</si>
  <si>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</si>
  <si>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</si>
  <si>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</si>
  <si>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</si>
  <si>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</si>
  <si>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</si>
  <si>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</si>
  <si>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</si>
  <si>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</si>
  <si>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</si>
  <si>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</si>
  <si>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</si>
  <si>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</si>
  <si>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</si>
  <si>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</si>
  <si>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</si>
  <si>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</si>
  <si>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</si>
  <si>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</si>
  <si>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</si>
  <si>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</si>
  <si>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</si>
  <si>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</si>
  <si>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</si>
  <si>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</si>
  <si>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</si>
  <si>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</si>
  <si>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</si>
  <si>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</si>
  <si>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</si>
  <si>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</si>
  <si>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</si>
  <si>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</si>
  <si>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</si>
  <si>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</si>
  <si>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</si>
  <si>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</si>
  <si>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</si>
  <si>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</si>
  <si>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</si>
  <si>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</si>
  <si>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</si>
  <si>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</si>
  <si>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</si>
  <si>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</si>
  <si>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</si>
  <si>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</si>
  <si>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</si>
  <si>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</si>
  <si>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</si>
  <si>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</si>
  <si>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</si>
  <si>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</si>
  <si>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</si>
  <si>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</si>
  <si>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</si>
  <si>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</si>
  <si>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</si>
  <si>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</si>
  <si>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</si>
  <si>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</si>
  <si>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</si>
  <si>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</si>
  <si>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</si>
  <si>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</si>
  <si>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</si>
  <si>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</si>
  <si>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</si>
  <si>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</si>
  <si>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</si>
  <si>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</si>
  <si>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</si>
  <si>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</si>
  <si>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</si>
  <si>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</si>
  <si>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</si>
  <si>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</si>
  <si>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</si>
  <si>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</si>
  <si>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</si>
  <si>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</si>
  <si>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</si>
  <si>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</si>
  <si>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</si>
  <si>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</si>
  <si>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</si>
  <si>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</si>
  <si>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</si>
  <si>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</si>
  <si>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</si>
  <si>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</si>
  <si>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</si>
  <si>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</si>
  <si>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</si>
  <si>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</si>
  <si>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</si>
  <si>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</si>
  <si>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</si>
  <si>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</si>
  <si>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</si>
  <si>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</si>
  <si>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</si>
  <si>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</si>
  <si>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</si>
  <si>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</si>
  <si>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</si>
  <si>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</si>
  <si>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</si>
  <si>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</si>
  <si>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</si>
  <si>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</si>
  <si>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</si>
  <si>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</si>
  <si>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</si>
  <si>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</si>
  <si>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</si>
  <si>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</si>
  <si>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</si>
  <si>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</si>
  <si>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</si>
  <si>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</si>
  <si>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</si>
  <si>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</si>
  <si>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</si>
  <si>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</si>
  <si>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</si>
  <si>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</si>
  <si>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</si>
  <si>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</si>
  <si>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</si>
  <si>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</si>
  <si>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</si>
  <si>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</si>
  <si>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</si>
  <si>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</si>
  <si>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</si>
  <si>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</si>
  <si>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</si>
  <si>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</si>
  <si>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</si>
  <si>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</si>
  <si>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</si>
  <si>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</si>
  <si>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</si>
  <si>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</si>
  <si>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</si>
  <si>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</si>
  <si>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</si>
  <si>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</si>
  <si>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</si>
  <si>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</si>
  <si>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</si>
  <si>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</si>
  <si>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</si>
  <si>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</si>
  <si>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</si>
  <si>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</si>
  <si>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</si>
  <si>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</si>
  <si>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</si>
  <si>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</si>
  <si>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</si>
  <si>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</si>
  <si>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</si>
  <si>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</si>
  <si>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</si>
  <si>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</si>
  <si>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</si>
  <si>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</si>
  <si>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</si>
  <si>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</si>
  <si>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</si>
  <si>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</si>
  <si>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</si>
  <si>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</si>
  <si>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</si>
  <si>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</si>
  <si>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</si>
  <si>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</si>
  <si>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</si>
  <si>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</si>
  <si>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</si>
  <si>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</si>
  <si>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</si>
  <si>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</si>
  <si>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</si>
  <si>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</si>
  <si>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</si>
  <si>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</si>
  <si>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</si>
  <si>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</si>
  <si>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</si>
  <si>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</si>
  <si>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</si>
  <si>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</si>
  <si>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</si>
  <si>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</si>
  <si>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</si>
  <si>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</si>
  <si>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</si>
  <si>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</si>
  <si>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</si>
  <si>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</si>
  <si>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</si>
  <si>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</si>
  <si>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</si>
  <si>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</si>
  <si>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</si>
  <si>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</si>
  <si>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</si>
  <si>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</si>
  <si>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</si>
  <si>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</si>
  <si>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</si>
  <si>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</si>
  <si>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</si>
  <si>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</si>
  <si>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</si>
  <si>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</si>
  <si>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</si>
  <si>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</si>
  <si>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</si>
  <si>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</si>
  <si>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</si>
  <si>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</si>
  <si>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</si>
  <si>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</si>
  <si>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</si>
  <si>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</si>
  <si>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</si>
  <si>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</si>
  <si>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</si>
  <si>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</si>
  <si>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</si>
  <si>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</si>
  <si>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</si>
  <si>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</si>
  <si>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</si>
  <si>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</si>
  <si>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</si>
  <si>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</si>
  <si>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</si>
  <si>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</si>
  <si>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</si>
  <si>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</si>
  <si>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</si>
  <si>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</si>
  <si>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</si>
  <si>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</si>
  <si>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</si>
  <si>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</si>
  <si>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</si>
  <si>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</si>
  <si>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</si>
  <si>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</si>
  <si>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</si>
  <si>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</si>
  <si>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</si>
  <si>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</si>
  <si>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</si>
  <si>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</si>
  <si>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</si>
  <si>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</si>
  <si>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</si>
  <si>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</si>
  <si>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</si>
  <si>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</si>
  <si>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</si>
  <si>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</si>
  <si>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</si>
  <si>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</si>
  <si>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</si>
  <si>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</si>
  <si>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</si>
  <si>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</si>
  <si>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</si>
  <si>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</si>
  <si>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</si>
  <si>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</si>
  <si>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</si>
  <si>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</si>
  <si>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</si>
  <si>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</si>
  <si>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</si>
  <si>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</si>
  <si>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</si>
  <si>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</si>
  <si>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</si>
  <si>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</si>
  <si>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</si>
  <si>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</si>
  <si>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</si>
  <si>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</si>
  <si>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</si>
  <si>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</si>
  <si>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</si>
  <si>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</si>
  <si>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</si>
  <si>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</si>
  <si>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</si>
  <si>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</si>
  <si>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</si>
  <si>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</si>
  <si>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</si>
  <si>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</si>
  <si>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</si>
  <si>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</si>
  <si>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</si>
  <si>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</si>
  <si>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</si>
  <si>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</si>
  <si>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</si>
  <si>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</si>
  <si>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</si>
  <si>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</si>
  <si>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</si>
  <si>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</si>
  <si>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</si>
  <si>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</si>
  <si>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</si>
  <si>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</si>
  <si>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</si>
  <si>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</si>
  <si>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</si>
  <si>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</si>
  <si>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</si>
  <si>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</si>
  <si>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</si>
  <si>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</si>
  <si>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</si>
  <si>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</si>
  <si>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</si>
  <si>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</si>
  <si>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</si>
  <si>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</si>
  <si>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</si>
  <si>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</si>
  <si>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</si>
  <si>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</si>
  <si>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</si>
  <si>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</si>
  <si>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</si>
  <si>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</si>
  <si>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</si>
  <si>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</si>
  <si>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</si>
  <si>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</si>
  <si>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</si>
  <si>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</si>
  <si>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</si>
  <si>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</si>
  <si>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</si>
  <si>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</si>
  <si>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</si>
  <si>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</si>
  <si>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</si>
  <si>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</si>
  <si>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</si>
  <si>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</si>
  <si>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</si>
  <si>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</si>
  <si>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</si>
  <si>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</si>
  <si>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</si>
  <si>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</si>
  <si>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</si>
  <si>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</si>
  <si>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</si>
  <si>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</si>
  <si>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</si>
  <si>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</si>
  <si>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</si>
  <si>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</si>
  <si>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</si>
  <si>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</si>
  <si>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</si>
  <si>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</si>
  <si>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</si>
  <si>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</si>
  <si>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</si>
  <si>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</si>
  <si>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</si>
  <si>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</si>
  <si>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</si>
  <si>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</si>
  <si>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</si>
  <si>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</si>
  <si>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</si>
  <si>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</si>
  <si>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</si>
  <si>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</si>
  <si>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</si>
  <si>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</si>
  <si>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</si>
  <si>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</si>
  <si>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</si>
  <si>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</si>
  <si>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</si>
  <si>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</si>
  <si>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</si>
  <si>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</si>
  <si>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</si>
  <si>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</si>
  <si>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</si>
  <si>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</si>
  <si>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</si>
  <si>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</si>
  <si>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</si>
  <si>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</si>
  <si>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</si>
  <si>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</si>
  <si>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</si>
  <si>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</si>
  <si>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</si>
  <si>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</si>
  <si>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</si>
  <si>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</si>
  <si>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</si>
  <si>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</si>
  <si>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</si>
  <si>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</si>
  <si>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</si>
  <si>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</si>
  <si>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</si>
  <si>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</si>
  <si>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</si>
  <si>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</si>
  <si>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</si>
  <si>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</si>
  <si>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</si>
  <si>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</si>
  <si>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</si>
  <si>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</si>
  <si>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</si>
  <si>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</si>
  <si>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</si>
  <si>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</si>
  <si>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</si>
  <si>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</si>
  <si>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</si>
  <si>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</si>
  <si>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</si>
  <si>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</si>
  <si>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</si>
  <si>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</si>
  <si>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</si>
  <si>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</si>
  <si>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</si>
  <si>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</si>
  <si>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</si>
  <si>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</si>
  <si>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</si>
  <si>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</si>
  <si>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</si>
  <si>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</si>
  <si>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</si>
  <si>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</si>
  <si>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</si>
  <si>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</si>
  <si>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</si>
  <si>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</si>
  <si>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</si>
  <si>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</si>
  <si>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</si>
  <si>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</si>
  <si>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</si>
  <si>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</si>
  <si>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</si>
  <si>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</si>
  <si>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</si>
  <si>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</si>
  <si>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</si>
  <si>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</si>
  <si>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</si>
  <si>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</si>
  <si>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</si>
  <si>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</si>
  <si>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</si>
  <si>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</si>
  <si>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</si>
  <si>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</si>
  <si>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</si>
  <si>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</si>
  <si>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</si>
  <si>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</si>
  <si>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</si>
  <si>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</si>
  <si>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</si>
  <si>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</si>
  <si>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</si>
  <si>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</si>
  <si>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</si>
  <si>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</si>
  <si>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</si>
  <si>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</si>
  <si>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</si>
  <si>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</si>
  <si>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</si>
  <si>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</si>
  <si>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</si>
  <si>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</si>
  <si>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</si>
  <si>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</si>
  <si>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</si>
  <si>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</si>
  <si>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</si>
  <si>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</si>
  <si>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</si>
  <si>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</si>
  <si>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</si>
  <si>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</si>
  <si>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</si>
  <si>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</si>
  <si>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</si>
  <si>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</si>
  <si>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</si>
  <si>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</si>
  <si>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</si>
  <si>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</si>
  <si>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</si>
  <si>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</si>
  <si>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</si>
  <si>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</si>
  <si>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</si>
  <si>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</si>
  <si>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</si>
  <si>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</si>
  <si>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</si>
  <si>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</si>
  <si>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</si>
  <si>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</si>
  <si>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</si>
  <si>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</si>
  <si>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</si>
  <si>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</si>
  <si>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</si>
  <si>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</si>
  <si>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</si>
  <si>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</si>
  <si>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</si>
  <si>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</si>
  <si>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</si>
  <si>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</si>
  <si>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</si>
  <si>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</si>
  <si>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</si>
  <si>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</si>
  <si>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</si>
  <si>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</si>
  <si>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</si>
  <si>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</si>
  <si>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</si>
  <si>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</si>
  <si>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</si>
  <si>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</si>
  <si>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</si>
  <si>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</si>
  <si>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</si>
  <si>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</si>
  <si>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</si>
  <si>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</si>
  <si>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</si>
  <si>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</si>
  <si>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</si>
  <si>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</si>
  <si>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</si>
  <si>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</si>
  <si>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</si>
  <si>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</si>
  <si>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</si>
  <si>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</si>
  <si>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</si>
  <si>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</si>
  <si>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</si>
  <si>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</si>
  <si>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</si>
  <si>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</si>
  <si>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</si>
  <si>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</si>
  <si>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</si>
  <si>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</si>
  <si>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</si>
  <si>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</si>
  <si>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</si>
  <si>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</si>
  <si>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</si>
  <si>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</si>
  <si>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</si>
  <si>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</si>
  <si>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</si>
  <si>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</si>
  <si>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</si>
  <si>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</si>
  <si>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</si>
  <si>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</si>
  <si>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</si>
  <si>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</si>
  <si>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</si>
  <si>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</si>
  <si>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</si>
  <si>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</si>
  <si>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</si>
  <si>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</si>
  <si>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</si>
  <si>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</si>
  <si>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</si>
  <si>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</si>
  <si>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</si>
  <si>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</si>
  <si>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</si>
  <si>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</si>
  <si>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</si>
  <si>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</si>
  <si>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</si>
  <si>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</si>
  <si>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</si>
  <si>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</si>
  <si>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</si>
  <si>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</si>
  <si>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</si>
  <si>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</si>
  <si>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</si>
  <si>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</si>
  <si>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</si>
  <si>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</si>
  <si>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</si>
  <si>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</si>
  <si>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</si>
  <si>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</si>
  <si>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</si>
  <si>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</si>
  <si>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</si>
  <si>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</si>
  <si>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</si>
  <si>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</si>
  <si>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</si>
  <si>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</si>
  <si>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</si>
  <si>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</si>
  <si>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</si>
  <si>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</si>
  <si>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</si>
  <si>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</si>
  <si>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</si>
  <si>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</si>
  <si>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</si>
  <si>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</si>
  <si>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</si>
  <si>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</si>
  <si>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</si>
  <si>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</si>
  <si>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</si>
  <si>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</si>
  <si>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</si>
  <si>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</si>
  <si>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</si>
  <si>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</si>
  <si>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</si>
  <si>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</si>
  <si>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</si>
  <si>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</si>
  <si>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</si>
  <si>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</si>
  <si>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</si>
  <si>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</si>
  <si>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</si>
  <si>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</si>
  <si>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</si>
  <si>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</si>
  <si>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</si>
  <si>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</si>
  <si>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</si>
  <si>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</si>
  <si>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</si>
  <si>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</si>
  <si>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</si>
  <si>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</si>
  <si>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</si>
  <si>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</si>
  <si>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</si>
  <si>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</si>
  <si>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</si>
  <si>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</si>
  <si>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</si>
  <si>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</si>
  <si>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</si>
  <si>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</si>
  <si>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</si>
  <si>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</si>
  <si>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</si>
  <si>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</si>
  <si>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</si>
  <si>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</si>
  <si>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</si>
  <si>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</si>
  <si>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</si>
  <si>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</si>
  <si>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</si>
  <si>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</si>
  <si>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</si>
  <si>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</si>
  <si>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</si>
  <si>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</si>
  <si>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</si>
  <si>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</si>
  <si>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</si>
  <si>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</si>
  <si>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</si>
  <si>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</si>
  <si>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</si>
  <si>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</si>
  <si>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</si>
  <si>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</si>
  <si>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</si>
  <si>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</si>
  <si>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</si>
  <si>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</si>
  <si>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</si>
  <si>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</si>
  <si>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</si>
  <si>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</si>
  <si>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</si>
  <si>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</si>
  <si>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</si>
  <si>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</si>
  <si>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</si>
  <si>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</si>
  <si>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</si>
  <si>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</si>
  <si>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</si>
  <si>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</si>
  <si>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</si>
  <si>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</si>
  <si>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</si>
  <si>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</si>
  <si>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</si>
  <si>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</si>
  <si>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</si>
  <si>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</si>
  <si>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</si>
  <si>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</si>
  <si>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</si>
  <si>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</si>
  <si>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</si>
  <si>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</si>
  <si>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</si>
  <si>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</si>
  <si>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</si>
  <si>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</si>
  <si>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</si>
  <si>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</si>
  <si>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</si>
  <si>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</si>
  <si>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</si>
  <si>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</si>
  <si>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</si>
  <si>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</si>
  <si>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</si>
  <si>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</si>
  <si>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</si>
  <si>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</si>
  <si>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</si>
  <si>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</si>
  <si>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</si>
  <si>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</si>
  <si>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</si>
  <si>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</si>
  <si>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</si>
  <si>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</si>
  <si>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</si>
  <si>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</si>
  <si>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</si>
  <si>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</si>
  <si>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</si>
  <si>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</si>
  <si>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</si>
  <si>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</si>
  <si>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</si>
  <si>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</si>
  <si>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</si>
  <si>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</si>
  <si>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</si>
  <si>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</si>
  <si>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</si>
  <si>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</si>
  <si>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</si>
  <si>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</si>
  <si>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</si>
  <si>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</si>
  <si>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</si>
  <si>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</si>
  <si>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</si>
  <si>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</si>
  <si>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</si>
  <si>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</si>
  <si>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</si>
  <si>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</si>
  <si>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</si>
  <si>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</si>
  <si>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</si>
  <si>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</si>
  <si>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</si>
  <si>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</si>
  <si>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</si>
  <si>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</si>
  <si>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</si>
  <si>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</si>
  <si>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</si>
  <si>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</si>
  <si>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</si>
  <si>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</si>
  <si>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</si>
  <si>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</si>
  <si>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</si>
  <si>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</si>
  <si>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</si>
  <si>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</si>
  <si>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</si>
  <si>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</si>
  <si>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</si>
  <si>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</si>
  <si>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</si>
  <si>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</si>
  <si>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</si>
  <si>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</si>
  <si>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</si>
  <si>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</si>
  <si>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</si>
  <si>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</si>
  <si>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</si>
  <si>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</si>
  <si>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</si>
  <si>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</si>
  <si>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</si>
  <si>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</si>
  <si>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</si>
  <si>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</si>
  <si>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</si>
  <si>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</si>
  <si>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</si>
  <si>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</si>
  <si>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</si>
  <si>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</si>
  <si>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</si>
  <si>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</si>
  <si>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</si>
  <si>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</si>
  <si>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</si>
  <si>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</si>
  <si>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</si>
  <si>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</si>
  <si>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</si>
  <si>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</si>
  <si>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</si>
  <si>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</si>
  <si>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</si>
  <si>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</si>
  <si>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</si>
  <si>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</si>
  <si>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</si>
  <si>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</si>
  <si>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</si>
  <si>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</si>
  <si>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</si>
  <si>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</si>
  <si>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</si>
  <si>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</si>
  <si>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</si>
  <si>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</si>
  <si>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</si>
  <si>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</si>
  <si>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</si>
  <si>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</si>
  <si>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</si>
  <si>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</si>
  <si>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</si>
  <si>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</si>
  <si>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</si>
  <si>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</si>
  <si>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</si>
  <si>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</si>
  <si>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</si>
  <si>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</si>
  <si>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</si>
  <si>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</si>
  <si>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</si>
  <si>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</si>
  <si>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</si>
  <si>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</si>
  <si>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</si>
  <si>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</si>
  <si>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</si>
  <si>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</si>
  <si>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</si>
  <si>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</si>
  <si>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</si>
  <si>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</si>
  <si>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</si>
  <si>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</si>
  <si>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</si>
  <si>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</si>
  <si>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</si>
  <si>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</si>
  <si>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</si>
  <si>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</si>
  <si>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</si>
  <si>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</si>
  <si>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</si>
  <si>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</si>
  <si>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</si>
  <si>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</si>
  <si>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</si>
  <si>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</si>
  <si>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</si>
  <si>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</si>
  <si>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</si>
  <si>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</si>
  <si>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</si>
  <si>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</si>
  <si>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</si>
  <si>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</si>
  <si>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</si>
  <si>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</si>
  <si>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</si>
  <si>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</si>
  <si>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</si>
  <si>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</si>
  <si>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</si>
  <si>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</si>
  <si>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</si>
  <si>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</si>
  <si>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</si>
  <si>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</si>
  <si>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</si>
  <si>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</si>
  <si>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</si>
  <si>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</si>
  <si>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</si>
  <si>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</si>
  <si>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</si>
  <si>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</si>
  <si>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</si>
  <si>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</si>
  <si>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</si>
  <si>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</si>
  <si>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</si>
  <si>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</si>
  <si>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</si>
  <si>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</si>
  <si>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</si>
  <si>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</si>
  <si>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</si>
  <si>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</si>
  <si>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</si>
  <si>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</si>
  <si>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</si>
  <si>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</si>
  <si>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</si>
  <si>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</si>
  <si>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</si>
  <si>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</si>
  <si>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</si>
  <si>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</si>
  <si>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</si>
  <si>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</si>
  <si>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</si>
  <si>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</si>
  <si>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</si>
  <si>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</si>
  <si>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</si>
  <si>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</si>
  <si>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</si>
  <si>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</si>
  <si>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</si>
  <si>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</si>
  <si>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</si>
  <si>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</si>
  <si>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</si>
  <si>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</si>
  <si>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</si>
  <si>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</si>
  <si>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</si>
  <si>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</si>
  <si>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</si>
  <si>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</si>
  <si>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</si>
  <si>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</si>
  <si>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</si>
  <si>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</si>
  <si>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</si>
  <si>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</si>
  <si>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</si>
  <si>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</si>
  <si>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</si>
  <si>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</si>
  <si>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</si>
  <si>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</si>
  <si>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</si>
  <si>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</si>
  <si>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</si>
  <si>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</si>
  <si>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</si>
  <si>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</si>
  <si>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</si>
  <si>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</si>
  <si>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</si>
  <si>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</si>
  <si>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</si>
  <si>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</si>
  <si>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</si>
  <si>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</si>
  <si>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</si>
  <si>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</si>
  <si>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</si>
  <si>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</si>
  <si>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</si>
  <si>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</si>
  <si>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</si>
  <si>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</si>
  <si>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</si>
  <si>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</si>
  <si>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</si>
  <si>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</si>
  <si>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</si>
  <si>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</si>
  <si>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</si>
  <si>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</si>
  <si>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</si>
  <si>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</si>
  <si>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</si>
  <si>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</si>
  <si>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</si>
  <si>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</si>
  <si>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</si>
  <si>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</si>
  <si>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</si>
  <si>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</si>
  <si>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</si>
  <si>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</si>
  <si>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</si>
  <si>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</si>
  <si>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</si>
  <si>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</si>
  <si>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</si>
  <si>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</si>
  <si>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</si>
  <si>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</si>
  <si>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</si>
  <si>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</si>
  <si>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</si>
  <si>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</si>
  <si>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</si>
  <si>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</si>
  <si>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</si>
  <si>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</si>
  <si>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</si>
  <si>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</si>
  <si>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</si>
  <si>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</si>
  <si>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</si>
  <si>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</si>
  <si>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</si>
  <si>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</si>
  <si>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</si>
  <si>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</si>
  <si>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</si>
  <si>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</si>
  <si>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</si>
  <si>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</si>
  <si>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</si>
  <si>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</si>
  <si>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</si>
  <si>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</si>
  <si>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</si>
  <si>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</si>
  <si>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</si>
  <si>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</si>
  <si>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</si>
  <si>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</si>
  <si>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</si>
  <si>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</si>
  <si>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</si>
  <si>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</si>
  <si>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</si>
  <si>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</si>
  <si>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</si>
  <si>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</si>
  <si>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</si>
  <si>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</si>
  <si>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</si>
  <si>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</si>
  <si>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</si>
  <si>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</si>
  <si>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</si>
  <si>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</si>
  <si>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</si>
  <si>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</si>
  <si>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</si>
  <si>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</si>
  <si>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</si>
  <si>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</si>
  <si>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</si>
  <si>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</si>
  <si>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</si>
  <si>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</si>
  <si>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</si>
  <si>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</si>
  <si>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</si>
  <si>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</si>
  <si>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</si>
  <si>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</si>
  <si>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</si>
  <si>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</si>
  <si>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</si>
  <si>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</si>
  <si>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</si>
  <si>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</si>
  <si>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</si>
  <si>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</si>
  <si>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</si>
  <si>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</si>
  <si>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</si>
  <si>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</si>
  <si>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</si>
  <si>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</si>
  <si>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</si>
  <si>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</si>
  <si>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</si>
  <si>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</si>
  <si>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</si>
  <si>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</si>
  <si>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</si>
  <si>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</si>
  <si>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</si>
  <si>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</si>
  <si>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</si>
  <si>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</si>
  <si>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</si>
  <si>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</si>
  <si>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</si>
  <si>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</si>
  <si>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</si>
  <si>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</si>
  <si>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</si>
  <si>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</si>
  <si>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</si>
  <si>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</si>
  <si>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</si>
  <si>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</si>
  <si>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</si>
  <si>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</si>
  <si>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</si>
  <si>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</si>
  <si>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</si>
  <si>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</si>
  <si>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</si>
  <si>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</si>
  <si>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</si>
  <si>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</si>
  <si>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</si>
  <si>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</si>
  <si>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</si>
  <si>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</si>
  <si>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</si>
  <si>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</si>
  <si>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</si>
  <si>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</si>
  <si>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</si>
  <si>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</si>
  <si>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</si>
  <si>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</si>
  <si>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</si>
  <si>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</si>
  <si>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</si>
  <si>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</si>
  <si>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</si>
  <si>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</si>
  <si>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</si>
  <si>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</si>
  <si>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</si>
  <si>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</si>
  <si>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</si>
  <si>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</si>
  <si>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</si>
  <si>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</si>
  <si>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</si>
  <si>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</si>
  <si>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</si>
  <si>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</si>
  <si>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</si>
  <si>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</si>
  <si>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</si>
  <si>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</si>
  <si>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</si>
  <si>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</si>
  <si>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</si>
  <si>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</si>
  <si>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</si>
  <si>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</si>
  <si>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</si>
  <si>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</si>
  <si>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</si>
  <si>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</si>
  <si>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</si>
  <si>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</si>
  <si>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</si>
  <si>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</si>
  <si>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</si>
  <si>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</si>
  <si>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</si>
  <si>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</si>
  <si>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</si>
  <si>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</si>
  <si>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</si>
  <si>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</si>
  <si>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</si>
  <si>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</si>
  <si>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</si>
  <si>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</si>
  <si>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</si>
  <si>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</si>
  <si>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</si>
  <si>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</si>
  <si>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</si>
  <si>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</si>
  <si>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</si>
  <si>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</si>
  <si>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</si>
  <si>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</si>
  <si>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</si>
  <si>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</si>
  <si>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</si>
  <si>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</si>
  <si>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</si>
  <si>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</si>
  <si>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</si>
  <si>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</si>
  <si>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</si>
  <si>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</si>
  <si>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</si>
  <si>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</si>
  <si>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</si>
  <si>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</si>
  <si>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</si>
  <si>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</si>
  <si>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</si>
  <si>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</si>
  <si>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</si>
  <si>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</si>
  <si>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</si>
  <si>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</si>
  <si>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</si>
  <si>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</si>
  <si>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</si>
  <si>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</si>
  <si>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</si>
  <si>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</si>
  <si>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</si>
  <si>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</si>
  <si>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</si>
  <si>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</si>
  <si>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</si>
  <si>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</si>
  <si>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</si>
  <si>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</si>
  <si>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</si>
  <si>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</si>
  <si>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</si>
  <si>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</si>
  <si>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</si>
  <si>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</si>
  <si>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</si>
  <si>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</si>
  <si>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</si>
  <si>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</si>
  <si>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</si>
  <si>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</si>
  <si>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</si>
  <si>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</si>
  <si>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</si>
  <si>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</si>
  <si>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</si>
  <si>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</si>
  <si>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</si>
  <si>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</si>
  <si>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</si>
  <si>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</si>
  <si>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</si>
  <si>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</si>
  <si>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</si>
  <si>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</si>
  <si>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</si>
  <si>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</si>
  <si>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</si>
  <si>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</si>
  <si>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</si>
  <si>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</si>
  <si>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</si>
  <si>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</si>
  <si>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</si>
  <si>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</si>
  <si>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</si>
  <si>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</si>
  <si>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</si>
  <si>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</si>
  <si>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</si>
  <si>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</si>
  <si>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</si>
  <si>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</si>
  <si>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</si>
  <si>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</si>
  <si>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</si>
  <si>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</si>
  <si>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</si>
  <si>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</si>
  <si>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</si>
  <si>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</si>
  <si>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</si>
  <si>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</si>
  <si>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</si>
  <si>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</si>
  <si>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</si>
  <si>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</si>
  <si>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</si>
  <si>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</si>
  <si>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</si>
  <si>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</si>
  <si>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</si>
  <si>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</si>
  <si>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</si>
  <si>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</si>
  <si>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</si>
  <si>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</si>
  <si>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</si>
  <si>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</si>
  <si>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</si>
  <si>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</si>
  <si>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</si>
  <si>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</si>
  <si>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</si>
  <si>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</si>
  <si>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</si>
  <si>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</si>
  <si>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</si>
  <si>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</si>
  <si>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</si>
  <si>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</si>
  <si>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</si>
  <si>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</si>
  <si>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</si>
  <si>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</si>
  <si>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</si>
  <si>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</si>
  <si>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</si>
  <si>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</si>
  <si>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</si>
  <si>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</si>
  <si>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</si>
  <si>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</si>
  <si>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</si>
  <si>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</si>
  <si>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</si>
  <si>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</si>
  <si>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</si>
  <si>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</si>
  <si>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</si>
  <si>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</si>
  <si>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</si>
  <si>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</si>
  <si>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</si>
  <si>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</si>
  <si>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</si>
  <si>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</si>
  <si>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</si>
  <si>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</si>
  <si>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</si>
  <si>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</si>
  <si>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</si>
  <si>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</si>
  <si>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</si>
  <si>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</si>
  <si>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</si>
  <si>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</si>
  <si>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</si>
  <si>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</si>
  <si>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</si>
  <si>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</si>
  <si>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</si>
  <si>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</si>
  <si>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</si>
  <si>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</si>
  <si>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</si>
  <si>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</si>
  <si>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</si>
  <si>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</si>
  <si>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</si>
  <si>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</si>
  <si>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</si>
  <si>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</si>
  <si>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</si>
  <si>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</si>
  <si>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</si>
  <si>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</si>
  <si>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</si>
  <si>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</si>
  <si>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</si>
  <si>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</si>
  <si>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</si>
  <si>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</si>
  <si>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</si>
  <si>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</si>
  <si>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</si>
  <si>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</si>
  <si>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</si>
  <si>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</si>
  <si>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</si>
  <si>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</si>
  <si>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</si>
  <si>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</si>
  <si>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</si>
  <si>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</si>
  <si>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</si>
  <si>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</si>
  <si>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</si>
  <si>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</si>
  <si>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</si>
  <si>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</si>
  <si>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</si>
  <si>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</si>
  <si>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</si>
  <si>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</si>
  <si>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</si>
  <si>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</si>
  <si>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</si>
  <si>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</si>
  <si>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</si>
  <si>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</si>
  <si>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</si>
  <si>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</si>
  <si>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</si>
  <si>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</si>
  <si>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</si>
  <si>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</si>
  <si>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</si>
  <si>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</si>
  <si>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</si>
  <si>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</si>
  <si>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</si>
  <si>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</si>
  <si>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</si>
  <si>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</si>
  <si>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</si>
  <si>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</si>
  <si>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</si>
  <si>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</si>
  <si>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</si>
  <si>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</si>
  <si>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</si>
  <si>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</si>
  <si>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</si>
  <si>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</si>
  <si>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</si>
  <si>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</si>
  <si>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</si>
  <si>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</si>
  <si>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</si>
  <si>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</si>
  <si>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</si>
  <si>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</si>
  <si>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</si>
  <si>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</si>
  <si>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</si>
  <si>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</si>
  <si>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</si>
  <si>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</si>
  <si>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</si>
  <si>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</si>
  <si>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</si>
  <si>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</si>
  <si>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</si>
  <si>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</si>
  <si>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</si>
  <si>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</si>
  <si>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</si>
  <si>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</si>
  <si>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</si>
  <si>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</si>
  <si>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</si>
  <si>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</si>
  <si>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</si>
  <si>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</si>
  <si>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</si>
  <si>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</si>
  <si>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</si>
  <si>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</si>
  <si>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</si>
  <si>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</si>
  <si>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</si>
  <si>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</si>
  <si>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</si>
  <si>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</si>
  <si>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</si>
  <si>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</si>
  <si>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</si>
  <si>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</si>
  <si>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</si>
  <si>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</si>
  <si>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</si>
  <si>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</si>
  <si>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</si>
  <si>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</si>
  <si>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</si>
  <si>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</si>
  <si>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</si>
  <si>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</si>
  <si>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</si>
  <si>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</si>
  <si>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</si>
  <si>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</si>
  <si>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</si>
  <si>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</si>
  <si>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</si>
  <si>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</si>
  <si>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</si>
  <si>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</si>
  <si>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</si>
  <si>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</si>
  <si>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</si>
  <si>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</si>
  <si>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</si>
  <si>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</si>
  <si>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</si>
  <si>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</si>
  <si>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</si>
  <si>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</si>
  <si>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</si>
  <si>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</si>
  <si>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</si>
  <si>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</si>
  <si>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</si>
  <si>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</si>
  <si>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</si>
  <si>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</si>
  <si>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</si>
  <si>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</si>
  <si>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</si>
  <si>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</si>
  <si>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</si>
  <si>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</si>
  <si>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</si>
  <si>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</si>
  <si>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</si>
  <si>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</si>
  <si>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</si>
  <si>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</si>
  <si>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</si>
  <si>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</si>
  <si>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</si>
  <si>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</si>
  <si>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</si>
  <si>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</si>
  <si>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</si>
  <si>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</si>
  <si>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</si>
  <si>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</si>
  <si>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</si>
  <si>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</si>
  <si>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</si>
  <si>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</si>
  <si>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</si>
  <si>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</si>
  <si>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</si>
  <si>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</si>
  <si>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</si>
  <si>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</si>
  <si>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</si>
  <si>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</si>
  <si>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</si>
  <si>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</si>
  <si>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</si>
  <si>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</si>
  <si>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</si>
  <si>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</si>
  <si>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</si>
  <si>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</si>
  <si>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</si>
  <si>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</si>
  <si>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</si>
  <si>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</si>
  <si>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</si>
  <si>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</si>
  <si>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</si>
  <si>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</si>
  <si>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</si>
  <si>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</si>
  <si>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</si>
  <si>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</si>
  <si>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</si>
  <si>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</si>
  <si>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</si>
  <si>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</si>
  <si>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</si>
  <si>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</si>
  <si>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</si>
  <si>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</si>
  <si>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</si>
  <si>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</si>
  <si>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</si>
  <si>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</si>
  <si>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</si>
  <si>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</si>
  <si>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</si>
  <si>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</si>
  <si>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</si>
  <si>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</si>
  <si>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</si>
  <si>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</si>
  <si>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</si>
  <si>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</si>
  <si>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</si>
  <si>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</si>
  <si>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</si>
  <si>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</si>
  <si>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</si>
  <si>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</si>
  <si>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</si>
  <si>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</si>
  <si>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</si>
  <si>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</si>
  <si>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</si>
  <si>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</si>
  <si>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</si>
  <si>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</si>
  <si>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</si>
  <si>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</si>
  <si>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</si>
  <si>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</si>
  <si>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</si>
  <si>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</si>
  <si>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</si>
  <si>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</si>
  <si>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</si>
  <si>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</si>
  <si>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</si>
  <si>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</si>
  <si>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</si>
  <si>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</si>
  <si>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</si>
  <si>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</si>
  <si>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</si>
  <si>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</si>
  <si>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</si>
  <si>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</si>
  <si>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</si>
  <si>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</si>
  <si>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</si>
  <si>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</si>
  <si>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</si>
  <si>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</si>
  <si>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</si>
  <si>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</si>
  <si>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</si>
  <si>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</si>
  <si>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</si>
  <si>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</si>
  <si>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</si>
  <si>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</si>
  <si>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</si>
  <si>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</si>
  <si>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</si>
  <si>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</si>
  <si>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</si>
  <si>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</si>
  <si>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</si>
  <si>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</si>
  <si>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</si>
  <si>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</si>
  <si>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</si>
  <si>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</si>
  <si>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</si>
  <si>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</si>
  <si>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</si>
  <si>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</si>
  <si>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</si>
  <si>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</si>
  <si>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</si>
  <si>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</si>
  <si>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</si>
  <si>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</si>
  <si>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</si>
  <si>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</si>
  <si>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</si>
  <si>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</si>
  <si>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</si>
  <si>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</si>
  <si>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</si>
  <si>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</si>
  <si>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</si>
  <si>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</si>
  <si>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</si>
  <si>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</si>
  <si>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</si>
  <si>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</si>
  <si>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</si>
  <si>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</si>
  <si>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</si>
  <si>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</si>
  <si>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</si>
  <si>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</si>
  <si>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</si>
  <si>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</si>
  <si>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</si>
  <si>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</si>
  <si>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</si>
  <si>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</si>
  <si>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</si>
  <si>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</si>
  <si>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</si>
  <si>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</si>
  <si>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</si>
  <si>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</si>
  <si>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</si>
  <si>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</si>
  <si>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</si>
  <si>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</si>
  <si>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</si>
  <si>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</si>
  <si>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</si>
  <si>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</si>
  <si>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</si>
  <si>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</si>
  <si>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</si>
  <si>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</si>
  <si>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</si>
  <si>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</si>
  <si>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</si>
  <si>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</si>
  <si>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</si>
  <si>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</si>
  <si>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</si>
  <si>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</si>
  <si>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</si>
  <si>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</si>
  <si>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</si>
  <si>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</si>
  <si>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</si>
  <si>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</si>
  <si>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</si>
  <si>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</si>
  <si>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</si>
  <si>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</si>
  <si>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</si>
  <si>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</si>
  <si>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</si>
  <si>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</si>
  <si>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</si>
  <si>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</si>
  <si>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</si>
  <si>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</si>
  <si>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</si>
  <si>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</si>
  <si>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</si>
  <si>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</si>
  <si>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</si>
  <si>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</si>
  <si>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</si>
  <si>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</si>
  <si>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</si>
  <si>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</si>
  <si>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</si>
  <si>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</si>
  <si>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</si>
  <si>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</si>
  <si>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</si>
  <si>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</si>
  <si>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</si>
  <si>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</si>
  <si>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</si>
  <si>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</si>
  <si>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</si>
  <si>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</si>
  <si>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</si>
  <si>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</si>
  <si>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</si>
  <si>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</si>
  <si>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</si>
  <si>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</si>
  <si>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</si>
  <si>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</si>
  <si>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</si>
  <si>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</si>
  <si>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</si>
  <si>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</si>
  <si>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</si>
  <si>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</si>
  <si>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</si>
  <si>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</si>
  <si>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</si>
  <si>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</si>
  <si>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</si>
  <si>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</si>
  <si>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</si>
  <si>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</si>
  <si>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</si>
  <si>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</si>
  <si>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</si>
  <si>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</si>
  <si>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</si>
  <si>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</si>
  <si>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</si>
  <si>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</si>
  <si>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</si>
  <si>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</si>
  <si>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</si>
  <si>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</si>
  <si>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</si>
  <si>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</si>
  <si>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</si>
  <si>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</si>
  <si>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</si>
  <si>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</si>
  <si>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</si>
  <si>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</si>
  <si>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</si>
  <si>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</si>
  <si>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</si>
  <si>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</si>
  <si>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</si>
  <si>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</si>
  <si>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</si>
  <si>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</si>
  <si>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</si>
  <si>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</si>
  <si>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</si>
  <si>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</si>
  <si>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</si>
  <si>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</si>
  <si>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</si>
  <si>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</si>
  <si>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</si>
  <si>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</si>
  <si>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</si>
  <si>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</si>
  <si>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</si>
  <si>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</si>
  <si>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</si>
  <si>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</si>
  <si>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</si>
  <si>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</si>
  <si>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</si>
  <si>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</si>
  <si>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</si>
  <si>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</si>
  <si>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</si>
  <si>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</si>
  <si>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</si>
  <si>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</si>
  <si>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</si>
  <si>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</si>
  <si>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</si>
  <si>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</si>
  <si>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</si>
  <si>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</si>
  <si>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</si>
  <si>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</si>
  <si>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</si>
  <si>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</si>
  <si>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</si>
  <si>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</si>
  <si>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</si>
  <si>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</si>
  <si>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</si>
  <si>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</si>
  <si>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</si>
  <si>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</si>
  <si>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</si>
  <si>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</si>
  <si>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</si>
  <si>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</si>
  <si>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</si>
  <si>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</si>
  <si>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</si>
  <si>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</si>
  <si>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</si>
  <si>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</si>
  <si>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</si>
  <si>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</si>
  <si>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</si>
  <si>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</si>
  <si>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</si>
  <si>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</si>
  <si>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</si>
  <si>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</si>
  <si>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</si>
  <si>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</si>
  <si>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</si>
  <si>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</si>
  <si>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</si>
  <si>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</si>
  <si>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</si>
  <si>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</si>
  <si>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</si>
  <si>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</si>
  <si>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</si>
  <si>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</si>
  <si>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</si>
  <si>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</si>
  <si>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</si>
  <si>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</si>
  <si>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</si>
  <si>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</si>
  <si>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</si>
  <si>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</si>
  <si>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</si>
  <si>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</si>
  <si>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</si>
  <si>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</si>
  <si>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</si>
  <si>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</si>
  <si>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</si>
  <si>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</si>
  <si>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</si>
  <si>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</si>
  <si>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</si>
  <si>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</si>
  <si>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</si>
  <si>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</si>
  <si>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</si>
  <si>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</si>
  <si>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</si>
  <si>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</si>
  <si>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</si>
  <si>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</si>
  <si>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</si>
  <si>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</si>
  <si>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</si>
  <si>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</si>
  <si>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</si>
  <si>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</si>
  <si>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</si>
  <si>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</si>
  <si>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</si>
  <si>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</si>
  <si>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</si>
  <si>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</si>
  <si>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</si>
  <si>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</si>
  <si>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</si>
  <si>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</si>
  <si>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</si>
  <si>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</si>
  <si>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</si>
  <si>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</si>
  <si>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</si>
  <si>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</si>
  <si>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</si>
  <si>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</si>
  <si>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</si>
  <si>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</si>
  <si>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</si>
  <si>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</si>
  <si>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</si>
  <si>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</si>
  <si>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</si>
  <si>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</si>
  <si>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</si>
  <si>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</si>
  <si>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</si>
  <si>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</si>
  <si>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</si>
  <si>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</si>
  <si>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</si>
  <si>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</si>
  <si>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</si>
  <si>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</si>
  <si>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</si>
  <si>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</si>
  <si>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</si>
  <si>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</si>
  <si>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</si>
  <si>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</si>
  <si>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</si>
  <si>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</si>
  <si>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</si>
  <si>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</si>
  <si>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</si>
  <si>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</si>
  <si>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</si>
  <si>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</si>
  <si>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</si>
  <si>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</si>
  <si>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</si>
  <si>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</si>
  <si>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</si>
  <si>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</si>
  <si>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</si>
  <si>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</si>
  <si>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</si>
  <si>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</si>
  <si>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</si>
  <si>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</si>
  <si>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</si>
  <si>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</si>
  <si>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</si>
  <si>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</si>
  <si>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</si>
  <si>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</si>
  <si>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</si>
  <si>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</si>
  <si>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</si>
  <si>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</si>
  <si>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</si>
  <si>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</si>
  <si>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</si>
  <si>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</si>
  <si>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</si>
  <si>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</si>
  <si>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</si>
  <si>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</si>
  <si>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</si>
  <si>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</si>
  <si>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</si>
  <si>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</si>
  <si>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</si>
  <si>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</si>
  <si>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</si>
  <si>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</si>
  <si>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</si>
  <si>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</si>
  <si>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</si>
  <si>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</si>
  <si>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</si>
  <si>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</si>
  <si>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</si>
  <si>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</si>
  <si>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</si>
  <si>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</si>
  <si>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</si>
  <si>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</si>
  <si>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</si>
  <si>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</si>
  <si>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</si>
  <si>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</si>
  <si>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</si>
  <si>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</si>
  <si>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</si>
  <si>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</si>
  <si>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</si>
  <si>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</si>
  <si>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</si>
  <si>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</si>
  <si>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</si>
  <si>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</si>
  <si>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</si>
  <si>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</si>
  <si>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</si>
  <si>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</si>
  <si>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</si>
  <si>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</si>
  <si>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</si>
  <si>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次</t>
    <phoneticPr fontId="26" type="noConversion"/>
  </si>
  <si>
    <t>支</t>
    <phoneticPr fontId="26" type="noConversion"/>
  </si>
  <si>
    <t>快</t>
    <phoneticPr fontId="26" type="noConversion"/>
  </si>
  <si>
    <t>主</t>
    <phoneticPr fontId="26" type="noConversion"/>
  </si>
  <si>
    <t>多面临街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</si>
  <si>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</si>
  <si>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</si>
  <si>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</si>
  <si>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</si>
  <si>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</si>
  <si>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</si>
  <si>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</si>
  <si>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</si>
  <si>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</si>
  <si>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</si>
  <si>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</si>
  <si>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</si>
  <si>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</si>
  <si>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</si>
  <si>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</si>
  <si>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</si>
  <si>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</si>
  <si>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</si>
  <si>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</si>
  <si>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</si>
  <si>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</si>
  <si>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</si>
  <si>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</si>
  <si>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</si>
  <si>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</si>
  <si>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</si>
  <si>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</si>
  <si>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</si>
  <si>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</si>
  <si>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</si>
  <si>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</si>
  <si>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</si>
  <si>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</si>
  <si>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</si>
  <si>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</si>
  <si>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</si>
  <si>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</si>
  <si>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</si>
  <si>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</si>
  <si>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</si>
  <si>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售价</t>
  </si>
  <si>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</si>
  <si>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</si>
  <si>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</si>
  <si>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</si>
  <si>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</si>
  <si>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</si>
  <si>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</si>
  <si>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</si>
  <si>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</si>
  <si>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</si>
  <si>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</si>
  <si>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</si>
  <si>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</si>
  <si>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</si>
  <si>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</si>
  <si>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</si>
  <si>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</si>
  <si>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</si>
  <si>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</si>
  <si>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</si>
  <si>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</si>
  <si>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</si>
  <si>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</si>
  <si>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</si>
  <si>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</si>
  <si>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</si>
  <si>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</si>
  <si>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</si>
  <si>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</si>
  <si>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</si>
  <si>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</si>
  <si>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</si>
  <si>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</si>
  <si>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</si>
  <si>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</si>
  <si>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</si>
  <si>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</si>
  <si>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</si>
  <si>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</si>
  <si>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</si>
  <si>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</si>
  <si>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</si>
  <si>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</si>
  <si>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</si>
  <si>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</si>
  <si>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</si>
  <si>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</si>
  <si>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</si>
  <si>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</si>
  <si>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</si>
  <si>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</si>
  <si>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</si>
  <si>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</si>
  <si>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</si>
  <si>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</si>
  <si>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</si>
  <si>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</si>
  <si>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</si>
  <si>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</si>
  <si>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</si>
  <si>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</si>
  <si>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</si>
  <si>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</si>
  <si>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</si>
  <si>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</si>
  <si>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</si>
  <si>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</si>
  <si>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</si>
  <si>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</si>
  <si>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</si>
  <si>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</si>
  <si>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</si>
  <si>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</si>
  <si>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</si>
  <si>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</si>
  <si>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</si>
  <si>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</si>
  <si>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</si>
  <si>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</si>
  <si>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</si>
  <si>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</si>
  <si>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</si>
  <si>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</si>
  <si>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</si>
  <si>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</si>
  <si>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</si>
  <si>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</si>
  <si>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</si>
  <si>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</si>
  <si>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</si>
  <si>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</si>
  <si>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区域内有中央健身公园，自然环境较好；无大学等人文设施，人文环境较差；综合评价环境状况一般</t>
    <phoneticPr fontId="27" type="noConversion"/>
  </si>
  <si>
    <t>一般</t>
    <phoneticPr fontId="26" type="noConversion"/>
  </si>
  <si>
    <t>较大</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</si>
  <si>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</si>
  <si>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</si>
  <si>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</si>
  <si>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</si>
  <si>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</si>
  <si>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</si>
  <si>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</si>
  <si>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</si>
  <si>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</si>
  <si>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</si>
  <si>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</si>
  <si>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</si>
  <si>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</si>
  <si>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</si>
  <si>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</si>
  <si>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</si>
  <si>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</si>
  <si>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</si>
  <si>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</si>
  <si>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</si>
  <si>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</si>
  <si>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</si>
  <si>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</si>
  <si>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</si>
  <si>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</si>
  <si>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</si>
  <si>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</si>
  <si>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</si>
  <si>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</si>
  <si>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</si>
  <si>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</si>
  <si>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</si>
  <si>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</si>
  <si>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</si>
  <si>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</si>
  <si>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</si>
  <si>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</si>
  <si>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</si>
  <si>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</si>
  <si>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</si>
  <si>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</si>
  <si>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</si>
  <si>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</si>
  <si>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</si>
  <si>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</si>
  <si>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</si>
  <si>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</si>
  <si>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</si>
  <si>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</si>
  <si>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</si>
  <si>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</si>
  <si>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</si>
  <si>
    <t>宜兴市太华镇石门村凤石线北侧地块</t>
  </si>
  <si>
    <t>小于或等于0...</t>
  </si>
  <si>
    <t>江苏实盟建设投资...</t>
  </si>
  <si>
    <t>滨湖区胡埭工业园洋溪河西侧</t>
  </si>
  <si>
    <t>≤0.9-1...</t>
  </si>
  <si>
    <t>无锡和旗汽车销售...</t>
  </si>
  <si>
    <t>滨湖区胡埭工业园洋溪河与钱胡路交叉口西北侧</t>
  </si>
  <si>
    <t>宝爱捷(中国)汽...</t>
  </si>
  <si>
    <t>惠山区洛社镇中惠路北侧、石洲路西侧</t>
  </si>
  <si>
    <t>≤0.3</t>
  </si>
  <si>
    <t>中国石化销售股份...</t>
  </si>
  <si>
    <t>经开区贡湖大道与梁东璐交叉口东南侧</t>
  </si>
  <si>
    <t>≤0.55</t>
  </si>
  <si>
    <t>无锡通达实业有限...</t>
  </si>
  <si>
    <t>惠山区惠山新城堰裕路北侧</t>
  </si>
  <si>
    <t>无锡华润车用气有...</t>
  </si>
  <si>
    <t>江阴市澄江街道青山路北、通渡路西</t>
  </si>
  <si>
    <t>≥1.40且...</t>
  </si>
  <si>
    <t>江苏长博集团有限...</t>
  </si>
  <si>
    <t>新吴区华谊路以东、科研北路以南、净慧西道以西、和风路以北</t>
  </si>
  <si>
    <t>≤2.5</t>
  </si>
  <si>
    <t>SK海力士(无锡...</t>
  </si>
  <si>
    <t>梁溪区广益路与北新河交叉口西北侧</t>
  </si>
  <si>
    <t>≤1.3-1...</t>
  </si>
  <si>
    <t>无锡市广益建设发...</t>
  </si>
  <si>
    <t>江阴市祝塘镇东至纵二路、西至香草花苑、南至镇北路</t>
  </si>
  <si>
    <t>≤2</t>
  </si>
  <si>
    <t>徐军</t>
  </si>
  <si>
    <t>锡东新城商务区盛源路西、鹏程路南</t>
  </si>
  <si>
    <t>≤1.2-1...</t>
  </si>
  <si>
    <t>无锡市江铃汽车销...</t>
  </si>
  <si>
    <t>新吴区兴昌路东侧、金城路南侧</t>
  </si>
  <si>
    <t>无锡市美新汽车销...</t>
  </si>
  <si>
    <t>滨湖区科教产业园中邦蠡湖商务园东侧</t>
  </si>
  <si>
    <t>≤3.7</t>
  </si>
  <si>
    <t>无锡元秦文化科技...</t>
  </si>
  <si>
    <t>新吴区兴昌路东侧、前卫路北侧</t>
  </si>
  <si>
    <t>无锡市新吴区江溪...</t>
  </si>
  <si>
    <t>≤3.5</t>
  </si>
  <si>
    <t>无锡山水励合影视...</t>
  </si>
  <si>
    <t>宜兴市丁蜀镇通蜀西路南侧</t>
  </si>
  <si>
    <t>宜兴市兴陶资产管...</t>
  </si>
  <si>
    <t>宜兴市丁蜀镇蜀山社区(原丁山监狱青龙山F地块)</t>
  </si>
  <si>
    <t>洛阳宝龙置业发展...</t>
  </si>
  <si>
    <t>宜兴市丁蜀镇蜀山社区(原丁山监狱青龙山G地块)</t>
  </si>
  <si>
    <t>宜兴市丁蜀镇范蠡大道西侧</t>
  </si>
  <si>
    <t>宜兴市青龙加油站</t>
  </si>
  <si>
    <t>滨湖区具区路和塘绛路交叉口东南侧</t>
  </si>
  <si>
    <t>≤2.79</t>
  </si>
  <si>
    <t>无锡融创城投资有...</t>
  </si>
  <si>
    <t>梁溪区锡沪路与江海东路交叉口东北侧</t>
  </si>
  <si>
    <t>无锡居然之家置业...</t>
  </si>
  <si>
    <t>梁溪区塘南路与清名路交叉口西南侧</t>
  </si>
  <si>
    <t>≤1.2</t>
  </si>
  <si>
    <t>无锡市清名桥古运...</t>
  </si>
  <si>
    <t>江阴市城东街道石山路西、龙泉路北</t>
  </si>
  <si>
    <t>张新炯</t>
  </si>
  <si>
    <t>锡东新城商务区弘业东路北、中心河西地块</t>
  </si>
  <si>
    <t>莱茵达体育小镇建...</t>
  </si>
  <si>
    <t>宜兴市张渚镇茗岭村、龙池村</t>
  </si>
  <si>
    <t>≤1</t>
  </si>
  <si>
    <t>江苏茗岭窑湖小镇...</t>
  </si>
  <si>
    <t>梁溪区北中路与桐桥港路交叉口东北侧(锡虞西路与广桐路交叉口东北侧)</t>
  </si>
  <si>
    <t>≤0.7</t>
  </si>
  <si>
    <t>中国石化销售有限...</t>
  </si>
  <si>
    <t>宜兴市丁蜀镇华骐污水处理公司东侧</t>
  </si>
  <si>
    <t>宜兴市宏德食品有...</t>
  </si>
  <si>
    <t>宜兴市新庄街道湖滨公路西侧</t>
  </si>
  <si>
    <t>≤0.25</t>
  </si>
  <si>
    <t>宜兴市振球加油站...</t>
  </si>
  <si>
    <t>宜兴市官林镇紫京路北侧官丰路西侧</t>
  </si>
  <si>
    <t>≤1.6</t>
  </si>
  <si>
    <t>宜兴通六置业发展...</t>
  </si>
  <si>
    <t>宜兴市丁蜀镇洛涧村</t>
  </si>
  <si>
    <t>≤0.6</t>
  </si>
  <si>
    <t>宜兴井邑田酒店管...</t>
  </si>
  <si>
    <t>宜兴市湖父镇竹海村</t>
  </si>
  <si>
    <t>≤1.5</t>
  </si>
  <si>
    <t>宜兴竹海磬山滑雪...</t>
  </si>
  <si>
    <t>新吴区震泽路与净慧西道交叉口东南侧</t>
  </si>
  <si>
    <t>≤2.3</t>
  </si>
  <si>
    <t>大连万达商业管理...</t>
  </si>
  <si>
    <t>锡山区东北塘街道芙蓉三路北、裕隆大厦东</t>
  </si>
  <si>
    <t>≤4.5</t>
  </si>
  <si>
    <t>无锡市华方置业有...</t>
  </si>
  <si>
    <t>锡东新城商务区吉利4S东、鹏程路南</t>
  </si>
  <si>
    <t>无锡汇鑫汽车销售...</t>
  </si>
  <si>
    <t>锡东新城商务区盛源路西、东安路辅道北</t>
  </si>
  <si>
    <t>无锡尚瑞汽车销售...</t>
  </si>
  <si>
    <t>宜兴市和桥镇和桥庭院南侧</t>
  </si>
  <si>
    <t>≤0.8</t>
  </si>
  <si>
    <t>宜兴市建安房地产...</t>
  </si>
  <si>
    <t>江阴市顾山镇行政区域范围内东至香山北路、南至人民西路</t>
  </si>
  <si>
    <t>鸿杉置业(江阴)...</t>
  </si>
  <si>
    <t>宜兴市高塍镇赛特大道东侧</t>
  </si>
  <si>
    <t>≤3</t>
  </si>
  <si>
    <t>鹏鹞(宜兴)环保...</t>
  </si>
  <si>
    <t>江阴市城东街道创富路东、滨江东路南、秦望山路西、规划道路北</t>
  </si>
  <si>
    <t>≥2.4并且...</t>
  </si>
  <si>
    <t>深圳市星河房地产...</t>
  </si>
  <si>
    <t>江阴市城东街道秦望山路东、滨江东路南、定山路西、规划道路北</t>
  </si>
  <si>
    <t>≥1.6并且...</t>
  </si>
  <si>
    <t>江阴市澄江街道虹桥路东、青果路西、塘前路北侧</t>
  </si>
  <si>
    <t>≥1并且≤1...</t>
  </si>
  <si>
    <t>江阴城建产业发展...</t>
  </si>
  <si>
    <t>宜兴市西渚镇筱里村</t>
  </si>
  <si>
    <t>宜兴市水墨田园温...</t>
  </si>
  <si>
    <t>江阴市周庄镇龙云路东侧、老澄杨路北侧</t>
  </si>
  <si>
    <t>≤0.5</t>
  </si>
  <si>
    <t>中国石油天然气股...</t>
  </si>
  <si>
    <t>宜兴市周铁镇解放路西侧、华仁大道南侧</t>
  </si>
  <si>
    <t>宜兴南六置业发展...</t>
  </si>
  <si>
    <t>滨湖区清源路与万顺道交叉口西北侧</t>
  </si>
  <si>
    <t>江苏华莱坞投资发...</t>
  </si>
  <si>
    <t>宜兴市和桥镇大生村</t>
  </si>
  <si>
    <t>≤0.45</t>
  </si>
  <si>
    <t>宜兴市湖父镇银湖村</t>
  </si>
  <si>
    <t>江苏揽云度假酒店...</t>
  </si>
  <si>
    <t>宜兴市湖父镇大东村</t>
  </si>
  <si>
    <t>8号楼</t>
    <phoneticPr fontId="233" type="noConversion"/>
  </si>
  <si>
    <t>办公</t>
    <phoneticPr fontId="233" type="noConversion"/>
  </si>
  <si>
    <t>商业</t>
    <phoneticPr fontId="233" type="noConversion"/>
  </si>
  <si>
    <t>设备</t>
    <phoneticPr fontId="233" type="noConversion"/>
  </si>
  <si>
    <t>9号楼</t>
    <phoneticPr fontId="233" type="noConversion"/>
  </si>
  <si>
    <t>公共配套设施</t>
    <phoneticPr fontId="233" type="noConversion"/>
  </si>
  <si>
    <r>
      <t>1</t>
    </r>
    <r>
      <rPr>
        <sz val="11"/>
        <color theme="1"/>
        <rFont val="宋体"/>
        <family val="3"/>
        <charset val="134"/>
        <scheme val="minor"/>
      </rPr>
      <t>2号楼</t>
    </r>
    <phoneticPr fontId="233" type="noConversion"/>
  </si>
  <si>
    <t>13号楼</t>
    <phoneticPr fontId="233" type="noConversion"/>
  </si>
  <si>
    <t>10号楼</t>
    <phoneticPr fontId="233" type="noConversion"/>
  </si>
  <si>
    <t>11号楼</t>
    <phoneticPr fontId="233" type="noConversion"/>
  </si>
  <si>
    <t>地下</t>
    <phoneticPr fontId="233" type="noConversion"/>
  </si>
  <si>
    <t>古运传奇</t>
    <phoneticPr fontId="3" type="noConversion"/>
  </si>
  <si>
    <t>华宸汇普金融大厦</t>
    <phoneticPr fontId="3" type="noConversion"/>
  </si>
  <si>
    <t>中海新天地</t>
    <phoneticPr fontId="3" type="noConversion"/>
  </si>
  <si>
    <t>金轮星光</t>
    <phoneticPr fontId="3" type="noConversion"/>
  </si>
  <si>
    <t>经开区吴都路与清舒道交叉口西南侧</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</si>
</sst>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
      <b/>
      <sz val="9"/>
      <color rgb="FF444444"/>
      <name val="Verdana"/>
      <family val="2"/>
    </font>
    <font>
      <b/>
      <sz val="9"/>
      <color rgb="FFEB3D3E"/>
      <name val="Verdana"/>
      <family val="2"/>
    </font>
    <font>
      <sz val="9"/>
      <color rgb="FF333333"/>
      <name val="Verdana"/>
      <family val="2"/>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
      <left/>
      <right/>
      <top/>
      <bottom style="medium">
        <color rgb="FFD6D6D6"/>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291" fillId="0" borderId="0" applyNumberFormat="0" applyFill="0" applyBorder="0" applyAlignment="0" applyProtection="0">
      <alignment vertical="center"/>
    </xf>
  </cellStyleXfs>
  <cellXfs count="38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88" fillId="13" borderId="160" xfId="0" applyFont="1" applyFill="1" applyBorder="1" applyAlignment="1">
      <alignment horizontal="center" vertical="center"/>
    </xf>
    <xf numFmtId="0" fontId="289" fillId="13" borderId="160" xfId="0" applyFont="1" applyFill="1" applyBorder="1" applyAlignment="1">
      <alignment horizontal="center" vertical="center"/>
    </xf>
    <xf numFmtId="0" fontId="291" fillId="13" borderId="160" xfId="16" applyFill="1" applyBorder="1" applyAlignment="1">
      <alignment horizontal="left" vertical="center"/>
    </xf>
    <xf numFmtId="0" fontId="290" fillId="13" borderId="160" xfId="0" applyFont="1" applyFill="1" applyBorder="1" applyAlignment="1">
      <alignment horizontal="left" vertical="center"/>
    </xf>
    <xf numFmtId="0" fontId="290" fillId="13" borderId="160" xfId="0" applyFont="1" applyFill="1" applyBorder="1" applyAlignment="1">
      <alignment horizontal="right" vertical="center"/>
    </xf>
    <xf numFmtId="14" fontId="290" fillId="13" borderId="160" xfId="0" applyNumberFormat="1" applyFont="1" applyFill="1" applyBorder="1" applyAlignment="1">
      <alignment horizontal="left" vertical="center"/>
    </xf>
    <xf numFmtId="0" fontId="291" fillId="6" borderId="160" xfId="16" applyFill="1" applyBorder="1" applyAlignment="1">
      <alignment horizontal="left" vertical="center"/>
    </xf>
    <xf numFmtId="0" fontId="290" fillId="6" borderId="160" xfId="0" applyFont="1" applyFill="1" applyBorder="1" applyAlignment="1">
      <alignment horizontal="left" vertical="center"/>
    </xf>
    <xf numFmtId="0" fontId="290" fillId="6" borderId="160" xfId="0" applyFont="1" applyFill="1" applyBorder="1" applyAlignment="1">
      <alignment horizontal="right" vertical="center"/>
    </xf>
    <xf numFmtId="14" fontId="290" fillId="6" borderId="160" xfId="0" applyNumberFormat="1" applyFont="1" applyFill="1" applyBorder="1" applyAlignment="1">
      <alignment horizontal="lef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twoCellAnchor editAs="oneCell">
    <xdr:from>
      <xdr:col>0</xdr:col>
      <xdr:colOff>238125</xdr:colOff>
      <xdr:row>98</xdr:row>
      <xdr:rowOff>57150</xdr:rowOff>
    </xdr:from>
    <xdr:to>
      <xdr:col>12</xdr:col>
      <xdr:colOff>294240</xdr:colOff>
      <xdr:row>127</xdr:row>
      <xdr:rowOff>18434</xdr:rowOff>
    </xdr:to>
    <xdr:pic>
      <xdr:nvPicPr>
        <xdr:cNvPr id="2" name="图片 1"/>
        <xdr:cNvPicPr>
          <a:picLocks noChangeAspect="1"/>
        </xdr:cNvPicPr>
      </xdr:nvPicPr>
      <xdr:blipFill>
        <a:blip xmlns:r="http://schemas.openxmlformats.org/officeDocument/2006/relationships" r:embed="rId9"/>
        <a:stretch>
          <a:fillRect/>
        </a:stretch>
      </xdr:blipFill>
      <xdr:spPr>
        <a:xfrm>
          <a:off x="238125" y="16859250"/>
          <a:ext cx="8285715" cy="4933334"/>
        </a:xfrm>
        <a:prstGeom prst="rect">
          <a:avLst/>
        </a:prstGeom>
      </xdr:spPr>
    </xdr:pic>
    <xdr:clientData/>
  </xdr:twoCellAnchor>
  <xdr:twoCellAnchor editAs="oneCell">
    <xdr:from>
      <xdr:col>0</xdr:col>
      <xdr:colOff>428625</xdr:colOff>
      <xdr:row>124</xdr:row>
      <xdr:rowOff>95250</xdr:rowOff>
    </xdr:from>
    <xdr:to>
      <xdr:col>12</xdr:col>
      <xdr:colOff>103787</xdr:colOff>
      <xdr:row>131</xdr:row>
      <xdr:rowOff>57005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28625" y="21355050"/>
          <a:ext cx="7904762" cy="1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10</xdr:col>
      <xdr:colOff>17791</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0"/>
          <a:ext cx="10076191" cy="6180953"/>
        </a:xfrm>
        <a:prstGeom prst="rect">
          <a:avLst/>
        </a:prstGeom>
      </xdr:spPr>
    </xdr:pic>
    <xdr:clientData/>
  </xdr:twoCellAnchor>
  <xdr:twoCellAnchor editAs="oneCell">
    <xdr:from>
      <xdr:col>0</xdr:col>
      <xdr:colOff>0</xdr:colOff>
      <xdr:row>91</xdr:row>
      <xdr:rowOff>0</xdr:rowOff>
    </xdr:from>
    <xdr:to>
      <xdr:col>10</xdr:col>
      <xdr:colOff>674933</xdr:colOff>
      <xdr:row>136</xdr:row>
      <xdr:rowOff>94274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87725"/>
          <a:ext cx="10742858" cy="7809524"/>
        </a:xfrm>
        <a:prstGeom prst="rect">
          <a:avLst/>
        </a:prstGeom>
      </xdr:spPr>
    </xdr:pic>
    <xdr:clientData/>
  </xdr:twoCellAnchor>
  <xdr:twoCellAnchor editAs="oneCell">
    <xdr:from>
      <xdr:col>0</xdr:col>
      <xdr:colOff>0</xdr:colOff>
      <xdr:row>137</xdr:row>
      <xdr:rowOff>0</xdr:rowOff>
    </xdr:from>
    <xdr:to>
      <xdr:col>10</xdr:col>
      <xdr:colOff>1046361</xdr:colOff>
      <xdr:row>179</xdr:row>
      <xdr:rowOff>151481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3974425"/>
          <a:ext cx="11114286" cy="7352381"/>
        </a:xfrm>
        <a:prstGeom prst="rect">
          <a:avLst/>
        </a:prstGeom>
      </xdr:spPr>
    </xdr:pic>
    <xdr:clientData/>
  </xdr:twoCellAnchor>
  <xdr:twoCellAnchor editAs="oneCell">
    <xdr:from>
      <xdr:col>0</xdr:col>
      <xdr:colOff>0</xdr:colOff>
      <xdr:row>180</xdr:row>
      <xdr:rowOff>0</xdr:rowOff>
    </xdr:from>
    <xdr:to>
      <xdr:col>12</xdr:col>
      <xdr:colOff>446102</xdr:colOff>
      <xdr:row>224</xdr:row>
      <xdr:rowOff>37153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1346775"/>
          <a:ext cx="12590477" cy="7580953"/>
        </a:xfrm>
        <a:prstGeom prst="rect">
          <a:avLst/>
        </a:prstGeom>
      </xdr:spPr>
    </xdr:pic>
    <xdr:clientData/>
  </xdr:twoCellAnchor>
  <xdr:twoCellAnchor editAs="oneCell">
    <xdr:from>
      <xdr:col>0</xdr:col>
      <xdr:colOff>0</xdr:colOff>
      <xdr:row>225</xdr:row>
      <xdr:rowOff>0</xdr:rowOff>
    </xdr:from>
    <xdr:to>
      <xdr:col>6</xdr:col>
      <xdr:colOff>627671</xdr:colOff>
      <xdr:row>270</xdr:row>
      <xdr:rowOff>132370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062025"/>
          <a:ext cx="7838096" cy="7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6" Type="http://schemas.openxmlformats.org/officeDocument/2006/relationships/hyperlink" Target="https://creis.fang.com/land/Detail?sParceliD=912d23d1-07e8-48b0-b1c6-48a4ab9fa8b4" TargetMode="External"/><Relationship Id="rId21" Type="http://schemas.openxmlformats.org/officeDocument/2006/relationships/hyperlink" Target="https://creis.fang.com/land/Detail?sParceliD=1bd1bcfe-b3e8-4df8-a9b9-c2f623e3808b" TargetMode="External"/><Relationship Id="rId34" Type="http://schemas.openxmlformats.org/officeDocument/2006/relationships/hyperlink" Target="https://creis.fang.com/land/Detail?sParceliD=28422137-e934-49bf-b4e6-528a92aad2b9" TargetMode="External"/><Relationship Id="rId42" Type="http://schemas.openxmlformats.org/officeDocument/2006/relationships/hyperlink" Target="https://creis.fang.com/land/Detail?sParceliD=802e12b6-d585-4ff6-83e8-427e856f4838" TargetMode="External"/><Relationship Id="rId47" Type="http://schemas.openxmlformats.org/officeDocument/2006/relationships/hyperlink" Target="https://creis.fang.com/land/Detail?sParceliD=16b24f37-5a19-493c-8c12-bdaee92b7ba1" TargetMode="External"/><Relationship Id="rId50" Type="http://schemas.openxmlformats.org/officeDocument/2006/relationships/hyperlink" Target="https://creis.fang.com/land/Tyc/Index/?sParcelID=583f4db3-7120-4539-a7a9-72b1e98f43d9" TargetMode="External"/><Relationship Id="rId55" Type="http://schemas.openxmlformats.org/officeDocument/2006/relationships/hyperlink" Target="https://creis.fang.com/land/Detail?sParceliD=f81ff7fc-efbc-451d-ac44-b9a41fa63cb8" TargetMode="External"/><Relationship Id="rId63" Type="http://schemas.openxmlformats.org/officeDocument/2006/relationships/hyperlink" Target="https://creis.fang.com/land/Detail?sParceliD=0f381026-a006-49af-8cab-c74135d5c5dd" TargetMode="External"/><Relationship Id="rId68" Type="http://schemas.openxmlformats.org/officeDocument/2006/relationships/hyperlink" Target="https://creis.fang.com/land/Tyc/Index/?sParcelID=7be52908-b0bd-4a26-b233-69f7f02fe6a7" TargetMode="External"/><Relationship Id="rId76" Type="http://schemas.openxmlformats.org/officeDocument/2006/relationships/hyperlink" Target="https://creis.fang.com/land/Tyc/Index/?sParcelID=1e99119e-532b-49f8-9850-6c38f166108f" TargetMode="External"/><Relationship Id="rId84" Type="http://schemas.openxmlformats.org/officeDocument/2006/relationships/hyperlink" Target="https://creis.fang.com/land/Tyc/Index/?sParcelID=dd981c84-235a-4417-bb9e-fb358c751def" TargetMode="External"/><Relationship Id="rId89" Type="http://schemas.openxmlformats.org/officeDocument/2006/relationships/hyperlink" Target="https://creis.fang.com/land/Detail?sParceliD=a23412a7-57b5-464d-84b4-a6af8cae72ae" TargetMode="External"/><Relationship Id="rId97" Type="http://schemas.openxmlformats.org/officeDocument/2006/relationships/hyperlink" Target="https://creis.fang.com/land/Detail?sParceliD=49ac57c5-0c6b-4bbf-bd93-4ac8c7e1a5a3" TargetMode="External"/><Relationship Id="rId7" Type="http://schemas.openxmlformats.org/officeDocument/2006/relationships/hyperlink" Target="https://creis.fang.com/land/Detail?sParceliD=aa44ce2c-8f17-411f-b5e8-0e2a26be6085" TargetMode="External"/><Relationship Id="rId71" Type="http://schemas.openxmlformats.org/officeDocument/2006/relationships/hyperlink" Target="https://creis.fang.com/land/Detail?sParceliD=15dff3c3-8b6d-46a6-a2d6-8f3758ca311e" TargetMode="External"/><Relationship Id="rId92" Type="http://schemas.openxmlformats.org/officeDocument/2006/relationships/hyperlink" Target="https://creis.fang.com/land/Tyc/Index/?sParcelID=f5c2480f-2968-4f50-9724-1af906771ae6" TargetMode="External"/><Relationship Id="rId2" Type="http://schemas.openxmlformats.org/officeDocument/2006/relationships/hyperlink" Target="https://creis.fang.com/land/Tyc/Index/?sParcelID=d4cdc633-e7c3-442a-8707-8242c33e7f7d" TargetMode="External"/><Relationship Id="rId16" Type="http://schemas.openxmlformats.org/officeDocument/2006/relationships/hyperlink" Target="https://creis.fang.com/land/Tyc/Index/?sParcelID=6b45d9bf-38d0-4200-81d4-f2da3be8e579" TargetMode="External"/><Relationship Id="rId29" Type="http://schemas.openxmlformats.org/officeDocument/2006/relationships/hyperlink" Target="https://creis.fang.com/land/Tyc/Index/?sParcelID=93e8cd06-1929-49d5-9e6b-c6fb65f88a87" TargetMode="External"/><Relationship Id="rId11" Type="http://schemas.openxmlformats.org/officeDocument/2006/relationships/hyperlink" Target="https://creis.fang.com/land/Detail?sParceliD=fd453957-6d19-4faf-a22b-08b3d8b3af66" TargetMode="External"/><Relationship Id="rId24" Type="http://schemas.openxmlformats.org/officeDocument/2006/relationships/hyperlink" Target="https://creis.fang.com/land/Detail?sParceliD=6aa34804-df7c-4f0d-a374-42689fdb8e2b" TargetMode="External"/><Relationship Id="rId32" Type="http://schemas.openxmlformats.org/officeDocument/2006/relationships/hyperlink" Target="https://creis.fang.com/land/Detail?sParceliD=031096d2-55a1-483c-b831-89b7a55cd1b9" TargetMode="External"/><Relationship Id="rId37" Type="http://schemas.openxmlformats.org/officeDocument/2006/relationships/hyperlink" Target="https://creis.fang.com/land/Tyc/Index/?sParcelID=98acfb6f-cd98-4823-ba00-1f7242f4bbc9" TargetMode="External"/><Relationship Id="rId40" Type="http://schemas.openxmlformats.org/officeDocument/2006/relationships/hyperlink" Target="https://creis.fang.com/land/Detail?sParceliD=4668c4d0-44da-400a-8fc2-94ad65c6f19f" TargetMode="External"/><Relationship Id="rId45" Type="http://schemas.openxmlformats.org/officeDocument/2006/relationships/hyperlink" Target="https://creis.fang.com/land/Tyc/Index/?sParcelID=fcdea27c-19d7-4bd6-8767-186c4b8c301f" TargetMode="External"/><Relationship Id="rId53" Type="http://schemas.openxmlformats.org/officeDocument/2006/relationships/hyperlink" Target="https://creis.fang.com/land/Detail?sParceliD=924de161-5936-4110-9a82-08a34fe1d0b6" TargetMode="External"/><Relationship Id="rId58" Type="http://schemas.openxmlformats.org/officeDocument/2006/relationships/hyperlink" Target="https://creis.fang.com/land/Tyc/Index/?sParcelID=bc34da70-1398-4461-a7a3-7bb7a52d218d" TargetMode="External"/><Relationship Id="rId66" Type="http://schemas.openxmlformats.org/officeDocument/2006/relationships/hyperlink" Target="https://creis.fang.com/land/Tyc/Index/?sParcelID=47dd5202-050b-4c78-a27f-7bb396568e12" TargetMode="External"/><Relationship Id="rId74" Type="http://schemas.openxmlformats.org/officeDocument/2006/relationships/hyperlink" Target="https://creis.fang.com/land/Tyc/Index/?sParcelID=c9ec083a-6173-4da6-bad2-3475a3d20ff5" TargetMode="External"/><Relationship Id="rId79" Type="http://schemas.openxmlformats.org/officeDocument/2006/relationships/hyperlink" Target="https://creis.fang.com/land/Detail?sParceliD=49c93dd5-6f2f-47be-9c0d-aaed8cf34086" TargetMode="External"/><Relationship Id="rId87" Type="http://schemas.openxmlformats.org/officeDocument/2006/relationships/hyperlink" Target="https://creis.fang.com/land/Detail?sParceliD=4f385d04-6518-4db1-a54a-f32380718267" TargetMode="External"/><Relationship Id="rId5" Type="http://schemas.openxmlformats.org/officeDocument/2006/relationships/hyperlink" Target="https://creis.fang.com/land/Detail?sParceliD=5776fdd7-92bf-4f9b-86b4-e7613b42ba79" TargetMode="External"/><Relationship Id="rId61" Type="http://schemas.openxmlformats.org/officeDocument/2006/relationships/hyperlink" Target="https://creis.fang.com/land/Detail?sParceliD=35cceb6d-0a72-463b-a077-69d192898df0" TargetMode="External"/><Relationship Id="rId82" Type="http://schemas.openxmlformats.org/officeDocument/2006/relationships/hyperlink" Target="https://creis.fang.com/land/Tyc/Index/?sParcelID=525d9770-993d-4fd5-acc0-db00f96ae78e" TargetMode="External"/><Relationship Id="rId90" Type="http://schemas.openxmlformats.org/officeDocument/2006/relationships/hyperlink" Target="https://creis.fang.com/land/Tyc/Index/?sParcelID=a23412a7-57b5-464d-84b4-a6af8cae72ae" TargetMode="External"/><Relationship Id="rId95" Type="http://schemas.openxmlformats.org/officeDocument/2006/relationships/hyperlink" Target="https://creis.fang.com/land/Detail?sParceliD=1c6da8d0-5347-4206-91b7-211ac19987fd" TargetMode="External"/><Relationship Id="rId19" Type="http://schemas.openxmlformats.org/officeDocument/2006/relationships/hyperlink" Target="https://creis.fang.com/land/Detail?sParceliD=c972c955-239a-41e2-be29-f538511b37e9" TargetMode="External"/><Relationship Id="rId14" Type="http://schemas.openxmlformats.org/officeDocument/2006/relationships/hyperlink" Target="https://creis.fang.com/land/Tyc/Index/?sParcelID=08425961-6f03-4589-bf3d-27df02fbf4a9" TargetMode="External"/><Relationship Id="rId22" Type="http://schemas.openxmlformats.org/officeDocument/2006/relationships/hyperlink" Target="https://creis.fang.com/land/Detail?sParceliD=391b4f60-9217-477e-8d8c-82b8346d2c64" TargetMode="External"/><Relationship Id="rId27" Type="http://schemas.openxmlformats.org/officeDocument/2006/relationships/hyperlink" Target="https://creis.fang.com/land/Tyc/Index/?sParcelID=912d23d1-07e8-48b0-b1c6-48a4ab9fa8b4" TargetMode="External"/><Relationship Id="rId30" Type="http://schemas.openxmlformats.org/officeDocument/2006/relationships/hyperlink" Target="https://creis.fang.com/land/Detail?sParceliD=b99bb968-7cd1-4834-a896-bdcd7e0b8ed4" TargetMode="External"/><Relationship Id="rId35" Type="http://schemas.openxmlformats.org/officeDocument/2006/relationships/hyperlink" Target="https://creis.fang.com/land/Tyc/Index/?sParcelID=28422137-e934-49bf-b4e6-528a92aad2b9" TargetMode="External"/><Relationship Id="rId43" Type="http://schemas.openxmlformats.org/officeDocument/2006/relationships/hyperlink" Target="https://creis.fang.com/land/Tyc/Index/?sParcelID=802e12b6-d585-4ff6-83e8-427e856f4838" TargetMode="External"/><Relationship Id="rId48" Type="http://schemas.openxmlformats.org/officeDocument/2006/relationships/hyperlink" Target="https://creis.fang.com/land/Tyc/Index/?sParcelID=16b24f37-5a19-493c-8c12-bdaee92b7ba1" TargetMode="External"/><Relationship Id="rId56" Type="http://schemas.openxmlformats.org/officeDocument/2006/relationships/hyperlink" Target="https://creis.fang.com/land/Tyc/Index/?sParcelID=f81ff7fc-efbc-451d-ac44-b9a41fa63cb8" TargetMode="External"/><Relationship Id="rId64" Type="http://schemas.openxmlformats.org/officeDocument/2006/relationships/hyperlink" Target="https://creis.fang.com/land/Tyc/Index/?sParcelID=0f381026-a006-49af-8cab-c74135d5c5dd" TargetMode="External"/><Relationship Id="rId69" Type="http://schemas.openxmlformats.org/officeDocument/2006/relationships/hyperlink" Target="https://creis.fang.com/land/Detail?sParceliD=9af068d3-c384-4ad3-bec3-61d909806766" TargetMode="External"/><Relationship Id="rId77" Type="http://schemas.openxmlformats.org/officeDocument/2006/relationships/hyperlink" Target="https://creis.fang.com/land/Detail?sParceliD=18ed2e5e-2980-499c-bec4-bbec4470fa6f" TargetMode="External"/><Relationship Id="rId100" Type="http://schemas.openxmlformats.org/officeDocument/2006/relationships/drawing" Target="../drawings/drawing2.xml"/><Relationship Id="rId8" Type="http://schemas.openxmlformats.org/officeDocument/2006/relationships/hyperlink" Target="https://creis.fang.com/land/Tyc/Index/?sParcelID=aa44ce2c-8f17-411f-b5e8-0e2a26be6085" TargetMode="External"/><Relationship Id="rId51" Type="http://schemas.openxmlformats.org/officeDocument/2006/relationships/hyperlink" Target="https://creis.fang.com/land/Detail?sParceliD=e125bc4b-edb9-4b1c-9cdf-ce8595d421e0" TargetMode="External"/><Relationship Id="rId72" Type="http://schemas.openxmlformats.org/officeDocument/2006/relationships/hyperlink" Target="https://creis.fang.com/land/Tyc/Index/?sParcelID=15dff3c3-8b6d-46a6-a2d6-8f3758ca311e" TargetMode="External"/><Relationship Id="rId80" Type="http://schemas.openxmlformats.org/officeDocument/2006/relationships/hyperlink" Target="https://creis.fang.com/land/Tyc/Index/?sParcelID=49c93dd5-6f2f-47be-9c0d-aaed8cf34086" TargetMode="External"/><Relationship Id="rId85" Type="http://schemas.openxmlformats.org/officeDocument/2006/relationships/hyperlink" Target="https://creis.fang.com/land/Detail?sParceliD=69795874-8f73-46b9-af4b-7569c35e9ef4" TargetMode="External"/><Relationship Id="rId93" Type="http://schemas.openxmlformats.org/officeDocument/2006/relationships/hyperlink" Target="https://creis.fang.com/land/Detail?sParceliD=03a51a05-3e15-47ea-a040-7d2b7be5ce95" TargetMode="External"/><Relationship Id="rId98" Type="http://schemas.openxmlformats.org/officeDocument/2006/relationships/hyperlink" Target="https://creis.fang.com/land/Tyc/Index/?sParcelID=49ac57c5-0c6b-4bbf-bd93-4ac8c7e1a5a3" TargetMode="External"/><Relationship Id="rId3" Type="http://schemas.openxmlformats.org/officeDocument/2006/relationships/hyperlink" Target="https://creis.fang.com/land/Detail?sParceliD=3eb39dab-0d23-4e66-a1ae-ee51e98f324e" TargetMode="External"/><Relationship Id="rId12" Type="http://schemas.openxmlformats.org/officeDocument/2006/relationships/hyperlink" Target="https://creis.fang.com/land/Tyc/Index/?sParcelID=fd453957-6d19-4faf-a22b-08b3d8b3af66" TargetMode="External"/><Relationship Id="rId17" Type="http://schemas.openxmlformats.org/officeDocument/2006/relationships/hyperlink" Target="https://creis.fang.com/land/Detail?sParceliD=c6ae4626-ddd4-4b6f-9540-32fa3fb23d09" TargetMode="External"/><Relationship Id="rId25" Type="http://schemas.openxmlformats.org/officeDocument/2006/relationships/hyperlink" Target="https://creis.fang.com/land/Tyc/Index/?sParcelID=6aa34804-df7c-4f0d-a374-42689fdb8e2b" TargetMode="External"/><Relationship Id="rId33" Type="http://schemas.openxmlformats.org/officeDocument/2006/relationships/hyperlink" Target="https://creis.fang.com/land/Tyc/Index/?sParcelID=031096d2-55a1-483c-b831-89b7a55cd1b9" TargetMode="External"/><Relationship Id="rId38" Type="http://schemas.openxmlformats.org/officeDocument/2006/relationships/hyperlink" Target="https://creis.fang.com/land/Detail?sParceliD=ef42d8f0-b0cb-4446-ae3e-d9ff8e6d2f78" TargetMode="External"/><Relationship Id="rId46" Type="http://schemas.openxmlformats.org/officeDocument/2006/relationships/hyperlink" Target="https://creis.fang.com/land/Detail?sParceliD=abe2a275-6811-4a99-8aa7-af73dc459e59" TargetMode="External"/><Relationship Id="rId59" Type="http://schemas.openxmlformats.org/officeDocument/2006/relationships/hyperlink" Target="https://creis.fang.com/land/Detail?sParceliD=7fe710bf-477e-4436-ae58-c8f8f784be2c" TargetMode="External"/><Relationship Id="rId67" Type="http://schemas.openxmlformats.org/officeDocument/2006/relationships/hyperlink" Target="https://creis.fang.com/land/Detail?sParceliD=7be52908-b0bd-4a26-b233-69f7f02fe6a7" TargetMode="External"/><Relationship Id="rId20" Type="http://schemas.openxmlformats.org/officeDocument/2006/relationships/hyperlink" Target="https://creis.fang.com/land/Tyc/Index/?sParcelID=c972c955-239a-41e2-be29-f538511b37e9" TargetMode="External"/><Relationship Id="rId41" Type="http://schemas.openxmlformats.org/officeDocument/2006/relationships/hyperlink" Target="https://creis.fang.com/land/Tyc/Index/?sParcelID=4668c4d0-44da-400a-8fc2-94ad65c6f19f" TargetMode="External"/><Relationship Id="rId54" Type="http://schemas.openxmlformats.org/officeDocument/2006/relationships/hyperlink" Target="https://creis.fang.com/land/Tyc/Index/?sParcelID=924de161-5936-4110-9a82-08a34fe1d0b6" TargetMode="External"/><Relationship Id="rId62" Type="http://schemas.openxmlformats.org/officeDocument/2006/relationships/hyperlink" Target="https://creis.fang.com/land/Tyc/Index/?sParcelID=35cceb6d-0a72-463b-a077-69d192898df0" TargetMode="External"/><Relationship Id="rId70" Type="http://schemas.openxmlformats.org/officeDocument/2006/relationships/hyperlink" Target="https://creis.fang.com/land/Tyc/Index/?sParcelID=9af068d3-c384-4ad3-bec3-61d909806766" TargetMode="External"/><Relationship Id="rId75" Type="http://schemas.openxmlformats.org/officeDocument/2006/relationships/hyperlink" Target="https://creis.fang.com/land/Detail?sParceliD=1e99119e-532b-49f8-9850-6c38f166108f" TargetMode="External"/><Relationship Id="rId83" Type="http://schemas.openxmlformats.org/officeDocument/2006/relationships/hyperlink" Target="https://creis.fang.com/land/Detail?sParceliD=dd981c84-235a-4417-bb9e-fb358c751def" TargetMode="External"/><Relationship Id="rId88" Type="http://schemas.openxmlformats.org/officeDocument/2006/relationships/hyperlink" Target="https://creis.fang.com/land/Tyc/Index/?sParcelID=4f385d04-6518-4db1-a54a-f32380718267" TargetMode="External"/><Relationship Id="rId91" Type="http://schemas.openxmlformats.org/officeDocument/2006/relationships/hyperlink" Target="https://creis.fang.com/land/Detail?sParceliD=f5c2480f-2968-4f50-9724-1af906771ae6" TargetMode="External"/><Relationship Id="rId96" Type="http://schemas.openxmlformats.org/officeDocument/2006/relationships/hyperlink" Target="https://creis.fang.com/land/Tyc/Index/?sParcelID=1c6da8d0-5347-4206-91b7-211ac19987fd" TargetMode="External"/><Relationship Id="rId1" Type="http://schemas.openxmlformats.org/officeDocument/2006/relationships/hyperlink" Target="https://creis.fang.com/land/Detail?sParceliD=d4cdc633-e7c3-442a-8707-8242c33e7f7d" TargetMode="External"/><Relationship Id="rId6" Type="http://schemas.openxmlformats.org/officeDocument/2006/relationships/hyperlink" Target="https://creis.fang.com/land/Tyc/Index/?sParcelID=5776fdd7-92bf-4f9b-86b4-e7613b42ba79" TargetMode="External"/><Relationship Id="rId15" Type="http://schemas.openxmlformats.org/officeDocument/2006/relationships/hyperlink" Target="https://creis.fang.com/land/Detail?sParceliD=6b45d9bf-38d0-4200-81d4-f2da3be8e579" TargetMode="External"/><Relationship Id="rId23" Type="http://schemas.openxmlformats.org/officeDocument/2006/relationships/hyperlink" Target="https://creis.fang.com/land/Tyc/Index/?sParcelID=391b4f60-9217-477e-8d8c-82b8346d2c64" TargetMode="External"/><Relationship Id="rId28" Type="http://schemas.openxmlformats.org/officeDocument/2006/relationships/hyperlink" Target="https://creis.fang.com/land/Detail?sParceliD=93e8cd06-1929-49d5-9e6b-c6fb65f88a87" TargetMode="External"/><Relationship Id="rId36" Type="http://schemas.openxmlformats.org/officeDocument/2006/relationships/hyperlink" Target="https://creis.fang.com/land/Detail?sParceliD=98acfb6f-cd98-4823-ba00-1f7242f4bbc9" TargetMode="External"/><Relationship Id="rId49" Type="http://schemas.openxmlformats.org/officeDocument/2006/relationships/hyperlink" Target="https://creis.fang.com/land/Detail?sParceliD=583f4db3-7120-4539-a7a9-72b1e98f43d9" TargetMode="External"/><Relationship Id="rId57" Type="http://schemas.openxmlformats.org/officeDocument/2006/relationships/hyperlink" Target="https://creis.fang.com/land/Detail?sParceliD=bc34da70-1398-4461-a7a3-7bb7a52d218d" TargetMode="External"/><Relationship Id="rId10" Type="http://schemas.openxmlformats.org/officeDocument/2006/relationships/hyperlink" Target="https://creis.fang.com/land/Tyc/Index/?sParcelID=bbfff951-cc6a-41e1-80a2-b7475476f75d" TargetMode="External"/><Relationship Id="rId31" Type="http://schemas.openxmlformats.org/officeDocument/2006/relationships/hyperlink" Target="https://creis.fang.com/land/Tyc/Index/?sParcelID=b99bb968-7cd1-4834-a896-bdcd7e0b8ed4" TargetMode="External"/><Relationship Id="rId44" Type="http://schemas.openxmlformats.org/officeDocument/2006/relationships/hyperlink" Target="https://creis.fang.com/land/Detail?sParceliD=fcdea27c-19d7-4bd6-8767-186c4b8c301f" TargetMode="External"/><Relationship Id="rId52" Type="http://schemas.openxmlformats.org/officeDocument/2006/relationships/hyperlink" Target="https://creis.fang.com/land/Tyc/Index/?sParcelID=e125bc4b-edb9-4b1c-9cdf-ce8595d421e0" TargetMode="External"/><Relationship Id="rId60" Type="http://schemas.openxmlformats.org/officeDocument/2006/relationships/hyperlink" Target="https://creis.fang.com/land/Tyc/Index/?sParcelID=7fe710bf-477e-4436-ae58-c8f8f784be2c" TargetMode="External"/><Relationship Id="rId65" Type="http://schemas.openxmlformats.org/officeDocument/2006/relationships/hyperlink" Target="https://creis.fang.com/land/Detail?sParceliD=47dd5202-050b-4c78-a27f-7bb396568e12" TargetMode="External"/><Relationship Id="rId73" Type="http://schemas.openxmlformats.org/officeDocument/2006/relationships/hyperlink" Target="https://creis.fang.com/land/Detail?sParceliD=c9ec083a-6173-4da6-bad2-3475a3d20ff5" TargetMode="External"/><Relationship Id="rId78" Type="http://schemas.openxmlformats.org/officeDocument/2006/relationships/hyperlink" Target="https://creis.fang.com/land/Tyc/Index/?sParcelID=18ed2e5e-2980-499c-bec4-bbec4470fa6f" TargetMode="External"/><Relationship Id="rId81" Type="http://schemas.openxmlformats.org/officeDocument/2006/relationships/hyperlink" Target="https://creis.fang.com/land/Detail?sParceliD=525d9770-993d-4fd5-acc0-db00f96ae78e" TargetMode="External"/><Relationship Id="rId86" Type="http://schemas.openxmlformats.org/officeDocument/2006/relationships/hyperlink" Target="https://creis.fang.com/land/Tyc/Index/?sParcelID=69795874-8f73-46b9-af4b-7569c35e9ef4" TargetMode="External"/><Relationship Id="rId94" Type="http://schemas.openxmlformats.org/officeDocument/2006/relationships/hyperlink" Target="https://creis.fang.com/land/Tyc/Index/?sParcelID=03a51a05-3e15-47ea-a040-7d2b7be5ce95" TargetMode="External"/><Relationship Id="rId99" Type="http://schemas.openxmlformats.org/officeDocument/2006/relationships/printerSettings" Target="../printerSettings/printerSettings39.bin"/><Relationship Id="rId4" Type="http://schemas.openxmlformats.org/officeDocument/2006/relationships/hyperlink" Target="https://creis.fang.com/land/Tyc/Index/?sParcelID=3eb39dab-0d23-4e66-a1ae-ee51e98f324e" TargetMode="External"/><Relationship Id="rId9" Type="http://schemas.openxmlformats.org/officeDocument/2006/relationships/hyperlink" Target="https://creis.fang.com/land/Detail?sParceliD=bbfff951-cc6a-41e1-80a2-b7475476f75d" TargetMode="External"/><Relationship Id="rId13" Type="http://schemas.openxmlformats.org/officeDocument/2006/relationships/hyperlink" Target="https://creis.fang.com/land/Detail?sParceliD=08425961-6f03-4589-bf3d-27df02fbf4a9" TargetMode="External"/><Relationship Id="rId18" Type="http://schemas.openxmlformats.org/officeDocument/2006/relationships/hyperlink" Target="https://creis.fang.com/land/Tyc/Index/?sParcelID=c6ae4626-ddd4-4b6f-9540-32fa3fb23d09" TargetMode="External"/><Relationship Id="rId39" Type="http://schemas.openxmlformats.org/officeDocument/2006/relationships/hyperlink" Target="https://creis.fang.com/land/Tyc/Index/?sParcelID=ef42d8f0-b0cb-4446-ae3e-d9ff8e6d2f7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84" t="s">
        <v>2996</v>
      </c>
      <c r="C6" s="3204">
        <f ca="1">ROUND(F6*F8*F7*(1-F9),0)</f>
        <v>0</v>
      </c>
      <c r="D6" s="3205" t="s">
        <v>2997</v>
      </c>
      <c r="E6" s="3206" t="s">
        <v>2998</v>
      </c>
      <c r="F6" s="3207">
        <f ca="1">INDIRECT("'数据-取费表'!u"&amp;$G$1)</f>
        <v>0</v>
      </c>
      <c r="G6" s="3196"/>
      <c r="H6" s="3203" t="s">
        <v>2995</v>
      </c>
      <c r="I6" s="3584" t="s">
        <v>2996</v>
      </c>
      <c r="J6" s="3208">
        <f ca="1">ROUND(M6*M8*M7*(1-M9),0)</f>
        <v>0</v>
      </c>
      <c r="K6" s="3209" t="s">
        <v>2999</v>
      </c>
      <c r="L6" s="3206" t="s">
        <v>2998</v>
      </c>
      <c r="M6" s="3207">
        <f ca="1">INDIRECT("'数据-取费表'!z"&amp;$G$1)</f>
        <v>0</v>
      </c>
    </row>
    <row r="7" spans="1:37" ht="18" customHeight="1">
      <c r="A7" s="3210"/>
      <c r="B7" s="3585"/>
      <c r="C7" s="3211"/>
      <c r="D7" s="3212"/>
      <c r="E7" s="3213" t="s">
        <v>3000</v>
      </c>
      <c r="F7" s="3207">
        <f ca="1">IF(INDIRECT("'数据-取费表'!ah"&amp;$G$1)="",INDIRECT("'数据-取费表'!k"&amp;$G$1),INDIRECT("'数据-取费表'!ah"&amp;$G$1))</f>
        <v>807</v>
      </c>
      <c r="G7" s="3196"/>
      <c r="H7" s="3214"/>
      <c r="I7" s="3585"/>
      <c r="J7" s="3215"/>
      <c r="K7" s="3212"/>
      <c r="L7" s="3206" t="s">
        <v>3000</v>
      </c>
      <c r="M7" s="3207">
        <f ca="1">F7</f>
        <v>807</v>
      </c>
    </row>
    <row r="8" spans="1:37" ht="18" customHeight="1">
      <c r="A8" s="3214"/>
      <c r="B8" s="3585"/>
      <c r="C8" s="3215"/>
      <c r="D8" s="3212"/>
      <c r="E8" s="3206" t="s">
        <v>3001</v>
      </c>
      <c r="F8" s="3207">
        <f ca="1">INDIRECT("'数据-取费表'!ai"&amp;$G$1)</f>
        <v>365</v>
      </c>
      <c r="G8" s="3196"/>
      <c r="H8" s="3214"/>
      <c r="I8" s="3585"/>
      <c r="J8" s="3215"/>
      <c r="K8" s="3212"/>
      <c r="L8" s="3206" t="s">
        <v>3001</v>
      </c>
      <c r="M8" s="3207">
        <f ca="1">INDIRECT("'数据-取费表'!ai"&amp;$G$1)</f>
        <v>365</v>
      </c>
    </row>
    <row r="9" spans="1:37" ht="18" customHeight="1">
      <c r="A9" s="3214"/>
      <c r="B9" s="3586"/>
      <c r="C9" s="3215"/>
      <c r="D9" s="3212"/>
      <c r="E9" s="3206" t="s">
        <v>3002</v>
      </c>
      <c r="F9" s="3216">
        <f ca="1">INDIRECT("'数据-取费表'!w"&amp;$G$1)</f>
        <v>0</v>
      </c>
      <c r="G9" s="3196"/>
      <c r="H9" s="3214"/>
      <c r="I9" s="3586"/>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33.979999999999997</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-5384285</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87" t="s">
        <v>3140</v>
      </c>
      <c r="L53" s="3588"/>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33.979999999999997</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-5384285</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-5384285</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3307</v>
      </c>
      <c r="C15" s="1546"/>
    </row>
    <row r="16" spans="1:23">
      <c r="A16" s="8" t="s">
        <v>117</v>
      </c>
      <c r="B16" s="3487" t="s">
        <v>3308</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16"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日，在规划利用条件下、设定土地开发程度为红线外“七通”、宗地内场地，设定用途为，剩余土地使用年限为的出让国有建设用地使用权价格。</v>
      </c>
      <c r="D53" s="1760"/>
      <c r="E53" s="1760"/>
    </row>
    <row r="54" spans="1:5">
      <c r="A54" s="3616"/>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16"/>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16"/>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16"/>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SheetLayoutView="90" workbookViewId="0">
      <selection activeCell="B3" sqref="B3"/>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32" t="str">
        <f>IF(B10="北京市","北京市",C10)&amp;F10&amp;B16&amp;"国有建设用地使用权"&amp;B9&amp;"预评估"</f>
        <v>出让国有建设用地使用权抵押价格预评估</v>
      </c>
      <c r="C1" s="3633"/>
      <c r="D1" s="3633"/>
      <c r="E1" s="3633"/>
      <c r="F1" s="3633"/>
      <c r="G1" s="3633"/>
      <c r="H1" s="3633"/>
      <c r="I1" s="3634"/>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c r="C3" s="1654" t="s">
        <v>1996</v>
      </c>
      <c r="D3" s="1653">
        <v>43923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3398</v>
      </c>
      <c r="C4" s="1837">
        <f ca="1">SUMIF(土地估价师,B4,估价师及机构信息!E3:E24)</f>
        <v>2002110125</v>
      </c>
      <c r="D4" s="1834" t="s">
        <v>3476</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38" t="s">
        <v>1945</v>
      </c>
      <c r="E8" s="1835" t="s">
        <v>3193</v>
      </c>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39"/>
      <c r="E9" s="1665" t="s">
        <v>952</v>
      </c>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3446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35"/>
      <c r="C12" s="3636"/>
      <c r="D12" s="3637"/>
      <c r="E12" s="1690" t="s">
        <v>2062</v>
      </c>
      <c r="F12" s="3653" t="s">
        <v>2893</v>
      </c>
      <c r="G12" s="3654"/>
      <c r="H12" s="3654"/>
      <c r="I12" s="3655"/>
      <c r="J12" s="1685"/>
      <c r="K12" s="1765"/>
      <c r="L12" s="1714"/>
      <c r="M12" s="1714"/>
      <c r="N12" s="1685"/>
      <c r="O12" s="1686"/>
      <c r="P12" s="1685"/>
      <c r="Q12" s="1685"/>
      <c r="R12" s="1685"/>
      <c r="S12" s="1685"/>
      <c r="T12" s="1685"/>
      <c r="U12" s="1685"/>
    </row>
    <row r="13" spans="1:21">
      <c r="A13" s="1678" t="s">
        <v>2060</v>
      </c>
      <c r="B13" s="3635"/>
      <c r="C13" s="3636"/>
      <c r="D13" s="3637"/>
      <c r="E13" s="1690" t="s">
        <v>2062</v>
      </c>
      <c r="F13" s="3653" t="s">
        <v>2894</v>
      </c>
      <c r="G13" s="3654"/>
      <c r="H13" s="3654"/>
      <c r="I13" s="3655"/>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64</v>
      </c>
      <c r="E19" s="1676">
        <f>IF(B16="出让",IF(E17="","",ROUNDDOWN(MIN((E17-$D$3)/365,E18),2)),E18)</f>
        <v>33.979999999999997</v>
      </c>
      <c r="F19" s="1676">
        <f>IF(B16="出让",IF(F17="","",ROUNDDOWN(MIN((F17-$D$3)/365,F18),2)),F18)</f>
        <v>33.979999999999997</v>
      </c>
      <c r="G19" s="1676">
        <f>IF(B16="出让",IF(G17="","",ROUNDDOWN(MIN((G17-$D$3)/365,G18),2)),G18)</f>
        <v>43.99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50"/>
      <c r="E20" s="3651"/>
      <c r="F20" s="3651"/>
      <c r="G20" s="3651"/>
      <c r="H20" s="3651"/>
      <c r="I20" s="3652"/>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40" t="s">
        <v>1999</v>
      </c>
      <c r="F21" s="3641"/>
      <c r="G21" s="3641"/>
      <c r="H21" s="3641"/>
      <c r="I21" s="3642"/>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40" t="s">
        <v>2895</v>
      </c>
      <c r="F22" s="3641"/>
      <c r="G22" s="3641"/>
      <c r="H22" s="3641"/>
      <c r="I22" s="3642"/>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43" t="s">
        <v>1967</v>
      </c>
      <c r="C24" s="3644"/>
      <c r="D24" s="3645" t="s">
        <v>1968</v>
      </c>
      <c r="E24" s="3646"/>
      <c r="F24" s="1699" t="s">
        <v>1969</v>
      </c>
      <c r="G24" s="1685"/>
      <c r="H24" s="1685"/>
      <c r="I24" s="1698"/>
      <c r="J24" s="1685"/>
      <c r="K24" s="3631"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31"/>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31"/>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17" t="s">
        <v>2002</v>
      </c>
      <c r="B31" s="1755" t="s">
        <v>2003</v>
      </c>
      <c r="C31" s="3656"/>
      <c r="D31" s="3657"/>
      <c r="E31" s="1685"/>
      <c r="F31" s="1685"/>
      <c r="G31" s="1685"/>
      <c r="H31" s="1685"/>
      <c r="I31" s="1698"/>
      <c r="J31" s="1685"/>
      <c r="K31" s="2473"/>
      <c r="L31" s="1685"/>
      <c r="M31" s="1685"/>
      <c r="N31" s="1685"/>
      <c r="O31" s="1685"/>
      <c r="P31" s="1685"/>
      <c r="Q31" s="1685"/>
      <c r="R31" s="1685"/>
      <c r="S31" s="1685"/>
      <c r="T31" s="1685"/>
      <c r="U31" s="1685"/>
    </row>
    <row r="32" spans="1:21">
      <c r="A32" s="3617"/>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17"/>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18"/>
      <c r="B34" s="1652" t="s">
        <v>2006</v>
      </c>
      <c r="C34" s="3619"/>
      <c r="D34" s="3620"/>
      <c r="E34" s="1685"/>
      <c r="F34" s="1685"/>
      <c r="G34" s="1685"/>
      <c r="H34" s="1685"/>
      <c r="I34" s="1698"/>
      <c r="J34" s="1685"/>
      <c r="K34" s="2473"/>
      <c r="L34" s="1685"/>
      <c r="M34" s="1685"/>
      <c r="N34" s="1685"/>
      <c r="O34" s="1685"/>
      <c r="P34" s="1685"/>
      <c r="Q34" s="1685"/>
      <c r="R34" s="1685"/>
      <c r="S34" s="1685"/>
      <c r="T34" s="1685"/>
      <c r="U34" s="1685"/>
    </row>
    <row r="35" spans="1:21">
      <c r="A35" s="3621" t="s">
        <v>847</v>
      </c>
      <c r="B35" s="1713"/>
      <c r="C35" s="1767" t="str">
        <f>IF(B35="场地平整","——","具体情况：")</f>
        <v>具体情况：</v>
      </c>
      <c r="D35" s="3623"/>
      <c r="E35" s="3624"/>
      <c r="F35" s="3624"/>
      <c r="G35" s="3624"/>
      <c r="H35" s="3624"/>
      <c r="I35" s="3625"/>
      <c r="J35" s="1685"/>
      <c r="K35" s="1766"/>
      <c r="L35" s="1714"/>
      <c r="M35" s="1714"/>
      <c r="N35" s="1685"/>
      <c r="O35" s="1686"/>
      <c r="P35" s="1685"/>
      <c r="Q35" s="1685"/>
      <c r="R35" s="1685"/>
      <c r="S35" s="1685"/>
      <c r="T35" s="1685"/>
      <c r="U35" s="1685"/>
    </row>
    <row r="36" spans="1:21">
      <c r="A36" s="3617"/>
      <c r="B36" s="3626" t="s">
        <v>2055</v>
      </c>
      <c r="C36" s="3627"/>
      <c r="D36" s="1783"/>
      <c r="E36" s="3628"/>
      <c r="F36" s="3628"/>
      <c r="G36" s="1678" t="str">
        <f>IF(B35="场地未平整","估价结果处理","")</f>
        <v/>
      </c>
      <c r="H36" s="3629"/>
      <c r="I36" s="3629"/>
      <c r="J36" s="1685"/>
      <c r="K36" s="1766"/>
      <c r="L36" s="1714"/>
      <c r="M36" s="1714"/>
      <c r="N36" s="1685"/>
      <c r="O36" s="1686"/>
      <c r="P36" s="1685"/>
      <c r="Q36" s="1685"/>
      <c r="R36" s="1685"/>
      <c r="S36" s="1685"/>
      <c r="T36" s="1685"/>
      <c r="U36" s="1685"/>
    </row>
    <row r="37" spans="1:21" ht="28.5">
      <c r="A37" s="3617"/>
      <c r="B37" s="3647"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17"/>
      <c r="B38" s="3648"/>
      <c r="C38" s="1660" t="s">
        <v>850</v>
      </c>
      <c r="D38" s="1782">
        <f>ROUNDDOWN(MIN(('数据-取费表'!$B$2-D37)/365,D34),1)</f>
        <v>120.3</v>
      </c>
      <c r="E38" s="1718" t="s">
        <v>851</v>
      </c>
      <c r="F38" s="1685"/>
      <c r="G38" s="1685"/>
      <c r="H38" s="1685"/>
      <c r="I38" s="1698"/>
      <c r="J38" s="1685"/>
      <c r="K38" s="1766"/>
      <c r="L38" s="1685"/>
      <c r="M38" s="1685"/>
      <c r="N38" s="1685"/>
      <c r="O38" s="1685"/>
      <c r="P38" s="1685"/>
      <c r="Q38" s="1685"/>
      <c r="R38" s="1685"/>
      <c r="S38" s="1685"/>
      <c r="T38" s="1685"/>
      <c r="U38" s="1685"/>
    </row>
    <row r="39" spans="1:21">
      <c r="A39" s="3618"/>
      <c r="B39" s="3649"/>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30" t="s">
        <v>1986</v>
      </c>
      <c r="T40" s="1722" t="str">
        <f>NUMBERSTRING(7-K40,1)&amp;"通"</f>
        <v>七通</v>
      </c>
      <c r="U40" s="1685"/>
    </row>
    <row r="41" spans="1:21">
      <c r="A41" s="1654"/>
      <c r="B41" s="3622" t="s">
        <v>1720</v>
      </c>
      <c r="C41" s="3622"/>
      <c r="D41" s="3622"/>
      <c r="E41" s="3622"/>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30"/>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6" sqref="E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3337</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8" t="s">
        <v>0</v>
      </c>
      <c r="B1" s="3658" t="s">
        <v>4</v>
      </c>
      <c r="C1" s="3658" t="s">
        <v>5</v>
      </c>
      <c r="D1" s="3659" t="s">
        <v>40</v>
      </c>
      <c r="E1" s="3659" t="s">
        <v>41</v>
      </c>
      <c r="F1" s="3659"/>
      <c r="G1" s="3659"/>
      <c r="H1" s="3659"/>
      <c r="I1" s="3659"/>
      <c r="J1" s="3659"/>
      <c r="K1" s="3659"/>
      <c r="L1" s="3659"/>
      <c r="M1" s="3659"/>
    </row>
    <row r="2" spans="1:13" ht="27" customHeight="1">
      <c r="A2" s="3658"/>
      <c r="B2" s="3658"/>
      <c r="C2" s="3658"/>
      <c r="D2" s="3659"/>
      <c r="E2" s="3659" t="s">
        <v>24</v>
      </c>
      <c r="F2" s="3659" t="s">
        <v>25</v>
      </c>
      <c r="G2" s="3659"/>
      <c r="H2" s="3659"/>
      <c r="I2" s="3659"/>
      <c r="J2" s="3659" t="s">
        <v>26</v>
      </c>
      <c r="K2" s="3659"/>
      <c r="L2" s="3659"/>
      <c r="M2" s="3659"/>
    </row>
    <row r="3" spans="1:13" ht="28.5">
      <c r="A3" s="3658"/>
      <c r="B3" s="3658"/>
      <c r="C3" s="3658"/>
      <c r="D3" s="3659"/>
      <c r="E3" s="365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9" t="s">
        <v>42</v>
      </c>
      <c r="B9" s="3659"/>
      <c r="C9" s="365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G18" sqref="G18"/>
    </sheetView>
  </sheetViews>
  <sheetFormatPr defaultRowHeight="13.5"/>
  <cols>
    <col min="2" max="2" width="10.75" customWidth="1"/>
    <col min="3" max="3" width="0" hidden="1" customWidth="1"/>
    <col min="9" max="9" width="10.125" customWidth="1"/>
    <col min="10" max="10" width="0" hidden="1" customWidth="1"/>
  </cols>
  <sheetData>
    <row r="1" spans="1:13" ht="14.25" thickBot="1">
      <c r="A1" s="3662" t="s">
        <v>3468</v>
      </c>
      <c r="B1" s="3663"/>
      <c r="C1" s="3663"/>
      <c r="D1" s="3663"/>
      <c r="E1" s="3663"/>
      <c r="F1" s="3663"/>
      <c r="H1" s="3662" t="s">
        <v>3469</v>
      </c>
      <c r="I1" s="3663"/>
      <c r="J1" s="3663"/>
      <c r="K1" s="3663"/>
      <c r="L1" s="3663"/>
      <c r="M1" s="3663"/>
    </row>
    <row r="2" spans="1:13" ht="14.25" thickBot="1">
      <c r="A2" s="3664" t="s">
        <v>3461</v>
      </c>
      <c r="B2" s="3664" t="s">
        <v>3462</v>
      </c>
      <c r="C2" s="3664" t="s">
        <v>3463</v>
      </c>
      <c r="D2" s="3660" t="s">
        <v>3464</v>
      </c>
      <c r="E2" s="3666"/>
      <c r="F2" s="3661"/>
      <c r="H2" s="3664" t="s">
        <v>3461</v>
      </c>
      <c r="I2" s="3664" t="s">
        <v>3462</v>
      </c>
      <c r="J2" s="3664" t="s">
        <v>3463</v>
      </c>
      <c r="K2" s="3660" t="s">
        <v>3464</v>
      </c>
      <c r="L2" s="3666"/>
      <c r="M2" s="3661"/>
    </row>
    <row r="3" spans="1:13" ht="14.25" thickBot="1">
      <c r="A3" s="3665"/>
      <c r="B3" s="3665"/>
      <c r="C3" s="3665"/>
      <c r="D3" s="3556" t="s">
        <v>24</v>
      </c>
      <c r="E3" s="3556" t="s">
        <v>3199</v>
      </c>
      <c r="F3" s="3556" t="s">
        <v>3204</v>
      </c>
      <c r="H3" s="3665"/>
      <c r="I3" s="3665"/>
      <c r="J3" s="3665"/>
      <c r="K3" s="3556" t="s">
        <v>24</v>
      </c>
      <c r="L3" s="3556" t="s">
        <v>3199</v>
      </c>
      <c r="M3" s="3556" t="s">
        <v>3204</v>
      </c>
    </row>
    <row r="4" spans="1:13" ht="14.25" thickBot="1">
      <c r="A4" s="3557" t="s">
        <v>3465</v>
      </c>
      <c r="B4" s="3556" t="s">
        <v>3218</v>
      </c>
      <c r="C4" s="3558">
        <v>13524.11</v>
      </c>
      <c r="D4" s="3558">
        <v>99340</v>
      </c>
      <c r="E4" s="3558">
        <v>9934</v>
      </c>
      <c r="F4" s="3558" t="s">
        <v>952</v>
      </c>
      <c r="H4" s="3557" t="s">
        <v>3465</v>
      </c>
      <c r="I4" s="3556" t="s">
        <v>3218</v>
      </c>
      <c r="J4" s="3558"/>
      <c r="K4" s="3558">
        <f>L4</f>
        <v>73359</v>
      </c>
      <c r="L4" s="3558">
        <f>807+'数据-基础表'!M13</f>
        <v>73359</v>
      </c>
      <c r="M4" s="3558" t="s">
        <v>952</v>
      </c>
    </row>
    <row r="5" spans="1:13" ht="14.25" thickBot="1">
      <c r="A5" s="3557" t="s">
        <v>3465</v>
      </c>
      <c r="B5" s="3556" t="s">
        <v>1678</v>
      </c>
      <c r="C5" s="3558">
        <v>24562.18</v>
      </c>
      <c r="D5" s="3558">
        <v>180419</v>
      </c>
      <c r="E5" s="3558">
        <v>180419</v>
      </c>
      <c r="F5" s="3558" t="s">
        <v>952</v>
      </c>
      <c r="H5" s="3557" t="s">
        <v>3465</v>
      </c>
      <c r="I5" s="3556" t="s">
        <v>1678</v>
      </c>
      <c r="J5" s="3558"/>
      <c r="K5" s="3558">
        <f>L5</f>
        <v>273359</v>
      </c>
      <c r="L5" s="3558">
        <f>'数据-基础表'!K14</f>
        <v>273359</v>
      </c>
      <c r="M5" s="3558" t="s">
        <v>952</v>
      </c>
    </row>
    <row r="6" spans="1:13" ht="14.25" thickBot="1">
      <c r="A6" s="3557" t="s">
        <v>3465</v>
      </c>
      <c r="B6" s="3556" t="s">
        <v>3466</v>
      </c>
      <c r="C6" s="3558">
        <v>548.51</v>
      </c>
      <c r="D6" s="3558">
        <v>4029</v>
      </c>
      <c r="E6" s="3558">
        <v>4029</v>
      </c>
      <c r="F6" s="3558" t="s">
        <v>952</v>
      </c>
      <c r="H6" s="3557" t="s">
        <v>3465</v>
      </c>
      <c r="I6" s="3556" t="s">
        <v>3467</v>
      </c>
      <c r="J6" s="3558"/>
      <c r="K6" s="3558">
        <f>M6</f>
        <v>15779</v>
      </c>
      <c r="L6" s="3558" t="s">
        <v>952</v>
      </c>
      <c r="M6" s="3558">
        <f>'数据-基础表'!Q17</f>
        <v>15779</v>
      </c>
    </row>
    <row r="7" spans="1:13" ht="14.25" thickBot="1">
      <c r="A7" s="3557" t="s">
        <v>3465</v>
      </c>
      <c r="B7" s="3556" t="s">
        <v>3467</v>
      </c>
      <c r="C7" s="3558">
        <v>1980.02</v>
      </c>
      <c r="D7" s="3558">
        <v>14544</v>
      </c>
      <c r="E7" s="3558" t="s">
        <v>952</v>
      </c>
      <c r="F7" s="3558">
        <v>14544</v>
      </c>
      <c r="H7" s="3557" t="s">
        <v>3465</v>
      </c>
      <c r="I7" s="3556" t="s">
        <v>35</v>
      </c>
      <c r="J7" s="3558"/>
      <c r="K7" s="3558">
        <f>M7</f>
        <v>97995</v>
      </c>
      <c r="L7" s="3558" t="s">
        <v>952</v>
      </c>
      <c r="M7" s="3558">
        <f>'数据-基础表'!O18</f>
        <v>97995</v>
      </c>
    </row>
    <row r="8" spans="1:13" ht="14.25" thickBot="1">
      <c r="A8" s="3557" t="s">
        <v>3465</v>
      </c>
      <c r="B8" s="3556" t="s">
        <v>35</v>
      </c>
      <c r="C8" s="3558">
        <v>10718.3</v>
      </c>
      <c r="D8" s="3558">
        <v>78730.2</v>
      </c>
      <c r="E8" s="3558" t="s">
        <v>952</v>
      </c>
      <c r="F8" s="3558">
        <v>78730.2</v>
      </c>
      <c r="H8" s="3660" t="s">
        <v>27</v>
      </c>
      <c r="I8" s="3661"/>
      <c r="J8" s="3558"/>
      <c r="K8" s="3558">
        <f>L8+M8</f>
        <v>460492</v>
      </c>
      <c r="L8" s="3558">
        <f>L4+L5</f>
        <v>346718</v>
      </c>
      <c r="M8" s="3558">
        <f>M6+M7</f>
        <v>113774</v>
      </c>
    </row>
    <row r="9" spans="1:13" ht="16.5" customHeight="1" thickBot="1">
      <c r="A9" s="3557" t="s">
        <v>3465</v>
      </c>
      <c r="B9" s="3556" t="s">
        <v>3314</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660" t="s">
        <v>27</v>
      </c>
      <c r="B10" s="3661"/>
      <c r="C10" s="3558">
        <v>64863.9</v>
      </c>
      <c r="D10" s="3558">
        <v>476451.2</v>
      </c>
      <c r="E10" s="3558">
        <v>383177</v>
      </c>
      <c r="F10" s="3558">
        <v>93274.2</v>
      </c>
      <c r="H10" s="3660" t="s">
        <v>27</v>
      </c>
      <c r="I10" s="3661"/>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60" t="s">
        <v>24</v>
      </c>
      <c r="I11" s="3661"/>
      <c r="J11" s="3558"/>
      <c r="K11" s="3558">
        <f>K10+K8</f>
        <v>468159</v>
      </c>
      <c r="L11" s="3558">
        <f>L8+L10</f>
        <v>354385</v>
      </c>
      <c r="M11" s="3558">
        <f>M8</f>
        <v>113774</v>
      </c>
    </row>
    <row r="12" spans="1:13" ht="14.25" thickBot="1">
      <c r="A12" s="3660" t="s">
        <v>27</v>
      </c>
      <c r="B12" s="3661"/>
      <c r="C12" s="3558">
        <v>4483.6000000000004</v>
      </c>
      <c r="D12" s="3558">
        <v>32933.800000000003</v>
      </c>
      <c r="E12" s="3558">
        <v>10911</v>
      </c>
      <c r="F12" s="3558">
        <v>22022.799999999999</v>
      </c>
    </row>
    <row r="13" spans="1:13" ht="14.25" thickBot="1">
      <c r="A13" s="3660" t="s">
        <v>24</v>
      </c>
      <c r="B13" s="3661"/>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3470</v>
      </c>
      <c r="N24" s="3501" t="s">
        <v>3471</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3477</v>
      </c>
    </row>
    <row r="41" spans="12:18">
      <c r="M41">
        <v>80</v>
      </c>
    </row>
    <row r="42" spans="12:18">
      <c r="M42">
        <v>213</v>
      </c>
    </row>
    <row r="43" spans="12:18">
      <c r="M43">
        <v>694</v>
      </c>
    </row>
    <row r="44" spans="12:18">
      <c r="M44">
        <v>59</v>
      </c>
    </row>
    <row r="45" spans="12:18">
      <c r="M45">
        <v>87</v>
      </c>
    </row>
    <row r="46" spans="12:18">
      <c r="M46">
        <v>57</v>
      </c>
    </row>
    <row r="47" spans="12:18">
      <c r="M47">
        <v>131</v>
      </c>
      <c r="Q47" s="3501" t="s">
        <v>3479</v>
      </c>
      <c r="R47" s="3501" t="s">
        <v>3480</v>
      </c>
    </row>
    <row r="48" spans="12:18">
      <c r="L48" s="3501" t="s">
        <v>3478</v>
      </c>
      <c r="M48">
        <f>SUM(M41:M47)</f>
        <v>1321</v>
      </c>
      <c r="N48">
        <f>'数据-汇总表'!F19</f>
        <v>807</v>
      </c>
      <c r="O48">
        <f>'数据-汇总表'!F20</f>
        <v>72552</v>
      </c>
      <c r="P48">
        <f>'数据-汇总表'!F21</f>
        <v>273359</v>
      </c>
      <c r="Q48">
        <f>SUM(M48:P48)</f>
        <v>348039</v>
      </c>
      <c r="R48">
        <f>ROUND(Q48/'数据-汇总表'!D3,2)</f>
        <v>4.66</v>
      </c>
    </row>
    <row r="50" spans="7:13">
      <c r="H50" s="3501" t="s">
        <v>3601</v>
      </c>
      <c r="I50" s="3501" t="s">
        <v>3602</v>
      </c>
      <c r="K50" s="3501" t="s">
        <v>3603</v>
      </c>
      <c r="L50" s="3501" t="s">
        <v>3605</v>
      </c>
    </row>
    <row r="51" spans="7:13">
      <c r="G51" s="3501" t="s">
        <v>3600</v>
      </c>
      <c r="H51">
        <v>84509</v>
      </c>
      <c r="K51">
        <v>2065</v>
      </c>
    </row>
    <row r="52" spans="7:13">
      <c r="G52" s="3501" t="s">
        <v>3604</v>
      </c>
      <c r="I52">
        <v>72552</v>
      </c>
      <c r="K52">
        <f>551+73</f>
        <v>624</v>
      </c>
      <c r="L52">
        <f>80+213+694</f>
        <v>987</v>
      </c>
    </row>
    <row r="53" spans="7:13">
      <c r="G53" s="3501" t="s">
        <v>3606</v>
      </c>
      <c r="H53">
        <v>18762</v>
      </c>
      <c r="L53">
        <f>59+87+13+23</f>
        <v>182</v>
      </c>
    </row>
    <row r="54" spans="7:13">
      <c r="G54" s="3501" t="s">
        <v>3607</v>
      </c>
      <c r="H54">
        <v>18838</v>
      </c>
      <c r="L54">
        <f>57+13+28</f>
        <v>98</v>
      </c>
    </row>
    <row r="55" spans="7:13">
      <c r="G55" s="3501" t="s">
        <v>3608</v>
      </c>
      <c r="H55">
        <v>86243</v>
      </c>
      <c r="K55">
        <v>2089</v>
      </c>
    </row>
    <row r="56" spans="7:13">
      <c r="G56" s="3501" t="s">
        <v>3609</v>
      </c>
      <c r="H56">
        <v>65007</v>
      </c>
      <c r="I56">
        <v>807</v>
      </c>
      <c r="L56">
        <f>131+1463+28</f>
        <v>1622</v>
      </c>
    </row>
    <row r="57" spans="7:13">
      <c r="G57" s="3501" t="s">
        <v>3610</v>
      </c>
      <c r="I57">
        <v>15779</v>
      </c>
      <c r="M57">
        <f>125121-I57</f>
        <v>109342</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G20" sqref="G20"/>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76" t="s">
        <v>203</v>
      </c>
      <c r="B2" s="3676"/>
      <c r="C2" s="3676"/>
      <c r="D2" s="1966" t="s">
        <v>204</v>
      </c>
      <c r="E2" s="106" t="s">
        <v>205</v>
      </c>
      <c r="F2" s="1975"/>
      <c r="G2" s="1191"/>
      <c r="H2" s="1192"/>
      <c r="I2" s="1193" t="s">
        <v>857</v>
      </c>
      <c r="J2" s="1975"/>
      <c r="K2" s="1975"/>
      <c r="L2" s="1975"/>
    </row>
    <row r="3" spans="1:16" ht="15.75" thickBot="1">
      <c r="A3" s="3677" t="s">
        <v>206</v>
      </c>
      <c r="B3" s="3677"/>
      <c r="C3" s="3677"/>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78"/>
      <c r="B4" s="3679"/>
      <c r="C4" s="3680"/>
      <c r="D4" s="108" t="s">
        <v>204</v>
      </c>
      <c r="E4" s="109" t="s">
        <v>205</v>
      </c>
      <c r="F4" s="1975"/>
      <c r="G4" s="1194"/>
      <c r="H4" s="273" t="s">
        <v>860</v>
      </c>
      <c r="I4" s="1967">
        <f>ROUND(SUMIF('数据-基础表'!I9:AS9,"地上",'数据-基础表'!I5:AS5)/'数据-基础表'!A3,2)</f>
        <v>4.75</v>
      </c>
      <c r="J4" s="1975"/>
      <c r="K4" s="1975"/>
      <c r="L4" s="1975"/>
    </row>
    <row r="5" spans="1:16">
      <c r="A5" s="110" t="s">
        <v>207</v>
      </c>
      <c r="B5" s="3681" t="s">
        <v>230</v>
      </c>
      <c r="C5" s="3681"/>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81" t="s">
        <v>208</v>
      </c>
      <c r="C6" s="3681"/>
      <c r="D6" s="111">
        <f>ROUND($D$3*E6/$E$3,2)</f>
        <v>74665.899999999994</v>
      </c>
      <c r="E6" s="112">
        <f>E3-E5</f>
        <v>479506</v>
      </c>
      <c r="F6" s="1975"/>
      <c r="G6" s="1194"/>
      <c r="H6" s="273" t="s">
        <v>860</v>
      </c>
      <c r="I6" s="1967">
        <f>ROUND(F31/D31,2)</f>
        <v>4.75</v>
      </c>
      <c r="J6" s="1975"/>
      <c r="K6" s="1975"/>
      <c r="L6" s="1975"/>
    </row>
    <row r="7" spans="1:16" ht="15">
      <c r="A7" s="3673"/>
      <c r="B7" s="3674"/>
      <c r="C7" s="3675"/>
      <c r="D7" s="108" t="s">
        <v>204</v>
      </c>
      <c r="E7" s="114" t="s">
        <v>231</v>
      </c>
      <c r="F7" s="1975"/>
      <c r="G7" s="1149" t="s">
        <v>1646</v>
      </c>
      <c r="H7" s="1150"/>
      <c r="I7" s="3563">
        <f>Sheet2!R48</f>
        <v>4.66</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67" t="s">
        <v>2570</v>
      </c>
      <c r="L16" s="3668"/>
      <c r="M16" s="3668"/>
      <c r="N16" s="3668"/>
      <c r="O16" s="3668"/>
      <c r="P16" s="3669"/>
    </row>
    <row r="17" spans="1:19" ht="15">
      <c r="A17" s="121" t="s">
        <v>216</v>
      </c>
      <c r="B17" s="122" t="s">
        <v>217</v>
      </c>
      <c r="C17" s="2289" t="s">
        <v>2314</v>
      </c>
      <c r="D17" s="108" t="s">
        <v>204</v>
      </c>
      <c r="E17" s="124" t="s">
        <v>205</v>
      </c>
      <c r="F17" s="125"/>
      <c r="G17" s="1358"/>
      <c r="H17" s="963" t="s">
        <v>218</v>
      </c>
      <c r="I17" s="964" t="s">
        <v>2313</v>
      </c>
      <c r="J17" s="1975"/>
      <c r="K17" s="3670" t="s">
        <v>2571</v>
      </c>
      <c r="L17" s="3671"/>
      <c r="M17" s="3672"/>
      <c r="N17" s="3670" t="s">
        <v>2572</v>
      </c>
      <c r="O17" s="3671"/>
      <c r="P17" s="3672"/>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3453</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3455</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3456</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3458</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3311</v>
      </c>
      <c r="I1" s="3501">
        <f>38973+76324</f>
        <v>115297</v>
      </c>
      <c r="O1" s="3501" t="s">
        <v>3436</v>
      </c>
    </row>
    <row r="2" spans="1:15">
      <c r="A2" s="3501" t="s">
        <v>3312</v>
      </c>
      <c r="B2" s="3501" t="s">
        <v>3313</v>
      </c>
      <c r="C2" s="3501" t="s">
        <v>3316</v>
      </c>
      <c r="D2" s="3501"/>
      <c r="O2" s="3501" t="s">
        <v>3437</v>
      </c>
    </row>
    <row r="3" spans="1:15">
      <c r="A3" s="3501"/>
      <c r="B3" s="3501"/>
      <c r="C3" s="3501" t="s">
        <v>3315</v>
      </c>
      <c r="D3" s="3501" t="s">
        <v>3317</v>
      </c>
      <c r="E3" s="3501" t="s">
        <v>3318</v>
      </c>
      <c r="F3" s="3501" t="s">
        <v>3319</v>
      </c>
      <c r="G3" s="3501" t="s">
        <v>3320</v>
      </c>
      <c r="H3" s="3501" t="s">
        <v>3339</v>
      </c>
      <c r="I3" s="3501" t="s">
        <v>3435</v>
      </c>
      <c r="J3" s="3501" t="s">
        <v>3438</v>
      </c>
      <c r="K3" s="3501" t="s">
        <v>3439</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3338</v>
      </c>
      <c r="C11">
        <f>SUM(C4:C10)</f>
        <v>99389</v>
      </c>
      <c r="D11">
        <f t="shared" ref="D11:H11" si="0">SUM(D4:D10)</f>
        <v>180419</v>
      </c>
      <c r="E11">
        <f t="shared" si="0"/>
        <v>103369</v>
      </c>
      <c r="F11">
        <f t="shared" si="0"/>
        <v>0</v>
      </c>
      <c r="G11">
        <f t="shared" si="0"/>
        <v>2771</v>
      </c>
      <c r="H11">
        <f t="shared" si="0"/>
        <v>8140</v>
      </c>
    </row>
    <row r="12" spans="1:15">
      <c r="B12" s="3501" t="s">
        <v>3440</v>
      </c>
      <c r="C12">
        <f>C11+D11+E11+G11</f>
        <v>385948</v>
      </c>
    </row>
    <row r="14" spans="1:15">
      <c r="A14" s="3501" t="s">
        <v>3375</v>
      </c>
    </row>
    <row r="15" spans="1:15">
      <c r="A15" s="3531" t="s">
        <v>3313</v>
      </c>
      <c r="B15" s="3501" t="s">
        <v>3380</v>
      </c>
      <c r="C15" s="3501" t="s">
        <v>3381</v>
      </c>
      <c r="D15" s="3501" t="s">
        <v>3382</v>
      </c>
      <c r="E15" s="3501" t="s">
        <v>3383</v>
      </c>
      <c r="F15" s="3532" t="s">
        <v>3384</v>
      </c>
    </row>
    <row r="16" spans="1:15">
      <c r="A16" s="3501" t="s">
        <v>3376</v>
      </c>
      <c r="B16">
        <v>312</v>
      </c>
    </row>
    <row r="17" spans="1:6">
      <c r="A17" s="3501" t="s">
        <v>3377</v>
      </c>
      <c r="B17">
        <f>E5/4</f>
        <v>4193.75</v>
      </c>
      <c r="C17">
        <f>B17</f>
        <v>4193.75</v>
      </c>
      <c r="D17">
        <f>B17</f>
        <v>4193.75</v>
      </c>
      <c r="E17">
        <f>B17</f>
        <v>4193.75</v>
      </c>
    </row>
    <row r="18" spans="1:6">
      <c r="A18" s="3501" t="s">
        <v>3378</v>
      </c>
      <c r="B18">
        <f>E8/4</f>
        <v>14900.5</v>
      </c>
      <c r="C18">
        <f>B18</f>
        <v>14900.5</v>
      </c>
      <c r="D18">
        <f>B18</f>
        <v>14900.5</v>
      </c>
      <c r="E18">
        <f>B18</f>
        <v>14900.5</v>
      </c>
    </row>
    <row r="19" spans="1:6">
      <c r="A19" s="3501" t="s">
        <v>3379</v>
      </c>
      <c r="B19">
        <f>22651/2</f>
        <v>11325.5</v>
      </c>
      <c r="C19">
        <f>B19</f>
        <v>11325.5</v>
      </c>
    </row>
    <row r="20" spans="1:6">
      <c r="A20" s="3501" t="s">
        <v>3338</v>
      </c>
      <c r="B20">
        <f>SUM(B16:B19)</f>
        <v>30731.75</v>
      </c>
      <c r="C20">
        <f>SUM(C17:C19)</f>
        <v>30419.75</v>
      </c>
      <c r="D20">
        <f>SUM(D17:D18)</f>
        <v>19094.25</v>
      </c>
      <c r="E20">
        <f>SUM(E16:E19)</f>
        <v>19094.25</v>
      </c>
    </row>
    <row r="21" spans="1:6">
      <c r="A21" s="3501" t="s">
        <v>3385</v>
      </c>
      <c r="B21">
        <v>4029</v>
      </c>
    </row>
    <row r="22" spans="1:6">
      <c r="A22" s="3501" t="s">
        <v>3386</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O25" sqref="O25"/>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43923</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54">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33.979999999999997</v>
      </c>
      <c r="G6" s="175">
        <f>IF(ISERROR(ROUND(POWER(1+H6,D6-F6)*(POWER(1+H6,F6)-1)/(POWER(1+H6,D6)-1),3)),0,ROUND(POWER(1+H6,D6-F6)*(POWER(1+H6,F6)-1)/(POWER(1+H6,D6)-1),3))</f>
        <v>0.94299999999999995</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7</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3309</v>
      </c>
      <c r="AO6" s="1991"/>
      <c r="AP6" s="1197">
        <f>ROUND(1-1/(1+H6)^F6,3)</f>
        <v>0.80900000000000005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33.979999999999997</v>
      </c>
      <c r="G7" s="175">
        <f t="shared" ref="G7:G11" si="2">IF(ISERROR(ROUND(POWER(1+H7,D7-F7)*(POWER(1+H7,F7)-1)/(POWER(1+H7,D7)-1),3)),0,ROUND(POWER(1+H7,D7-F7)*(POWER(1+H7,F7)-1)/(POWER(1+H7,D7)-1),3))</f>
        <v>0.94299999999999995</v>
      </c>
      <c r="H7" s="3041">
        <v>0.05</v>
      </c>
      <c r="I7" s="3041">
        <v>5.5E-2</v>
      </c>
      <c r="J7" s="176">
        <v>8.5000000000000006E-2</v>
      </c>
      <c r="K7" s="179">
        <f>SUMIF('数据-汇总表'!C$19:C$33,'数据-取费表'!A7,'数据-汇总表'!E$19:E$33)</f>
        <v>88331</v>
      </c>
      <c r="L7" s="3042">
        <v>3000</v>
      </c>
      <c r="M7" s="177">
        <f t="shared" si="0"/>
        <v>26499</v>
      </c>
      <c r="N7" s="3043">
        <v>0</v>
      </c>
      <c r="O7" s="177">
        <f t="shared" ref="O7:O14" si="3">IF($N$5="成新度","——",ROUND(M7*N7,0))</f>
        <v>0</v>
      </c>
      <c r="P7" s="178">
        <f t="shared" ref="P7:P14" si="4">IF($N$5="成新度","——",M7-O7)</f>
        <v>26499</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729</v>
      </c>
      <c r="U7" s="180"/>
      <c r="V7" s="181"/>
      <c r="W7" s="181"/>
      <c r="X7" s="2312"/>
      <c r="Y7" s="182">
        <v>1</v>
      </c>
      <c r="Z7" s="183"/>
      <c r="AA7" s="176"/>
      <c r="AB7" s="176"/>
      <c r="AC7" s="2315"/>
      <c r="AD7" s="184"/>
      <c r="AE7" s="965">
        <f t="shared" ref="AE7:AE13" ca="1" si="6">IF(AN7="",0,SUMIF(INDIRECT("'"&amp;AN7&amp;"'"&amp;"!E:E"),$AE$5,INDIRECT("'"&amp;AN7&amp;"'"&amp;"!F:F")))</f>
        <v>30.979999999999997</v>
      </c>
      <c r="AF7" s="141"/>
      <c r="AG7" s="1206">
        <f t="shared" ref="AG7:AG13" si="7">IF(AF7="",0,AE7-AF7)</f>
        <v>0</v>
      </c>
      <c r="AH7" s="141"/>
      <c r="AI7" s="187">
        <v>365</v>
      </c>
      <c r="AJ7" s="188"/>
      <c r="AK7" s="189">
        <v>1.4999999999999999E-2</v>
      </c>
      <c r="AL7" s="190">
        <v>1.5E-3</v>
      </c>
      <c r="AM7" s="2405">
        <v>0.02</v>
      </c>
      <c r="AN7" s="2407" t="s">
        <v>3310</v>
      </c>
      <c r="AO7" s="1991"/>
      <c r="AP7" s="1197">
        <f t="shared" ref="AP7:AP13" si="8">ROUND(1-1/(1+H7)^F7,3)</f>
        <v>0.80900000000000005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33.979999999999997</v>
      </c>
      <c r="G8" s="175">
        <f t="shared" si="2"/>
        <v>0.94299999999999995</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2258</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0.80900000000000005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50</v>
      </c>
      <c r="E9" s="2300">
        <f>IF(B9="","",SUMIF(项目基本情况!D$15:I$15,C9,项目基本情况!D$17:I$17))</f>
        <v>59980</v>
      </c>
      <c r="F9" s="174">
        <f>SUMIF(项目基本情况!D$15:I$15,C9,项目基本情况!D$19:I$19)</f>
        <v>43.99</v>
      </c>
      <c r="G9" s="175">
        <f t="shared" si="2"/>
        <v>0.96199999999999997</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0.05</v>
      </c>
      <c r="R9" s="179">
        <f>SUMIF('数据-汇总表'!C$19:C$33,A9,'数据-汇总表'!R$19:R$33)</f>
        <v>15889.269999999999</v>
      </c>
      <c r="S9" s="132">
        <f>IF('数据-汇总表'!$I$17="按面积比例",SUMIF('数据-汇总表'!C$19:C$33,A9,'数据-汇总表'!K$19:K$33),SUMIF('数据-汇总表'!C$19:C$33,A9,'数据-汇总表'!N$19:N$33))</f>
        <v>4046.27</v>
      </c>
      <c r="T9" s="2225">
        <f t="shared" si="5"/>
        <v>809</v>
      </c>
      <c r="U9" s="180">
        <v>0.6</v>
      </c>
      <c r="V9" s="181">
        <v>0.02</v>
      </c>
      <c r="W9" s="181">
        <v>0.1</v>
      </c>
      <c r="X9" s="2312"/>
      <c r="Y9" s="3568">
        <v>1</v>
      </c>
      <c r="Z9" s="183"/>
      <c r="AA9" s="176"/>
      <c r="AB9" s="176"/>
      <c r="AC9" s="2315"/>
      <c r="AD9" s="184"/>
      <c r="AE9" s="965">
        <f t="shared" ca="1" si="6"/>
        <v>40.99</v>
      </c>
      <c r="AF9" s="141"/>
      <c r="AG9" s="1206">
        <f t="shared" si="7"/>
        <v>0</v>
      </c>
      <c r="AH9" s="141"/>
      <c r="AI9" s="187">
        <v>365</v>
      </c>
      <c r="AJ9" s="188"/>
      <c r="AK9" s="189">
        <v>1.4999999999999999E-2</v>
      </c>
      <c r="AL9" s="190">
        <v>1.5E-3</v>
      </c>
      <c r="AM9" s="2405">
        <v>0.02</v>
      </c>
      <c r="AN9" s="2407" t="s">
        <v>3296</v>
      </c>
      <c r="AO9" s="1991"/>
      <c r="AP9" s="1197">
        <f t="shared" si="8"/>
        <v>0.85599999999999998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c r="AJ10" s="188"/>
      <c r="AK10" s="189"/>
      <c r="AL10" s="190"/>
      <c r="AM10" s="2405"/>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193">
        <v>2000</v>
      </c>
      <c r="M14" s="177">
        <f t="shared" si="0"/>
        <v>3803</v>
      </c>
      <c r="N14" s="194">
        <v>0</v>
      </c>
      <c r="O14" s="177">
        <f t="shared" si="3"/>
        <v>0</v>
      </c>
      <c r="P14" s="178">
        <f t="shared" si="4"/>
        <v>3803</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0.94699999999999995</v>
      </c>
      <c r="H16" s="203">
        <f>ROUND(SUMPRODUCT(H6:H13,K6:K13)/SUMPRODUCT((H6:H13&gt;0)*(K6:K13)),3)</f>
        <v>4.9000000000000002E-2</v>
      </c>
      <c r="I16" s="204"/>
      <c r="J16" s="204"/>
      <c r="K16" s="205">
        <f>SUM(K6:K15)</f>
        <v>479506</v>
      </c>
      <c r="L16" s="206">
        <f>ROUND(M16*10000/SUM(K6:K14),0)</f>
        <v>2858</v>
      </c>
      <c r="M16" s="206">
        <f>SUM(M6:M14)</f>
        <v>137051</v>
      </c>
      <c r="N16" s="207">
        <f>ROUND(SUMPRODUCT(M6:M14,N6:N14)/M16,3)</f>
        <v>0</v>
      </c>
      <c r="O16" s="206">
        <f>SUM(O6:O14)</f>
        <v>0</v>
      </c>
      <c r="P16" s="206">
        <f>SUM(P6:P14)</f>
        <v>137051</v>
      </c>
      <c r="Q16" s="208">
        <f>ROUND(SUMPRODUCT(Q6:Q13,K6:K13)/SUMPRODUCT((Q6:Q13&gt;0)*(K6:K13)),2)</f>
        <v>0.18</v>
      </c>
      <c r="R16" s="2302">
        <f>SUM(R6:R13)</f>
        <v>74665.89</v>
      </c>
      <c r="S16" s="209">
        <f>SUM(S6:S13)</f>
        <v>19013.989999999998</v>
      </c>
      <c r="T16" s="210">
        <f>IF(SUMIF(T6:T13,"&lt;9E307")=M14,SUMIF(T6:T13,"&lt;9E307"),"有误，请检查")</f>
        <v>3803</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0.81899999999999995</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82" t="s">
        <v>1664</v>
      </c>
      <c r="B1" s="3683"/>
      <c r="C1" s="3683"/>
      <c r="D1" s="3683"/>
      <c r="E1" s="3683"/>
      <c r="F1" s="3683"/>
      <c r="G1" s="3683"/>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3434</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3433</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3448</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3340</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3347</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3341</v>
      </c>
      <c r="D8" s="2001"/>
      <c r="E8" s="2001"/>
      <c r="F8" s="1545"/>
      <c r="G8" s="1545"/>
      <c r="H8" s="1999"/>
      <c r="I8" s="1999"/>
      <c r="J8" s="1999"/>
      <c r="K8" s="1999"/>
      <c r="L8" s="1999"/>
      <c r="M8" s="1999"/>
      <c r="N8" s="1999"/>
      <c r="O8" s="1999"/>
      <c r="P8" s="1999"/>
      <c r="Q8" s="1999"/>
      <c r="R8" s="1999"/>
    </row>
    <row r="9" spans="1:18" ht="67.5">
      <c r="A9" s="1222"/>
      <c r="B9" s="1224" t="s">
        <v>1657</v>
      </c>
      <c r="C9" s="3515" t="s">
        <v>3411</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3412</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3293</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6" sqref="D26"/>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43923</v>
      </c>
      <c r="C3" s="3061"/>
      <c r="D3" s="3061"/>
      <c r="E3" s="3061"/>
      <c r="F3" s="3061"/>
    </row>
    <row r="4" spans="1:9" ht="33">
      <c r="A4" s="3060" t="s">
        <v>2851</v>
      </c>
      <c r="B4" s="3060" t="s">
        <v>2852</v>
      </c>
      <c r="C4" s="3060" t="s">
        <v>2853</v>
      </c>
      <c r="D4" s="3060" t="s">
        <v>2854</v>
      </c>
      <c r="E4" s="3061"/>
      <c r="F4" s="3061"/>
    </row>
    <row r="5" spans="1:9" ht="16.5">
      <c r="A5" s="3060" t="s">
        <v>2855</v>
      </c>
      <c r="B5" s="3060">
        <f ca="1">SUM(D14:D23)</f>
        <v>160224</v>
      </c>
      <c r="C5" s="3060">
        <f ca="1">ROUND(B5*10000/$B$1,0)</f>
        <v>3341</v>
      </c>
      <c r="D5" s="3060">
        <f ca="1">ROUND(B5*10000/$B$2,0)</f>
        <v>21459</v>
      </c>
      <c r="E5" s="3061"/>
      <c r="F5" s="3061"/>
    </row>
    <row r="6" spans="1:9" ht="16.5">
      <c r="A6" s="3060" t="s">
        <v>2856</v>
      </c>
      <c r="B6" s="3060">
        <f ca="1">SUM(G14:G23)</f>
        <v>159226</v>
      </c>
      <c r="C6" s="3060">
        <f t="shared" ref="C6:C8" ca="1" si="0">ROUND(B6*10000/$B$1,0)</f>
        <v>3321</v>
      </c>
      <c r="D6" s="3060">
        <f t="shared" ref="D6:D8" ca="1" si="1">ROUND(B6*10000/$B$2,0)</f>
        <v>21325</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160224</v>
      </c>
      <c r="E14" s="3064">
        <f ca="1">ROUND(D14*10000/B14,0)</f>
        <v>3341</v>
      </c>
      <c r="F14" s="3064">
        <f ca="1">ROUND(D14*10000/C14,0)</f>
        <v>21459</v>
      </c>
      <c r="G14" s="3064">
        <f ca="1">结果表!C44</f>
        <v>159226</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2020年4月2日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2020年4月2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估价期日：2020年4月2日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21459</v>
      </c>
    </row>
    <row r="47" spans="1:2">
      <c r="A47" s="2894" t="s">
        <v>2728</v>
      </c>
      <c r="B47" s="2895">
        <f ca="1">'预评函-2'!Q5</f>
        <v>3341</v>
      </c>
    </row>
    <row r="48" spans="1:2">
      <c r="A48" s="2894" t="s">
        <v>2729</v>
      </c>
      <c r="B48" s="2895">
        <f ca="1">'预评函-2'!R5</f>
        <v>160224</v>
      </c>
    </row>
    <row r="49" spans="1:2">
      <c r="A49" s="2894" t="s">
        <v>2745</v>
      </c>
      <c r="B49" s="2895" t="str">
        <f>'预评函-2'!A6</f>
        <v>抵押价格</v>
      </c>
    </row>
    <row r="50" spans="1:2">
      <c r="A50" s="2894" t="s">
        <v>2730</v>
      </c>
      <c r="B50" s="2895">
        <f ca="1">'预评函-2'!R6</f>
        <v>159226</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5" thickBot="1">
      <c r="A72" s="2916" t="s">
        <v>2695</v>
      </c>
      <c r="B72" s="2922">
        <f>'预评函-3'!B21</f>
        <v>2014110011</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4" zoomScaleSheetLayoutView="100" zoomScalePageLayoutView="80" workbookViewId="0">
      <selection activeCell="C37" sqref="C3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20" t="str">
        <f>项目基本情况!K2</f>
        <v>出让国有建设用地使用权</v>
      </c>
      <c r="B2" s="3721"/>
      <c r="C2" s="3722"/>
      <c r="D2" s="3722"/>
      <c r="E2" s="3722"/>
      <c r="F2" s="3722"/>
      <c r="G2" s="3721"/>
      <c r="H2" s="3721"/>
      <c r="I2" s="3723"/>
      <c r="J2" s="2021"/>
      <c r="K2" s="2020"/>
      <c r="L2" s="2020"/>
      <c r="M2" s="2020"/>
      <c r="N2" s="2020"/>
      <c r="O2" s="2020"/>
      <c r="P2" s="2020"/>
      <c r="Q2" s="2020"/>
      <c r="R2" s="2020"/>
      <c r="S2" s="2020"/>
      <c r="T2" s="2020"/>
      <c r="U2" s="2020"/>
      <c r="V2" s="2020"/>
    </row>
    <row r="3" spans="1:22" ht="14.25">
      <c r="A3" s="3713" t="s">
        <v>298</v>
      </c>
      <c r="B3" s="3714"/>
      <c r="C3" s="3714"/>
      <c r="D3" s="3714"/>
      <c r="E3" s="3714"/>
      <c r="F3" s="3714"/>
      <c r="G3" s="3714"/>
      <c r="H3" s="3714"/>
      <c r="I3" s="3714"/>
      <c r="J3" s="2021"/>
      <c r="K3" s="2020"/>
      <c r="L3" s="2020"/>
      <c r="M3" s="2020"/>
      <c r="N3" s="2020"/>
      <c r="O3" s="2020"/>
      <c r="P3" s="2020"/>
      <c r="Q3" s="2020"/>
      <c r="R3" s="2020"/>
      <c r="S3" s="2020"/>
      <c r="T3" s="2020"/>
      <c r="U3" s="2020"/>
      <c r="V3" s="2020"/>
    </row>
    <row r="4" spans="1:22" ht="14.25">
      <c r="A4" s="256" t="s">
        <v>299</v>
      </c>
      <c r="B4" s="257" t="s">
        <v>300</v>
      </c>
      <c r="C4" s="258" t="s">
        <v>3294</v>
      </c>
      <c r="D4" s="258" t="s">
        <v>3215</v>
      </c>
      <c r="E4" s="3685" t="s">
        <v>301</v>
      </c>
      <c r="F4" s="3686"/>
      <c r="G4" s="3686"/>
      <c r="H4" s="3686"/>
      <c r="I4" s="3715"/>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684" t="s">
        <v>302</v>
      </c>
      <c r="B5" s="3710">
        <v>25</v>
      </c>
      <c r="C5" s="3708"/>
      <c r="D5" s="3712"/>
      <c r="E5" s="259" t="s">
        <v>303</v>
      </c>
      <c r="F5" s="260"/>
      <c r="G5" s="260"/>
      <c r="H5" s="260"/>
      <c r="I5" s="261"/>
      <c r="J5" s="2021"/>
      <c r="K5" s="2020"/>
      <c r="L5" s="2020"/>
      <c r="M5" s="2020"/>
      <c r="N5" s="2020"/>
      <c r="O5" s="2020"/>
      <c r="P5" s="2020"/>
      <c r="Q5" s="2020"/>
      <c r="R5" s="2020"/>
      <c r="S5" s="2020"/>
      <c r="T5" s="2020"/>
      <c r="U5" s="2020"/>
      <c r="V5" s="2020"/>
    </row>
    <row r="6" spans="1:22" ht="14.25">
      <c r="A6" s="3684"/>
      <c r="B6" s="3710"/>
      <c r="C6" s="3711"/>
      <c r="D6" s="3712"/>
      <c r="E6" s="259" t="s">
        <v>304</v>
      </c>
      <c r="F6" s="260"/>
      <c r="G6" s="260"/>
      <c r="H6" s="260"/>
      <c r="I6" s="261"/>
      <c r="J6" s="2021"/>
      <c r="K6" s="2020"/>
      <c r="L6" s="2020"/>
      <c r="M6" s="2020"/>
      <c r="N6" s="2020"/>
      <c r="O6" s="2020"/>
      <c r="P6" s="2020"/>
      <c r="Q6" s="2020"/>
      <c r="R6" s="2020"/>
      <c r="S6" s="2020"/>
      <c r="T6" s="2020"/>
      <c r="U6" s="2020"/>
      <c r="V6" s="2020"/>
    </row>
    <row r="7" spans="1:22" ht="14.25">
      <c r="A7" s="3684"/>
      <c r="B7" s="3710"/>
      <c r="C7" s="3709"/>
      <c r="D7" s="3712"/>
      <c r="E7" s="259" t="s">
        <v>305</v>
      </c>
      <c r="F7" s="260"/>
      <c r="G7" s="260"/>
      <c r="H7" s="260"/>
      <c r="I7" s="261"/>
      <c r="J7" s="2021"/>
      <c r="K7" s="2020"/>
      <c r="L7" s="2020"/>
      <c r="M7" s="2020"/>
      <c r="N7" s="2020"/>
      <c r="O7" s="2020"/>
      <c r="P7" s="2020"/>
      <c r="Q7" s="2020"/>
      <c r="R7" s="2020"/>
      <c r="S7" s="2020"/>
      <c r="T7" s="2020"/>
      <c r="U7" s="2020"/>
      <c r="V7" s="2020"/>
    </row>
    <row r="8" spans="1:22" ht="14.25">
      <c r="A8" s="3684" t="s">
        <v>306</v>
      </c>
      <c r="B8" s="3710">
        <v>15</v>
      </c>
      <c r="C8" s="3708"/>
      <c r="D8" s="3712"/>
      <c r="E8" s="259" t="s">
        <v>307</v>
      </c>
      <c r="F8" s="260"/>
      <c r="G8" s="260"/>
      <c r="H8" s="260"/>
      <c r="I8" s="261"/>
      <c r="J8" s="2021"/>
      <c r="K8" s="2020"/>
      <c r="L8" s="2020"/>
      <c r="M8" s="2020"/>
      <c r="N8" s="2020"/>
      <c r="O8" s="2020"/>
      <c r="P8" s="2020"/>
      <c r="Q8" s="2020"/>
      <c r="R8" s="2020"/>
      <c r="S8" s="2020"/>
      <c r="T8" s="2020"/>
      <c r="U8" s="2020"/>
      <c r="V8" s="2020"/>
    </row>
    <row r="9" spans="1:22" ht="14.25">
      <c r="A9" s="3684"/>
      <c r="B9" s="3710"/>
      <c r="C9" s="3709"/>
      <c r="D9" s="3712"/>
      <c r="E9" s="259" t="s">
        <v>308</v>
      </c>
      <c r="F9" s="260"/>
      <c r="G9" s="260"/>
      <c r="H9" s="260"/>
      <c r="I9" s="261"/>
      <c r="J9" s="2021"/>
      <c r="K9" s="2020"/>
      <c r="L9" s="2020"/>
      <c r="M9" s="2020"/>
      <c r="N9" s="2020"/>
      <c r="O9" s="2020"/>
      <c r="P9" s="2020"/>
      <c r="Q9" s="2020"/>
      <c r="R9" s="2020"/>
      <c r="S9" s="2020"/>
      <c r="T9" s="2020"/>
      <c r="U9" s="2020"/>
      <c r="V9" s="2020"/>
    </row>
    <row r="10" spans="1:22" ht="14.25">
      <c r="A10" s="3684" t="s">
        <v>309</v>
      </c>
      <c r="B10" s="3710">
        <v>15</v>
      </c>
      <c r="C10" s="3708"/>
      <c r="D10" s="3712"/>
      <c r="E10" s="259" t="s">
        <v>310</v>
      </c>
      <c r="F10" s="260"/>
      <c r="G10" s="260"/>
      <c r="H10" s="260"/>
      <c r="I10" s="261"/>
      <c r="J10" s="2021"/>
      <c r="K10" s="2020"/>
      <c r="L10" s="2020"/>
      <c r="M10" s="2020"/>
      <c r="N10" s="2020"/>
      <c r="O10" s="2020"/>
      <c r="P10" s="2020"/>
      <c r="Q10" s="2020"/>
      <c r="R10" s="2020"/>
      <c r="S10" s="2020"/>
      <c r="T10" s="2020"/>
      <c r="U10" s="2020"/>
      <c r="V10" s="2020"/>
    </row>
    <row r="11" spans="1:22" ht="14.25">
      <c r="A11" s="3684"/>
      <c r="B11" s="3710"/>
      <c r="C11" s="3709"/>
      <c r="D11" s="3712"/>
      <c r="E11" s="259" t="s">
        <v>311</v>
      </c>
      <c r="F11" s="260"/>
      <c r="G11" s="260"/>
      <c r="H11" s="260"/>
      <c r="I11" s="261"/>
      <c r="J11" s="2021"/>
      <c r="K11" s="2020"/>
      <c r="L11" s="2020"/>
      <c r="M11" s="2020"/>
      <c r="N11" s="2020"/>
      <c r="O11" s="2020"/>
      <c r="P11" s="2020"/>
      <c r="Q11" s="2020"/>
      <c r="R11" s="2020"/>
      <c r="S11" s="2020"/>
      <c r="T11" s="2020"/>
      <c r="U11" s="2020"/>
      <c r="V11" s="2020"/>
    </row>
    <row r="12" spans="1:22" ht="14.25">
      <c r="A12" s="3684" t="s">
        <v>312</v>
      </c>
      <c r="B12" s="3710">
        <v>15</v>
      </c>
      <c r="C12" s="3708"/>
      <c r="D12" s="3712"/>
      <c r="E12" s="259" t="s">
        <v>313</v>
      </c>
      <c r="F12" s="260"/>
      <c r="G12" s="260"/>
      <c r="H12" s="260"/>
      <c r="I12" s="261"/>
      <c r="J12" s="2021"/>
      <c r="K12" s="2020"/>
      <c r="L12" s="2020"/>
      <c r="M12" s="2020"/>
      <c r="N12" s="2020"/>
      <c r="O12" s="2020"/>
      <c r="P12" s="2020"/>
      <c r="Q12" s="2020"/>
      <c r="R12" s="2020"/>
      <c r="S12" s="2020"/>
      <c r="T12" s="2020"/>
      <c r="U12" s="2020"/>
      <c r="V12" s="2020"/>
    </row>
    <row r="13" spans="1:22" ht="14.25">
      <c r="A13" s="3684"/>
      <c r="B13" s="3710"/>
      <c r="C13" s="3709"/>
      <c r="D13" s="3712"/>
      <c r="E13" s="259" t="s">
        <v>314</v>
      </c>
      <c r="F13" s="260"/>
      <c r="G13" s="260"/>
      <c r="H13" s="260"/>
      <c r="I13" s="261"/>
      <c r="J13" s="2021"/>
      <c r="K13" s="2020"/>
      <c r="L13" s="2020"/>
      <c r="M13" s="2020"/>
      <c r="N13" s="2020"/>
      <c r="O13" s="2020"/>
      <c r="P13" s="2020"/>
      <c r="Q13" s="2020"/>
      <c r="R13" s="2020"/>
      <c r="S13" s="2020"/>
      <c r="T13" s="2020"/>
      <c r="U13" s="2020"/>
      <c r="V13" s="2020"/>
    </row>
    <row r="14" spans="1:22" ht="14.25">
      <c r="A14" s="3684" t="s">
        <v>315</v>
      </c>
      <c r="B14" s="3710">
        <v>30</v>
      </c>
      <c r="C14" s="3708">
        <v>4</v>
      </c>
      <c r="D14" s="3712">
        <v>6</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684"/>
      <c r="B15" s="3710"/>
      <c r="C15" s="3711"/>
      <c r="D15" s="3712"/>
      <c r="E15" s="259" t="s">
        <v>317</v>
      </c>
      <c r="F15" s="260"/>
      <c r="G15" s="260"/>
      <c r="H15" s="260"/>
      <c r="I15" s="261"/>
      <c r="J15" s="2021"/>
      <c r="K15" s="2020"/>
      <c r="L15" s="2020"/>
      <c r="M15" s="2020"/>
      <c r="N15" s="2020"/>
      <c r="O15" s="2020"/>
      <c r="P15" s="2020"/>
      <c r="Q15" s="2020"/>
      <c r="R15" s="2020"/>
      <c r="S15" s="2020"/>
      <c r="T15" s="2020"/>
      <c r="U15" s="2020"/>
      <c r="V15" s="2020"/>
    </row>
    <row r="16" spans="1:22" ht="14.25">
      <c r="A16" s="3684"/>
      <c r="B16" s="3710"/>
      <c r="C16" s="3709"/>
      <c r="D16" s="3712"/>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4</v>
      </c>
      <c r="D17" s="263">
        <f>SUM(D5:D16)</f>
        <v>6</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0.4</v>
      </c>
      <c r="D18" s="265">
        <f>1-C18</f>
        <v>0.6</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94966</v>
      </c>
      <c r="D19" s="269">
        <f ca="1">SUMIF(INDIRECT("'"&amp;D4&amp;"'"&amp;"!A:A"),结果表!B19,INDIRECT("'"&amp;D4&amp;"'"&amp;"!B:B"))</f>
        <v>203729</v>
      </c>
      <c r="E19" s="266" t="s">
        <v>323</v>
      </c>
      <c r="F19" s="267" t="s">
        <v>322</v>
      </c>
      <c r="G19" s="270">
        <f ca="1">ROUND(C19*$C$18+D19*$D$18,0)</f>
        <v>160224</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1980</v>
      </c>
      <c r="D20" s="275">
        <f ca="1">SUMIF(INDIRECT("'"&amp;D4&amp;"'"&amp;"!A:A"),结果表!B20,INDIRECT("'"&amp;D4&amp;"'"&amp;"!B:B"))</f>
        <v>4249</v>
      </c>
      <c r="E20" s="272"/>
      <c r="F20" s="273" t="s">
        <v>325</v>
      </c>
      <c r="G20" s="276">
        <f ca="1">ROUND(C20*$C$18+D20*$D$18,0)</f>
        <v>3341</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12719</v>
      </c>
      <c r="D21" s="151">
        <f ca="1">SUMIF(INDIRECT("'"&amp;D4&amp;"'"&amp;"!A:A"),结果表!B21,INDIRECT("'"&amp;D4&amp;"'"&amp;"!B:B"))</f>
        <v>27285</v>
      </c>
      <c r="E21" s="272"/>
      <c r="F21" s="278" t="s">
        <v>327</v>
      </c>
      <c r="G21" s="280">
        <f ca="1">ROUND(C21*$C$18+D21*$D$18,0)</f>
        <v>21459</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1.1452835751742727</v>
      </c>
      <c r="E22" s="282"/>
      <c r="F22" s="283"/>
      <c r="G22" s="284">
        <f ca="1">ROUND(G19/('数据-汇总表'!D3/666.67),0)</f>
        <v>1431</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90"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691"/>
      <c r="B25" s="1314" t="s">
        <v>331</v>
      </c>
      <c r="C25" s="288">
        <f>IF(B30=0,0,C30)</f>
        <v>0</v>
      </c>
      <c r="D25" s="289"/>
      <c r="E25" s="309"/>
      <c r="F25" s="309"/>
      <c r="G25" s="309"/>
      <c r="H25" s="309"/>
      <c r="I25" s="309"/>
      <c r="J25" s="2020"/>
      <c r="K25" s="1248" t="str">
        <f ca="1">项目基本情况!B16&amp;"国有建设用地使用权价格："&amp;O38&amp;"万元"</f>
        <v>出让国有建设用地使用权价格：160224万元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大写金额：人民币壹拾陆亿零贰佰贰拾肆万元整</v>
      </c>
      <c r="L26" s="1245"/>
      <c r="M26" s="1245"/>
      <c r="N26" s="1245"/>
      <c r="O26" s="1244"/>
      <c r="P26" s="2020"/>
      <c r="Q26" s="2020"/>
      <c r="R26" s="2020"/>
      <c r="S26" s="2020"/>
      <c r="T26" s="2020"/>
      <c r="U26" s="2020"/>
      <c r="V26" s="2020"/>
      <c r="W26" s="290"/>
      <c r="X26" s="290"/>
      <c r="Y26" s="290"/>
      <c r="Z26" s="290"/>
    </row>
    <row r="27" spans="1:26" ht="18">
      <c r="A27" s="291"/>
      <c r="B27" s="292"/>
      <c r="C27" s="292"/>
      <c r="D27" s="293"/>
      <c r="E27" s="309"/>
      <c r="F27" s="309"/>
      <c r="G27" s="309"/>
      <c r="H27" s="309"/>
      <c r="I27" s="309"/>
      <c r="J27" s="2020"/>
      <c r="K27" s="1251" t="str">
        <f ca="1">"单位面积地价："&amp;M38&amp;"元/平方米"</f>
        <v>单位面积地价：21459元/平方米</v>
      </c>
      <c r="L27" s="1245"/>
      <c r="M27" s="1245"/>
      <c r="N27" s="1245"/>
      <c r="O27" s="1244"/>
      <c r="P27" s="2020"/>
      <c r="Q27" s="2020"/>
      <c r="R27" s="2020"/>
      <c r="S27" s="2020"/>
      <c r="T27" s="2020"/>
      <c r="U27" s="2020"/>
      <c r="V27" s="2020"/>
    </row>
    <row r="28" spans="1:26" ht="18.75" customHeight="1">
      <c r="A28" s="291"/>
      <c r="B28" s="292"/>
      <c r="C28" s="292"/>
      <c r="D28" s="293"/>
      <c r="E28" s="309"/>
      <c r="F28" s="309"/>
      <c r="G28" s="309"/>
      <c r="H28" s="309"/>
      <c r="I28" s="309"/>
      <c r="J28" s="2020"/>
      <c r="K28" s="1251" t="str">
        <f ca="1">"楼面地价："&amp;N38&amp;"元/平方米"</f>
        <v>楼面地价：3341元/平方米</v>
      </c>
      <c r="L28" s="1245"/>
      <c r="M28" s="1245"/>
      <c r="N28" s="1245"/>
      <c r="O28" s="1244"/>
      <c r="P28" s="2020"/>
      <c r="V28" s="2020"/>
    </row>
    <row r="29" spans="1:26" ht="18">
      <c r="A29" s="291"/>
      <c r="B29" s="292"/>
      <c r="C29" s="292"/>
      <c r="D29" s="293"/>
      <c r="E29" s="309"/>
      <c r="F29" s="309"/>
      <c r="G29" s="309"/>
      <c r="H29" s="309"/>
      <c r="I29" s="309"/>
      <c r="J29" s="2020"/>
      <c r="K29" s="1251" t="str">
        <f ca="1">IF(OR(项目基本情况!E8="抵押价格",项目基本情况!E8="已注销及未注销"),"抵押价格："&amp;O39&amp;"万元","——")</f>
        <v>抵押价格：159226万元</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 ca="1">IF(K29="——","——","大写金额：人民币"&amp;NUMBERSTRING(INT(O39*10000),2)&amp;"元整")</f>
        <v>大写金额：人民币壹拾伍亿玖仟贰佰贰拾陆万元整</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v>
      </c>
      <c r="L31" s="2480"/>
      <c r="M31" s="2480"/>
      <c r="N31" s="2480"/>
      <c r="O31" s="2481"/>
      <c r="P31" s="2020"/>
      <c r="V31" s="2020"/>
    </row>
    <row r="32" spans="1:26" ht="18.75" thickBot="1">
      <c r="A32" s="266" t="s">
        <v>337</v>
      </c>
      <c r="B32" s="1373" t="s">
        <v>1687</v>
      </c>
      <c r="C32" s="1374">
        <f ca="1">G19-C24</f>
        <v>160224</v>
      </c>
      <c r="D32" s="1375" t="s">
        <v>1688</v>
      </c>
      <c r="E32" s="309"/>
      <c r="F32" s="309"/>
      <c r="G32" s="309"/>
      <c r="H32" s="309"/>
      <c r="I32" s="309"/>
      <c r="J32" s="2020"/>
      <c r="K32" s="2479" t="str">
        <f>IF(K31="——","——","大写金额：人民币"&amp;NUMBERSTRING(INT(O40*10000),2)&amp;"元整")</f>
        <v>——</v>
      </c>
      <c r="L32" s="2482"/>
      <c r="M32" s="2482"/>
      <c r="N32" s="2482"/>
      <c r="O32" s="2483"/>
      <c r="P32" s="2020"/>
      <c r="V32" s="2020"/>
    </row>
    <row r="33" spans="1:26" ht="18.75" thickBot="1">
      <c r="A33" s="296" t="s">
        <v>340</v>
      </c>
      <c r="B33" s="1376" t="s">
        <v>1689</v>
      </c>
      <c r="C33" s="262">
        <f ca="1">ROUND(C32*10000/'数据-汇总表'!E3,0)</f>
        <v>3341</v>
      </c>
      <c r="D33" s="1377" t="s">
        <v>1690</v>
      </c>
      <c r="E33" s="3690" t="s">
        <v>338</v>
      </c>
      <c r="F33" s="294" t="s">
        <v>339</v>
      </c>
      <c r="G33" s="295"/>
      <c r="H33" s="973"/>
      <c r="I33" s="1252"/>
      <c r="J33" s="2020"/>
      <c r="K33" s="1251" t="str">
        <f>IF(项目基本情况!E9="——","——","抵押净值："&amp;C46&amp;"万元")</f>
        <v>——</v>
      </c>
      <c r="L33" s="1245"/>
      <c r="M33" s="1245"/>
      <c r="N33" s="1245"/>
      <c r="O33" s="1244"/>
      <c r="P33" s="2020"/>
      <c r="V33" s="2020"/>
    </row>
    <row r="34" spans="1:26" s="1247" customFormat="1" ht="18.75" thickBot="1">
      <c r="A34" s="298"/>
      <c r="B34" s="1378" t="s">
        <v>1691</v>
      </c>
      <c r="C34" s="262">
        <f ca="1">ROUND(C32*10000/'数据-汇总表'!D3,0)</f>
        <v>21459</v>
      </c>
      <c r="D34" s="1379" t="s">
        <v>1690</v>
      </c>
      <c r="E34" s="3731"/>
      <c r="F34" s="127" t="s">
        <v>341</v>
      </c>
      <c r="G34" s="297"/>
      <c r="H34" s="105"/>
      <c r="I34" s="309"/>
      <c r="J34" s="2020"/>
      <c r="K34" s="1254" t="str">
        <f>IF(K33="——","——","大写金额：人民币"&amp;NUMBERSTRING(INT(O41*10000),2)&amp;"元整")</f>
        <v>——</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1431</v>
      </c>
      <c r="D35" s="1382" t="s">
        <v>1692</v>
      </c>
      <c r="E35" s="3732"/>
      <c r="F35" s="299" t="s">
        <v>342</v>
      </c>
      <c r="G35" s="975">
        <f>E37</f>
        <v>998</v>
      </c>
      <c r="H35" s="974" t="s">
        <v>343</v>
      </c>
      <c r="I35" s="309"/>
      <c r="J35" s="2020"/>
      <c r="K35" s="3705" t="s">
        <v>350</v>
      </c>
      <c r="L35" s="3705" t="s">
        <v>351</v>
      </c>
      <c r="M35" s="1257" t="s">
        <v>352</v>
      </c>
      <c r="N35" s="3705" t="s">
        <v>353</v>
      </c>
      <c r="O35" s="3705" t="s">
        <v>354</v>
      </c>
      <c r="P35" s="2020"/>
      <c r="V35" s="2020"/>
    </row>
    <row r="36" spans="1:26" ht="16.5" customHeight="1">
      <c r="A36" s="301" t="s">
        <v>344</v>
      </c>
      <c r="B36" s="302" t="s">
        <v>333</v>
      </c>
      <c r="C36" s="303" t="s">
        <v>345</v>
      </c>
      <c r="D36" s="303" t="s">
        <v>346</v>
      </c>
      <c r="E36" s="304" t="s">
        <v>347</v>
      </c>
      <c r="F36" s="309"/>
      <c r="G36" s="309"/>
      <c r="H36" s="309"/>
      <c r="I36" s="309"/>
      <c r="J36" s="2022"/>
      <c r="K36" s="3706"/>
      <c r="L36" s="3706"/>
      <c r="M36" s="1259" t="s">
        <v>355</v>
      </c>
      <c r="N36" s="3706"/>
      <c r="O36" s="3706"/>
      <c r="P36" s="2020"/>
      <c r="V36" s="2020"/>
    </row>
    <row r="37" spans="1:26" ht="16.5" customHeight="1" thickBot="1">
      <c r="A37" s="1253" t="s">
        <v>348</v>
      </c>
      <c r="B37" s="305">
        <f>'数据-汇总表'!G20</f>
        <v>15779</v>
      </c>
      <c r="C37" s="292">
        <f>1228/2</f>
        <v>614</v>
      </c>
      <c r="D37" s="3572">
        <v>3.0499999999999999E-2</v>
      </c>
      <c r="E37" s="293">
        <f>ROUND(B37*C37*(1+D37)/10000,0)</f>
        <v>998</v>
      </c>
      <c r="F37" s="309"/>
      <c r="G37" s="309"/>
      <c r="H37" s="309"/>
      <c r="I37" s="309"/>
      <c r="J37" s="2022"/>
      <c r="K37" s="3707"/>
      <c r="L37" s="3707"/>
      <c r="M37" s="1260"/>
      <c r="N37" s="3707"/>
      <c r="O37" s="3707"/>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21459</v>
      </c>
      <c r="N38" s="1262">
        <f ca="1">C33</f>
        <v>3341</v>
      </c>
      <c r="O38" s="1263">
        <f ca="1">C32</f>
        <v>160224</v>
      </c>
      <c r="P38" s="2020"/>
      <c r="V38" s="2020"/>
    </row>
    <row r="39" spans="1:26" ht="16.5" customHeight="1" thickBot="1">
      <c r="A39" s="1258"/>
      <c r="B39" s="306"/>
      <c r="C39" s="307"/>
      <c r="D39" s="307"/>
      <c r="E39" s="308"/>
      <c r="F39" s="309"/>
      <c r="G39" s="309"/>
      <c r="H39" s="309"/>
      <c r="I39" s="309"/>
      <c r="J39" s="2022"/>
      <c r="K39" s="3750" t="str">
        <f>MID(A44,3,LEN(A44)-2)</f>
        <v>抵押价格</v>
      </c>
      <c r="L39" s="3751"/>
      <c r="M39" s="3751"/>
      <c r="N39" s="3752"/>
      <c r="O39" s="1384">
        <f ca="1">C44</f>
        <v>159226</v>
      </c>
      <c r="P39" s="2020"/>
      <c r="V39" s="2020"/>
    </row>
    <row r="40" spans="1:26" ht="19.5" thickBot="1">
      <c r="A40" s="104" t="s">
        <v>873</v>
      </c>
      <c r="B40" s="309"/>
      <c r="C40" s="309"/>
      <c r="D40" s="309"/>
      <c r="E40" s="309"/>
      <c r="F40" s="309"/>
      <c r="G40" s="309"/>
      <c r="H40" s="309"/>
      <c r="I40" s="309"/>
      <c r="J40" s="2022"/>
      <c r="K40" s="3750" t="str">
        <f t="shared" ref="K40:K41" si="0">MID(A45,3,LEN(A45)-2)</f>
        <v/>
      </c>
      <c r="L40" s="3751"/>
      <c r="M40" s="3751"/>
      <c r="N40" s="3752"/>
      <c r="O40" s="1384" t="str">
        <f>C45</f>
        <v>——</v>
      </c>
      <c r="P40" s="2020"/>
      <c r="V40" s="2020"/>
    </row>
    <row r="41" spans="1:26" ht="16.5" thickBot="1">
      <c r="A41" s="310" t="s">
        <v>356</v>
      </c>
      <c r="B41" s="311"/>
      <c r="C41" s="312" t="s">
        <v>357</v>
      </c>
      <c r="D41" s="313" t="s">
        <v>358</v>
      </c>
      <c r="E41" s="313" t="s">
        <v>359</v>
      </c>
      <c r="F41" s="314" t="s">
        <v>360</v>
      </c>
      <c r="G41" s="309"/>
      <c r="H41" s="309"/>
      <c r="I41" s="309"/>
      <c r="J41" s="2022"/>
      <c r="K41" s="3750" t="str">
        <f t="shared" si="0"/>
        <v/>
      </c>
      <c r="L41" s="3751"/>
      <c r="M41" s="3751"/>
      <c r="N41" s="3752"/>
      <c r="O41" s="1384" t="str">
        <f>C46</f>
        <v>——</v>
      </c>
      <c r="P41" s="2020"/>
      <c r="V41" s="2020"/>
    </row>
    <row r="42" spans="1:26" ht="29.25">
      <c r="A42" s="3692" t="s">
        <v>2068</v>
      </c>
      <c r="B42" s="3693"/>
      <c r="C42" s="262">
        <f ca="1">C32</f>
        <v>160224</v>
      </c>
      <c r="D42" s="315">
        <f ca="1">C33</f>
        <v>3341</v>
      </c>
      <c r="E42" s="315">
        <f ca="1">C34</f>
        <v>21459</v>
      </c>
      <c r="F42" s="316">
        <f ca="1">C35</f>
        <v>1431</v>
      </c>
      <c r="G42" s="309"/>
      <c r="H42" s="309"/>
      <c r="I42" s="317"/>
      <c r="J42" s="2022"/>
      <c r="K42" s="1264" t="s">
        <v>361</v>
      </c>
      <c r="L42" s="2039" t="s">
        <v>362</v>
      </c>
      <c r="M42" s="1265" t="s">
        <v>363</v>
      </c>
      <c r="N42" s="2040" t="s">
        <v>364</v>
      </c>
      <c r="O42" s="2041" t="s">
        <v>365</v>
      </c>
      <c r="P42" s="2020"/>
      <c r="V42" s="2020"/>
    </row>
    <row r="43" spans="1:26" ht="30">
      <c r="A43" s="3703" t="s">
        <v>2734</v>
      </c>
      <c r="B43" s="3704"/>
      <c r="C43" s="262">
        <f>IF(H33="正常操作",G33+G34+G35,G34+G35)</f>
        <v>998</v>
      </c>
      <c r="D43" s="315" t="s">
        <v>43</v>
      </c>
      <c r="E43" s="315" t="s">
        <v>44</v>
      </c>
      <c r="F43" s="316" t="s">
        <v>44</v>
      </c>
      <c r="G43" s="2883" t="s">
        <v>952</v>
      </c>
      <c r="H43" s="309"/>
      <c r="I43" s="317"/>
      <c r="J43" s="2022"/>
      <c r="K43" s="1266" t="str">
        <f>C4</f>
        <v>比较法-住宅、综合</v>
      </c>
      <c r="L43" s="1267">
        <f ca="1">IF(L42="估价结果/万元",C19,C20)</f>
        <v>94966</v>
      </c>
      <c r="M43" s="1268">
        <f>C18</f>
        <v>0.4</v>
      </c>
      <c r="N43" s="1269">
        <f ca="1">IF(N42="测算结果/万元",G19,G20)</f>
        <v>160224</v>
      </c>
      <c r="O43" s="1270">
        <f ca="1">IF(O42="最终结果/万元",C32,C33)</f>
        <v>160224</v>
      </c>
      <c r="P43" s="2020"/>
      <c r="V43" s="2020"/>
    </row>
    <row r="44" spans="1:26" ht="30.75" thickBot="1">
      <c r="A44" s="3692" t="str">
        <f>IF(OR(项目基本情况!E8="抵押价格",项目基本情况!E8="已注销及未注销"),"3.抵押价格","——")</f>
        <v>3.抵押价格</v>
      </c>
      <c r="B44" s="3693"/>
      <c r="C44" s="262">
        <f ca="1">IF(A44="——","——",C42-C43)</f>
        <v>159226</v>
      </c>
      <c r="D44" s="315">
        <f ca="1">ROUND(C44*10000/'数据-汇总表'!E3,0)</f>
        <v>3321</v>
      </c>
      <c r="E44" s="315">
        <f ca="1">ROUND(C44*10000/'数据-汇总表'!D3,0)</f>
        <v>21325</v>
      </c>
      <c r="F44" s="316">
        <f ca="1">ROUND(C44/('数据-汇总表'!D3/666.67),0)</f>
        <v>1422</v>
      </c>
      <c r="G44" s="309"/>
      <c r="H44" s="309"/>
      <c r="I44" s="317"/>
      <c r="J44" s="2022"/>
      <c r="K44" s="1271" t="str">
        <f>D4</f>
        <v>剩余法-待开发</v>
      </c>
      <c r="L44" s="1272">
        <f ca="1">IF(L42="估价结果/万元",D19,D20)</f>
        <v>203729</v>
      </c>
      <c r="M44" s="1273">
        <f>D18</f>
        <v>0.6</v>
      </c>
      <c r="N44" s="1274"/>
      <c r="O44" s="1275"/>
      <c r="P44" s="2020"/>
      <c r="V44" s="2020"/>
    </row>
    <row r="45" spans="1:26" ht="15">
      <c r="A45" s="3698" t="str">
        <f>IF(项目基本情况!E8="已注销及未注销","4.抵押担保权已注销时的抵押价格",IF(项目基本情况!E8="已注销","3.抵押担保权已注销时的抵押价格","——"))</f>
        <v>——</v>
      </c>
      <c r="B45" s="3699"/>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694" t="str">
        <f>IF(项目基本情况!E9="抵押净值",IF(A45="——","4.抵押净值","5.抵押净值"),"——")</f>
        <v>——</v>
      </c>
      <c r="B46" s="3695"/>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本次评估估价师知悉的法定优先受偿款为人民币998万元整。</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739" t="s">
        <v>374</v>
      </c>
      <c r="B63" s="3740"/>
      <c r="C63" s="3741"/>
      <c r="D63" s="339">
        <f ca="1">ROUND(C42*F63,0)</f>
        <v>96134</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700" t="s">
        <v>378</v>
      </c>
      <c r="B64" s="3701"/>
      <c r="C64" s="3701"/>
      <c r="D64" s="3701"/>
      <c r="E64" s="3701"/>
      <c r="F64" s="3701"/>
      <c r="G64" s="3702"/>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696" t="s">
        <v>386</v>
      </c>
      <c r="B66" s="3697"/>
      <c r="C66" s="3697"/>
      <c r="D66" s="259">
        <f ca="1">IF(H66="情况1",0,IF(H66="情况2",D70,IF(H66="情况3",D71,IF(H66="情况4",D72))))</f>
        <v>5127</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754" t="s">
        <v>385</v>
      </c>
      <c r="M66" s="3755"/>
      <c r="N66" s="2474"/>
      <c r="O66" s="2475"/>
      <c r="P66" s="2476"/>
      <c r="Q66" s="2020"/>
      <c r="R66" s="2020"/>
      <c r="S66" s="2020"/>
      <c r="T66" s="2020"/>
      <c r="U66" s="2020"/>
      <c r="V66" s="2020"/>
    </row>
    <row r="67" spans="1:22" ht="25.5" customHeight="1">
      <c r="A67" s="350" t="s">
        <v>390</v>
      </c>
      <c r="B67" s="3687" t="s">
        <v>391</v>
      </c>
      <c r="C67" s="3687"/>
      <c r="D67" s="351">
        <v>0</v>
      </c>
      <c r="E67" s="41" t="s">
        <v>392</v>
      </c>
      <c r="F67" s="62" t="s">
        <v>21</v>
      </c>
      <c r="G67" s="3742"/>
      <c r="H67" s="309"/>
      <c r="I67" s="1285"/>
      <c r="J67" s="2027"/>
      <c r="K67" s="1968">
        <v>2</v>
      </c>
      <c r="L67" s="3753" t="s">
        <v>389</v>
      </c>
      <c r="M67" s="3753"/>
      <c r="N67" s="1318">
        <f>'数据-取费表'!B2</f>
        <v>43923</v>
      </c>
      <c r="O67" s="1318"/>
      <c r="P67" s="1318"/>
      <c r="Q67" s="2020"/>
      <c r="R67" s="2020"/>
      <c r="S67" s="2020"/>
      <c r="T67" s="2020"/>
      <c r="U67" s="2020"/>
      <c r="V67" s="2020"/>
    </row>
    <row r="68" spans="1:22" ht="25.5" customHeight="1">
      <c r="A68" s="352"/>
      <c r="B68" s="3687" t="s">
        <v>394</v>
      </c>
      <c r="C68" s="3687"/>
      <c r="D68" s="353"/>
      <c r="E68" s="77"/>
      <c r="F68" s="354"/>
      <c r="G68" s="3743"/>
      <c r="H68" s="309"/>
      <c r="I68" s="1285"/>
      <c r="J68" s="2027"/>
      <c r="K68" s="1968">
        <v>3</v>
      </c>
      <c r="L68" s="3753" t="s">
        <v>393</v>
      </c>
      <c r="M68" s="3753"/>
      <c r="N68" s="1286">
        <f ca="1">C42</f>
        <v>160224</v>
      </c>
      <c r="O68" s="1286"/>
      <c r="P68" s="1286"/>
      <c r="Q68" s="2020"/>
      <c r="R68" s="2020"/>
      <c r="S68" s="2020"/>
      <c r="T68" s="2020"/>
      <c r="U68" s="2020"/>
      <c r="V68" s="2020"/>
    </row>
    <row r="69" spans="1:22" ht="12" customHeight="1">
      <c r="A69" s="355"/>
      <c r="B69" s="3687" t="s">
        <v>395</v>
      </c>
      <c r="C69" s="3687"/>
      <c r="D69" s="356"/>
      <c r="E69" s="73"/>
      <c r="F69" s="354"/>
      <c r="G69" s="3744"/>
      <c r="H69" s="309"/>
      <c r="I69" s="1285"/>
      <c r="J69" s="2027"/>
      <c r="K69" s="1287">
        <v>4</v>
      </c>
      <c r="L69" s="3758" t="s">
        <v>2887</v>
      </c>
      <c r="M69" s="3759"/>
      <c r="N69" s="1288">
        <f ca="1">C44</f>
        <v>159226</v>
      </c>
      <c r="O69" s="1288"/>
      <c r="P69" s="1288"/>
      <c r="Q69" s="2020"/>
      <c r="R69" s="2020"/>
      <c r="S69" s="2020"/>
      <c r="T69" s="2020"/>
      <c r="U69" s="2020"/>
      <c r="V69" s="2020"/>
    </row>
    <row r="70" spans="1:22" ht="24" customHeight="1">
      <c r="A70" s="357" t="s">
        <v>396</v>
      </c>
      <c r="B70" s="3687" t="s">
        <v>397</v>
      </c>
      <c r="C70" s="3687"/>
      <c r="D70" s="356">
        <f ca="1">ROUND(D63*'数据-取费表'!B41/(1+'数据-取费表'!C42),0)</f>
        <v>5127</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688" t="s">
        <v>405</v>
      </c>
      <c r="C71" s="3689"/>
      <c r="D71" s="356">
        <f ca="1">ROUND(D63*'数据-取费表'!B41/(1+'数据-取费表'!C42),0)</f>
        <v>5127</v>
      </c>
      <c r="E71" s="17" t="s">
        <v>398</v>
      </c>
      <c r="F71" s="358">
        <f>'数据-取费表'!B41</f>
        <v>5.6000000000000001E-2</v>
      </c>
      <c r="G71" s="359"/>
      <c r="H71" s="309"/>
      <c r="I71" s="1285"/>
      <c r="J71" s="2027"/>
      <c r="K71" s="3076" t="s">
        <v>399</v>
      </c>
      <c r="L71" s="3760" t="s">
        <v>400</v>
      </c>
      <c r="M71" s="3760"/>
      <c r="N71" s="3076" t="s">
        <v>401</v>
      </c>
      <c r="O71" s="3076" t="s">
        <v>402</v>
      </c>
      <c r="P71" s="3076" t="s">
        <v>403</v>
      </c>
      <c r="Q71" s="2020"/>
      <c r="R71" s="2020"/>
      <c r="S71" s="2020"/>
      <c r="T71" s="2020"/>
      <c r="U71" s="2020"/>
      <c r="V71" s="2020"/>
    </row>
    <row r="72" spans="1:22" ht="12" customHeight="1">
      <c r="A72" s="357" t="s">
        <v>407</v>
      </c>
      <c r="B72" s="3688" t="s">
        <v>408</v>
      </c>
      <c r="C72" s="3689"/>
      <c r="D72" s="356">
        <f ca="1">C86</f>
        <v>5015</v>
      </c>
      <c r="E72" s="73" t="s">
        <v>409</v>
      </c>
      <c r="F72" s="358">
        <f>'数据-取费表'!B41</f>
        <v>5.6000000000000001E-2</v>
      </c>
      <c r="G72" s="359"/>
      <c r="H72" s="1291"/>
      <c r="I72" s="1285"/>
      <c r="J72" s="2027"/>
      <c r="K72" s="1968">
        <v>1</v>
      </c>
      <c r="L72" s="3735" t="s">
        <v>406</v>
      </c>
      <c r="M72" s="3735"/>
      <c r="N72" s="1289">
        <f ca="1">D66</f>
        <v>5127</v>
      </c>
      <c r="O72" s="1851" t="str">
        <f>E66</f>
        <v>销售额×税（费）率</v>
      </c>
      <c r="P72" s="1290">
        <f>F66</f>
        <v>5.6000000000000001E-2</v>
      </c>
      <c r="Q72" s="2020"/>
      <c r="R72" s="2020"/>
      <c r="S72" s="2020"/>
      <c r="T72" s="2020"/>
      <c r="U72" s="2020"/>
      <c r="V72" s="2020"/>
    </row>
    <row r="73" spans="1:22" ht="24" customHeight="1">
      <c r="A73" s="3729" t="s">
        <v>411</v>
      </c>
      <c r="B73" s="3697"/>
      <c r="C73" s="3697"/>
      <c r="D73" s="360">
        <f>IF(H73="个人住宅",0,ROUND(D63*I73,0))</f>
        <v>0</v>
      </c>
      <c r="E73" s="17" t="s">
        <v>412</v>
      </c>
      <c r="F73" s="358" t="str">
        <f>IF(H73="正常",I73,"免征")</f>
        <v>免征</v>
      </c>
      <c r="G73" s="359"/>
      <c r="H73" s="191" t="s">
        <v>2458</v>
      </c>
      <c r="I73" s="358">
        <f>'数据-取费表'!B49</f>
        <v>5.0000000000000001E-4</v>
      </c>
      <c r="J73" s="2027"/>
      <c r="K73" s="1968">
        <v>2</v>
      </c>
      <c r="L73" s="3735" t="s">
        <v>410</v>
      </c>
      <c r="M73" s="3735"/>
      <c r="N73" s="1289">
        <f t="shared" ref="N73:P74" si="1">D73</f>
        <v>0</v>
      </c>
      <c r="O73" s="1851" t="str">
        <f t="shared" si="1"/>
        <v>销售额×税（费）率</v>
      </c>
      <c r="P73" s="1290" t="str">
        <f t="shared" si="1"/>
        <v>免征</v>
      </c>
      <c r="Q73" s="2020"/>
      <c r="R73" s="2020"/>
      <c r="S73" s="2020"/>
      <c r="T73" s="2020"/>
      <c r="U73" s="2020"/>
      <c r="V73" s="2020"/>
    </row>
    <row r="74" spans="1:22" ht="24.75">
      <c r="A74" s="3729" t="s">
        <v>415</v>
      </c>
      <c r="B74" s="3697"/>
      <c r="C74" s="3697"/>
      <c r="D74" s="360">
        <f ca="1">IF(H74="个人住宅",D75,D76)</f>
        <v>53757</v>
      </c>
      <c r="E74" s="17" t="s">
        <v>416</v>
      </c>
      <c r="F74" s="358" t="str">
        <f>IF(H74="正常",F76,"免征")</f>
        <v>——</v>
      </c>
      <c r="G74" s="976" t="s">
        <v>417</v>
      </c>
      <c r="H74" s="361" t="s">
        <v>413</v>
      </c>
      <c r="I74" s="42"/>
      <c r="J74" s="2027"/>
      <c r="K74" s="1968">
        <v>3</v>
      </c>
      <c r="L74" s="3735" t="s">
        <v>414</v>
      </c>
      <c r="M74" s="3735"/>
      <c r="N74" s="1289">
        <f t="shared" ca="1" si="1"/>
        <v>53757</v>
      </c>
      <c r="O74" s="1851" t="str">
        <f t="shared" si="1"/>
        <v>增值额×税（费）率</v>
      </c>
      <c r="P74" s="1292" t="str">
        <f t="shared" si="1"/>
        <v>——</v>
      </c>
      <c r="Q74" s="2020"/>
      <c r="R74" s="2020"/>
      <c r="S74" s="2020"/>
      <c r="T74" s="2020"/>
      <c r="U74" s="2020"/>
      <c r="V74" s="2020"/>
    </row>
    <row r="75" spans="1:22" ht="24">
      <c r="A75" s="357" t="s">
        <v>418</v>
      </c>
      <c r="B75" s="3685" t="s">
        <v>419</v>
      </c>
      <c r="C75" s="3715"/>
      <c r="D75" s="362">
        <v>0</v>
      </c>
      <c r="E75" s="41" t="s">
        <v>420</v>
      </c>
      <c r="F75" s="363"/>
      <c r="G75" s="359"/>
      <c r="H75" s="42"/>
      <c r="I75" s="42"/>
      <c r="J75" s="2027"/>
      <c r="K75" s="3069">
        <f>IF(H77="非个人房产","",4)</f>
        <v>4</v>
      </c>
      <c r="L75" s="3735" t="str">
        <f>IF(H77="非个人房产","——","个人所得税")</f>
        <v>个人所得税</v>
      </c>
      <c r="M75" s="3735"/>
      <c r="N75" s="1293">
        <f ca="1">D77</f>
        <v>961</v>
      </c>
      <c r="O75" s="1864" t="str">
        <f>E77</f>
        <v>销售额×税（费）率</v>
      </c>
      <c r="P75" s="1294">
        <f>F77</f>
        <v>0.01</v>
      </c>
      <c r="Q75" s="2020"/>
      <c r="R75" s="2020"/>
      <c r="S75" s="2020"/>
      <c r="T75" s="2020"/>
      <c r="U75" s="2020"/>
      <c r="V75" s="2020"/>
    </row>
    <row r="76" spans="1:22" ht="24.75">
      <c r="A76" s="357" t="s">
        <v>396</v>
      </c>
      <c r="B76" s="3685" t="s">
        <v>422</v>
      </c>
      <c r="C76" s="3686"/>
      <c r="D76" s="360">
        <f ca="1">IF(H76="转让取得",C99,C115)</f>
        <v>53757</v>
      </c>
      <c r="E76" s="17" t="s">
        <v>423</v>
      </c>
      <c r="F76" s="53" t="s">
        <v>21</v>
      </c>
      <c r="G76" s="359"/>
      <c r="H76" s="361" t="s">
        <v>424</v>
      </c>
      <c r="I76" s="42"/>
      <c r="J76" s="2027"/>
      <c r="K76" s="3069" t="str">
        <f>IF(项目基本情况!K6="上海银行",IF(K75="",4,K75+1),"")</f>
        <v/>
      </c>
      <c r="L76" s="3746" t="str">
        <f>IF(项目基本情况!K6="上海银行","其他处置费用","")</f>
        <v/>
      </c>
      <c r="M76" s="3747"/>
      <c r="N76" s="1289" t="str">
        <f>IF(项目基本情况!K6="上海银行",N89,"")</f>
        <v/>
      </c>
      <c r="O76" s="3748" t="str">
        <f>IF(项目基本情况!K6="上海银行","包含处置中涉及的律师、诉讼、拍卖、评估等费用","")</f>
        <v/>
      </c>
      <c r="P76" s="3749"/>
      <c r="Q76" s="2020"/>
      <c r="R76" s="2020"/>
      <c r="S76" s="2020"/>
      <c r="T76" s="2020"/>
      <c r="U76" s="2020"/>
      <c r="V76" s="2020"/>
    </row>
    <row r="77" spans="1:22" ht="26.25" thickBot="1">
      <c r="A77" s="3737" t="s">
        <v>426</v>
      </c>
      <c r="B77" s="3738"/>
      <c r="C77" s="3738"/>
      <c r="D77" s="364">
        <f ca="1">IF(H77="非个人房产","——",IF(H77="个人住宅",0,ROUND(D63*I77,0)))</f>
        <v>961</v>
      </c>
      <c r="E77" s="365" t="str">
        <f>IF(H77="非个人房产","——","销售额×税（费）率")</f>
        <v>销售额×税（费）率</v>
      </c>
      <c r="F77" s="366">
        <f>IF(H77="非个人房产","——",IF(H77="个人住宅","免征",I77))</f>
        <v>0.01</v>
      </c>
      <c r="G77" s="977" t="s">
        <v>417</v>
      </c>
      <c r="H77" s="361" t="s">
        <v>2888</v>
      </c>
      <c r="I77" s="367">
        <v>0.01</v>
      </c>
      <c r="J77" s="2027"/>
      <c r="K77" s="3736">
        <f>IF(AND(K75="",K76=""),4,IF(项目基本情况!K6="上海银行",K76+1,K75+1))</f>
        <v>5</v>
      </c>
      <c r="L77" s="3735" t="s">
        <v>2889</v>
      </c>
      <c r="M77" s="3075" t="s">
        <v>421</v>
      </c>
      <c r="N77" s="1295"/>
      <c r="O77" s="1296">
        <f ca="1">SUMIF(N72:N76,"&lt;9e307")</f>
        <v>59845</v>
      </c>
      <c r="P77" s="1297"/>
      <c r="Q77" s="3073">
        <f ca="1">O77/N69</f>
        <v>0.37584942157687817</v>
      </c>
      <c r="R77" s="2020"/>
      <c r="S77" s="2020"/>
      <c r="T77" s="2020"/>
      <c r="U77" s="2020"/>
      <c r="V77" s="2020"/>
    </row>
    <row r="78" spans="1:22" ht="12" customHeight="1">
      <c r="A78" s="1298"/>
      <c r="B78" s="309"/>
      <c r="C78" s="309"/>
      <c r="D78" s="309"/>
      <c r="E78" s="42"/>
      <c r="F78" s="42"/>
      <c r="G78" s="42"/>
      <c r="H78" s="996"/>
      <c r="I78" s="309"/>
      <c r="J78" s="2027"/>
      <c r="K78" s="3736"/>
      <c r="L78" s="3735"/>
      <c r="M78" s="3075" t="s">
        <v>425</v>
      </c>
      <c r="N78" s="1295"/>
      <c r="O78" s="1296" t="str">
        <f ca="1">NUMBERSTRING(INT(O77*10000),2)&amp;"元整"</f>
        <v>伍亿玖仟捌佰肆拾伍万元整</v>
      </c>
      <c r="P78" s="1297"/>
      <c r="Q78" s="2020"/>
      <c r="R78" s="2020"/>
      <c r="S78" s="2020"/>
      <c r="T78" s="2020"/>
      <c r="U78" s="2020"/>
      <c r="V78" s="2020"/>
    </row>
    <row r="79" spans="1:22" ht="13.5" thickBot="1">
      <c r="A79" s="3730" t="s">
        <v>427</v>
      </c>
      <c r="B79" s="3730"/>
      <c r="C79" s="3730"/>
      <c r="D79" s="3730"/>
      <c r="E79" s="3730"/>
      <c r="F79" s="42"/>
      <c r="G79" s="42"/>
      <c r="H79" s="996"/>
      <c r="I79" s="309"/>
      <c r="J79" s="2027"/>
      <c r="K79" s="3756">
        <f>K77+1</f>
        <v>6</v>
      </c>
      <c r="L79" s="3735" t="s">
        <v>2890</v>
      </c>
      <c r="M79" s="3075" t="s">
        <v>421</v>
      </c>
      <c r="N79" s="1295"/>
      <c r="O79" s="1296">
        <f ca="1">N69-O77</f>
        <v>99381</v>
      </c>
      <c r="P79" s="1297"/>
      <c r="Q79" s="2020"/>
      <c r="R79" s="2020"/>
      <c r="S79" s="2020"/>
      <c r="T79" s="2020"/>
      <c r="U79" s="2020"/>
      <c r="V79" s="2020"/>
    </row>
    <row r="80" spans="1:22" ht="25.5">
      <c r="A80" s="3725" t="s">
        <v>428</v>
      </c>
      <c r="B80" s="3726"/>
      <c r="C80" s="987"/>
      <c r="D80" s="987" t="s">
        <v>429</v>
      </c>
      <c r="E80" s="368" t="s">
        <v>430</v>
      </c>
      <c r="F80" s="42"/>
      <c r="G80" s="42"/>
      <c r="H80" s="996"/>
      <c r="I80" s="309"/>
      <c r="J80" s="2020"/>
      <c r="K80" s="3757"/>
      <c r="L80" s="3735"/>
      <c r="M80" s="3075" t="s">
        <v>425</v>
      </c>
      <c r="N80" s="1295"/>
      <c r="O80" s="1296" t="str">
        <f ca="1">NUMBERSTRING(INT(O79*10000),2)&amp;"元整"</f>
        <v>玖亿玖仟叁佰捌拾壹万元整</v>
      </c>
      <c r="P80" s="1297"/>
      <c r="Q80" s="2020"/>
      <c r="R80" s="2020"/>
      <c r="S80" s="2020"/>
      <c r="T80" s="2020"/>
      <c r="U80" s="2020"/>
      <c r="V80" s="2020"/>
    </row>
    <row r="81" spans="1:26" ht="13.5" thickBot="1">
      <c r="A81" s="379" t="s">
        <v>1822</v>
      </c>
      <c r="B81" s="369" t="s">
        <v>431</v>
      </c>
      <c r="C81" s="370">
        <f ca="1">ROUND((C82+C83)/(1+'数据-取费表'!C42),0)</f>
        <v>91556</v>
      </c>
      <c r="D81" s="371"/>
      <c r="E81" s="372"/>
      <c r="F81" s="42"/>
      <c r="G81" s="42"/>
      <c r="H81" s="996"/>
      <c r="I81" s="309"/>
      <c r="J81" s="2020"/>
      <c r="K81" s="3069">
        <f>K79+1</f>
        <v>7</v>
      </c>
      <c r="L81" s="3733" t="s">
        <v>2891</v>
      </c>
      <c r="M81" s="3734"/>
      <c r="N81" s="1299"/>
      <c r="O81" s="1300">
        <f ca="1">ROUND(O79*10000/'数据-汇总表'!E3,0)</f>
        <v>2073</v>
      </c>
      <c r="P81" s="1301"/>
      <c r="Q81" s="2020"/>
      <c r="R81" s="2020"/>
      <c r="S81" s="2020"/>
      <c r="T81" s="2020"/>
      <c r="U81" s="2020"/>
      <c r="V81" s="2020"/>
    </row>
    <row r="82" spans="1:26" ht="13.5" thickTop="1">
      <c r="A82" s="373" t="s">
        <v>1823</v>
      </c>
      <c r="B82" s="374" t="s">
        <v>432</v>
      </c>
      <c r="C82" s="375">
        <f ca="1">D63</f>
        <v>96134</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745" t="s">
        <v>2878</v>
      </c>
      <c r="L83" s="3081" t="s">
        <v>2879</v>
      </c>
      <c r="M83" s="3071">
        <f ca="1">IF(N69&gt;10000,N69*0.5%,IF(AND(N69&gt;1000,N69&lt;=10000),N69*1%,IF(AND(N69&gt;100,N69&lt;=1000),N69*3%,IF(AND(N69&gt;10,N69&lt;=100),N69*5%,N69*8%))))</f>
        <v>796.13</v>
      </c>
      <c r="N83" s="53">
        <f ca="1">ROUND(M83,1)</f>
        <v>796.1</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745"/>
      <c r="L84" s="3081" t="s">
        <v>2880</v>
      </c>
      <c r="M84" s="3071">
        <f ca="1">IF(N69&gt;2000,N69*0.5%,IF(AND(N69&gt;1000,N69&lt;=2000),N69*0.6%,IF(AND(N69&gt;500,N69&lt;=1000),N69*0.7%,IF(AND(N69&gt;200,N69&lt;=500),N69*0.8%,IF(AND(N69&gt;100,N69&lt;=200),N69*0.9%,IF(AND(N69&gt;50,N69&lt;=100),N69*1%,IF(AND(N69&gt;20,N69&lt;=50),N69*1.5%,IF(AND(N69&gt;10,N69&lt;=20),N69*2%,IF(AND(N69&gt;1,N69&lt;=10),N69*2.5%)))))))))</f>
        <v>796.13</v>
      </c>
      <c r="N84" s="53">
        <f t="shared" ref="N84:N85" ca="1" si="2">ROUND(M84,1)</f>
        <v>796.1</v>
      </c>
      <c r="O84" s="2020" t="s">
        <v>2881</v>
      </c>
      <c r="P84" s="2020"/>
      <c r="Q84" s="2020"/>
      <c r="R84" s="2020"/>
      <c r="S84" s="2020"/>
      <c r="T84" s="2020"/>
      <c r="U84" s="2020"/>
      <c r="V84" s="2020"/>
    </row>
    <row r="85" spans="1:26" ht="12.75">
      <c r="A85" s="379" t="s">
        <v>1826</v>
      </c>
      <c r="B85" s="380" t="s">
        <v>435</v>
      </c>
      <c r="C85" s="383">
        <f ca="1">C81-C84</f>
        <v>89556</v>
      </c>
      <c r="D85" s="376" t="s">
        <v>19</v>
      </c>
      <c r="E85" s="377"/>
      <c r="F85" s="42"/>
      <c r="G85" s="42"/>
      <c r="H85" s="996"/>
      <c r="I85" s="309"/>
      <c r="J85" s="2020"/>
      <c r="K85" s="3745"/>
      <c r="L85" s="3081" t="s">
        <v>2882</v>
      </c>
      <c r="M85" s="3071">
        <f ca="1">IF(N69&gt;1000,N69*0.1%,IF(AND(N69&gt;500,N69&lt;=1000),N69*0.5%,IF(AND(N69&gt;50,N69&lt;=500),N69*1%,IF(AND(N69&gt;1,N69&lt;=50),N69*1.5%))))</f>
        <v>159.226</v>
      </c>
      <c r="N85" s="53">
        <f t="shared" ca="1" si="2"/>
        <v>159.19999999999999</v>
      </c>
      <c r="O85" s="2020" t="s">
        <v>2881</v>
      </c>
      <c r="P85" s="2020"/>
      <c r="Q85" s="2020"/>
      <c r="R85" s="2020"/>
      <c r="S85" s="2020"/>
      <c r="T85" s="2020"/>
      <c r="U85" s="2020"/>
      <c r="V85" s="2020"/>
    </row>
    <row r="86" spans="1:26" ht="13.5" thickBot="1">
      <c r="A86" s="384" t="s">
        <v>1827</v>
      </c>
      <c r="B86" s="385" t="s">
        <v>436</v>
      </c>
      <c r="C86" s="386">
        <f ca="1">IF(C85&lt;=0,0,ROUND(C85*D86,0))</f>
        <v>5015</v>
      </c>
      <c r="D86" s="387">
        <f>'数据-取费表'!B41</f>
        <v>5.6000000000000001E-2</v>
      </c>
      <c r="E86" s="388"/>
      <c r="F86" s="42"/>
      <c r="G86" s="42"/>
      <c r="H86" s="996"/>
      <c r="I86" s="309"/>
      <c r="J86" s="2020"/>
      <c r="K86" s="3745"/>
      <c r="L86" s="3081" t="s">
        <v>2883</v>
      </c>
      <c r="M86" s="3071">
        <f ca="1">N69*0.5%</f>
        <v>796.13</v>
      </c>
      <c r="N86" s="53">
        <f ca="1">IF(M86&gt;0.5,0.5,ROUND(M86,0))</f>
        <v>0.5</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745"/>
      <c r="L87" s="3081" t="s">
        <v>2885</v>
      </c>
      <c r="M87" s="3071">
        <f ca="1">IF(N69&gt;=10000,(8.25+(N69-10000)*0.01%),IF(AND(N69&gt;=8000,N69&lt;10000),(7.85+(N69-8000)*0.02%),IF(AND(N69&gt;=5000,N69&lt;8000),(6.65+(N69-5000)*0.04%),IF(AND(N69&gt;=2000,N69&lt;5000),(4.25+(PN69-2000)*0.08%),IF(AND(N69&gt;=1000,N69&lt;2000),(2.75+(N69-1000)*0.15%),IF(AND(N69&gt;=100,N69&lt;1000),(0.5+(N69-100)*0.25%),IF(AND(N69&gt;0,N69&lt;100),N69*0.5%)))))))</f>
        <v>23.172600000000003</v>
      </c>
      <c r="N87" s="53">
        <f ca="1">ROUND(M87*0.9,1)</f>
        <v>20.9</v>
      </c>
      <c r="O87" s="3074"/>
      <c r="P87" s="309"/>
      <c r="Q87" s="2020"/>
      <c r="R87" s="2020"/>
      <c r="S87" s="2020"/>
      <c r="T87" s="2020"/>
      <c r="U87" s="2020"/>
      <c r="V87" s="2020"/>
      <c r="W87" s="290"/>
      <c r="X87" s="290"/>
      <c r="Y87" s="290"/>
      <c r="Z87" s="290"/>
    </row>
    <row r="88" spans="1:26" s="1307" customFormat="1" ht="15" thickBot="1">
      <c r="A88" s="3727" t="s">
        <v>437</v>
      </c>
      <c r="B88" s="3728"/>
      <c r="C88" s="3728"/>
      <c r="D88" s="3728"/>
      <c r="E88" s="3728"/>
      <c r="F88" s="3728"/>
      <c r="G88" s="3728"/>
      <c r="H88" s="3728"/>
      <c r="I88" s="1308"/>
      <c r="J88" s="2028"/>
      <c r="K88" s="3745"/>
      <c r="L88" s="3081" t="s">
        <v>2886</v>
      </c>
      <c r="M88" s="3071">
        <f ca="1">IF(N69&gt;10000,N69*0.5%,IF(AND(N69&gt;5000,N69&lt;=10000),N69*1%,IF(AND(N69&gt;1000,N69&lt;=5000),N69*2%,IF(AND(N69&gt;200,N69&lt;=1000),N69*3%,N69*5%))))</f>
        <v>796.13</v>
      </c>
      <c r="N88" s="53">
        <f ca="1">ROUND(M88,1)</f>
        <v>796.1</v>
      </c>
      <c r="O88" s="3074"/>
      <c r="P88" s="11"/>
      <c r="Q88" s="2025"/>
      <c r="R88" s="2025"/>
      <c r="S88" s="2025"/>
      <c r="T88" s="2025"/>
      <c r="U88" s="2025"/>
      <c r="V88" s="2025"/>
      <c r="W88" s="2029"/>
      <c r="X88" s="2029"/>
      <c r="Y88" s="2029"/>
      <c r="Z88" s="2029"/>
    </row>
    <row r="89" spans="1:26" s="1307" customFormat="1" ht="14.25">
      <c r="A89" s="3725" t="s">
        <v>428</v>
      </c>
      <c r="B89" s="3726"/>
      <c r="C89" s="987"/>
      <c r="D89" s="987" t="s">
        <v>429</v>
      </c>
      <c r="E89" s="389" t="s">
        <v>438</v>
      </c>
      <c r="F89" s="390"/>
      <c r="G89" s="390"/>
      <c r="H89" s="391"/>
      <c r="I89" s="1309"/>
      <c r="J89" s="2030"/>
      <c r="K89" s="3745"/>
      <c r="L89" s="3081" t="s">
        <v>27</v>
      </c>
      <c r="M89" s="3072"/>
      <c r="N89" s="53">
        <f ca="1">ROUND(SUM(N83:N88),0)</f>
        <v>2569</v>
      </c>
      <c r="O89" s="3082">
        <f ca="1">N89/N69</f>
        <v>1.6134299674676247E-2</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91556</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3110</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688" t="s">
        <v>447</v>
      </c>
      <c r="F94" s="3687"/>
      <c r="G94" s="3687"/>
      <c r="H94" s="3724"/>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549</v>
      </c>
      <c r="D96" s="404">
        <f>'数据-取费表'!B43</f>
        <v>6.000000000000001E-3</v>
      </c>
      <c r="E96" s="3716" t="s">
        <v>2430</v>
      </c>
      <c r="F96" s="3717"/>
      <c r="G96" s="3717"/>
      <c r="H96" s="3718"/>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88446</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28.439228295819937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51979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27" t="s">
        <v>454</v>
      </c>
      <c r="B101" s="3728"/>
      <c r="C101" s="3728"/>
      <c r="D101" s="3728"/>
      <c r="E101" s="3728"/>
      <c r="F101" s="3728"/>
      <c r="G101" s="3728"/>
      <c r="H101" s="3728"/>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725" t="s">
        <v>428</v>
      </c>
      <c r="B102" s="3726"/>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91556</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1239</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19" t="s">
        <v>462</v>
      </c>
      <c r="F109" s="3717"/>
      <c r="G109" s="3717"/>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19" t="s">
        <v>464</v>
      </c>
      <c r="F110" s="3717"/>
      <c r="G110" s="3717"/>
      <c r="H110" s="3718"/>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549</v>
      </c>
      <c r="D111" s="404">
        <f>'数据-取费表'!B43</f>
        <v>6.000000000000001E-3</v>
      </c>
      <c r="E111" s="3716" t="s">
        <v>2430</v>
      </c>
      <c r="F111" s="3717"/>
      <c r="G111" s="3717"/>
      <c r="H111" s="3718"/>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19" t="s">
        <v>2455</v>
      </c>
      <c r="F112" s="3717"/>
      <c r="G112" s="3717"/>
      <c r="H112" s="3718"/>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90317</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72.895076674737695</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53757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137051</v>
      </c>
      <c r="D13" s="449"/>
      <c r="E13" s="363"/>
      <c r="F13" s="450"/>
      <c r="G13" s="442"/>
      <c r="H13" s="445"/>
      <c r="I13" s="445"/>
      <c r="J13" s="445"/>
      <c r="K13" s="446"/>
    </row>
    <row r="14" spans="1:41" s="2108" customFormat="1" ht="13.5" customHeight="1">
      <c r="A14" s="1625" t="s">
        <v>1848</v>
      </c>
      <c r="B14" s="447" t="s">
        <v>480</v>
      </c>
      <c r="C14" s="53">
        <f ca="1">ROUND(C13*F14,0)</f>
        <v>4112</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2056</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150412</v>
      </c>
      <c r="D18" s="459"/>
      <c r="E18" s="460"/>
      <c r="F18" s="460"/>
      <c r="G18" s="1320" t="s">
        <v>2434</v>
      </c>
      <c r="H18" s="445"/>
      <c r="I18" s="445"/>
      <c r="J18" s="445"/>
      <c r="K18" s="446"/>
    </row>
    <row r="19" spans="1:14" s="2111" customFormat="1" ht="13.5" customHeight="1">
      <c r="A19" s="1626" t="s">
        <v>1853</v>
      </c>
      <c r="B19" s="457" t="s">
        <v>493</v>
      </c>
      <c r="C19" s="458">
        <f ca="1">ROUND(C18*F19,0)</f>
        <v>3008</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11060</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11060</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27616</v>
      </c>
      <c r="D24" s="487">
        <f ca="1">C26</f>
        <v>3.5999999999999999E-3</v>
      </c>
      <c r="E24" s="467" t="s">
        <v>508</v>
      </c>
      <c r="F24" s="477">
        <f ca="1">IF(B1="",'数据-取费表'!Q16,INDIRECT("'数据-取费表'!q"&amp;$K$1))</f>
        <v>0.18</v>
      </c>
      <c r="G24" s="442"/>
      <c r="H24" s="445"/>
      <c r="I24" s="445"/>
      <c r="J24" s="445"/>
      <c r="K24" s="446"/>
    </row>
    <row r="25" spans="1:14" s="2112" customFormat="1" ht="13.5" customHeight="1">
      <c r="A25" s="1625" t="s">
        <v>1847</v>
      </c>
      <c r="B25" s="1321" t="s">
        <v>2438</v>
      </c>
      <c r="C25" s="488">
        <f ca="1">ROUND((C18+C19)*F24,0)</f>
        <v>27616</v>
      </c>
      <c r="D25" s="470"/>
      <c r="E25" s="471"/>
      <c r="F25" s="478"/>
      <c r="G25" s="1319" t="s">
        <v>2435</v>
      </c>
      <c r="H25" s="455"/>
      <c r="I25" s="455"/>
      <c r="J25" s="455"/>
      <c r="K25" s="456"/>
    </row>
    <row r="26" spans="1:14" s="2112" customFormat="1" ht="13.5" customHeight="1">
      <c r="A26" s="1625" t="s">
        <v>1848</v>
      </c>
      <c r="B26" s="1321" t="s">
        <v>510</v>
      </c>
      <c r="C26" s="489">
        <f ca="1">ROUND(F20*F24,4)</f>
        <v>3.5999999999999999E-3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208415</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5" zoomScaleNormal="95" zoomScaleSheetLayoutView="85" workbookViewId="0">
      <selection activeCell="B57" sqref="B57"/>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94966</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1980</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12719</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848</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70" t="s">
        <v>523</v>
      </c>
      <c r="D6" s="3771"/>
      <c r="E6" s="3770" t="s">
        <v>524</v>
      </c>
      <c r="F6" s="3771"/>
      <c r="G6" s="3770" t="s">
        <v>525</v>
      </c>
      <c r="H6" s="3771"/>
      <c r="I6" s="3770" t="s">
        <v>526</v>
      </c>
      <c r="J6" s="3771"/>
      <c r="K6" s="512" t="s">
        <v>527</v>
      </c>
      <c r="L6" s="2125"/>
      <c r="M6" s="2124"/>
      <c r="N6" s="2124"/>
      <c r="O6" s="2126"/>
      <c r="P6" s="3772" t="s">
        <v>528</v>
      </c>
      <c r="Q6" s="3773"/>
      <c r="R6" s="3778" t="s">
        <v>524</v>
      </c>
      <c r="S6" s="3779"/>
      <c r="T6" s="3778" t="s">
        <v>525</v>
      </c>
      <c r="U6" s="3779"/>
      <c r="V6" s="3765" t="s">
        <v>526</v>
      </c>
      <c r="W6" s="3765"/>
      <c r="X6" s="1559"/>
      <c r="Y6" s="3778" t="s">
        <v>528</v>
      </c>
      <c r="Z6" s="3779"/>
      <c r="AA6" s="3767" t="s">
        <v>524</v>
      </c>
      <c r="AB6" s="3768" t="s">
        <v>525</v>
      </c>
      <c r="AC6" s="3767" t="s">
        <v>526</v>
      </c>
    </row>
    <row r="7" spans="1:30" ht="20.25">
      <c r="A7" s="513"/>
      <c r="B7" s="514"/>
      <c r="C7" s="3786" t="s">
        <v>2929</v>
      </c>
      <c r="D7" s="3787"/>
      <c r="E7" s="3786" t="str">
        <f>Sheet1!A52</f>
        <v>新吴区兴昌路东侧、金城路南侧</v>
      </c>
      <c r="F7" s="3787"/>
      <c r="G7" s="3786" t="str">
        <f>Sheet1!I227</f>
        <v>经开区吴都路与清舒道交叉口西南侧</v>
      </c>
      <c r="H7" s="3787"/>
      <c r="I7" s="3786" t="str">
        <f>Sheet1!A61</f>
        <v>梁溪区锡沪路与江海东路交叉口东北侧</v>
      </c>
      <c r="J7" s="3787"/>
      <c r="K7" s="512"/>
      <c r="L7" s="2125"/>
      <c r="M7" s="2124"/>
      <c r="N7" s="2124"/>
      <c r="O7" s="2126"/>
      <c r="P7" s="3774"/>
      <c r="Q7" s="3775"/>
      <c r="R7" s="3780"/>
      <c r="S7" s="3781"/>
      <c r="T7" s="3780"/>
      <c r="U7" s="3781"/>
      <c r="V7" s="3765"/>
      <c r="W7" s="3765"/>
      <c r="X7" s="1559"/>
      <c r="Y7" s="3780"/>
      <c r="Z7" s="3781"/>
      <c r="AA7" s="3768"/>
      <c r="AB7" s="3768"/>
      <c r="AC7" s="3768"/>
    </row>
    <row r="8" spans="1:30" ht="21" thickBot="1">
      <c r="A8" s="513"/>
      <c r="B8" s="514"/>
      <c r="C8" s="3788" t="s">
        <v>2933</v>
      </c>
      <c r="D8" s="3789"/>
      <c r="E8" s="3788" t="s">
        <v>2933</v>
      </c>
      <c r="F8" s="3789"/>
      <c r="G8" s="3784" t="s">
        <v>2933</v>
      </c>
      <c r="H8" s="3785"/>
      <c r="I8" s="3784" t="s">
        <v>2933</v>
      </c>
      <c r="J8" s="3785"/>
      <c r="K8" s="512" t="s">
        <v>529</v>
      </c>
      <c r="L8" s="2125"/>
      <c r="M8" s="2124"/>
      <c r="N8" s="2124"/>
      <c r="O8" s="2126"/>
      <c r="P8" s="3776"/>
      <c r="Q8" s="3777"/>
      <c r="R8" s="3780"/>
      <c r="S8" s="3781"/>
      <c r="T8" s="3782"/>
      <c r="U8" s="3783"/>
      <c r="V8" s="3765"/>
      <c r="W8" s="3765"/>
      <c r="X8" s="1559"/>
      <c r="Y8" s="3782"/>
      <c r="Z8" s="3783"/>
      <c r="AA8" s="3769"/>
      <c r="AB8" s="3769"/>
      <c r="AC8" s="3769"/>
    </row>
    <row r="9" spans="1:30" s="1213" customFormat="1" ht="21" thickBot="1">
      <c r="A9" s="2928"/>
      <c r="B9" s="2935" t="s">
        <v>530</v>
      </c>
      <c r="C9" s="2927">
        <f>'数据-取费表'!B2</f>
        <v>43923</v>
      </c>
      <c r="D9" s="518">
        <v>100</v>
      </c>
      <c r="E9" s="519">
        <f>Sheet1!H52</f>
        <v>43712</v>
      </c>
      <c r="F9" s="520">
        <f>SUMIF(72:72,YEAR(E9)&amp;"-"&amp;INT((MONTH(E9)+2)/3),73:73)</f>
        <v>98.5</v>
      </c>
      <c r="G9" s="521">
        <v>43921</v>
      </c>
      <c r="H9" s="518">
        <f>SUMIF(72:72,YEAR(G9)&amp;"-"&amp;INT((MONTH(G9)+2)/3),73:73)</f>
        <v>99.5</v>
      </c>
      <c r="I9" s="521">
        <f>Sheet1!H61</f>
        <v>43663</v>
      </c>
      <c r="J9" s="518">
        <f>SUMIF(72:72,YEAR(I9)&amp;"-"&amp;INT((MONTH(I9)+2)/3),73:73)</f>
        <v>98.5</v>
      </c>
      <c r="K9" s="522"/>
      <c r="L9" s="2127"/>
      <c r="M9" s="2124"/>
      <c r="N9" s="2124"/>
      <c r="O9" s="2128"/>
      <c r="P9" s="3795" t="s">
        <v>531</v>
      </c>
      <c r="Q9" s="3797"/>
      <c r="R9" s="1560" t="s">
        <v>8</v>
      </c>
      <c r="S9" s="1561">
        <f t="shared" ref="S9:S17" si="0">F9</f>
        <v>98.5</v>
      </c>
      <c r="T9" s="1560" t="s">
        <v>8</v>
      </c>
      <c r="U9" s="1561">
        <f t="shared" ref="U9:U17" si="1">H9</f>
        <v>99.5</v>
      </c>
      <c r="V9" s="1560" t="s">
        <v>8</v>
      </c>
      <c r="W9" s="1561">
        <f t="shared" ref="W9:W17" si="2">J9</f>
        <v>98.5</v>
      </c>
      <c r="X9" s="1562"/>
      <c r="Y9" s="3795" t="s">
        <v>531</v>
      </c>
      <c r="Z9" s="3796"/>
      <c r="AA9" s="1563">
        <f>D9/F9</f>
        <v>1.015228426395939</v>
      </c>
      <c r="AB9" s="1563">
        <f>D9/H9</f>
        <v>1.0050251256281406</v>
      </c>
      <c r="AC9" s="1563">
        <f>D9/J9</f>
        <v>1.015228426395939</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95" t="s">
        <v>534</v>
      </c>
      <c r="Q10" s="3796"/>
      <c r="R10" s="1560" t="s">
        <v>8</v>
      </c>
      <c r="S10" s="1561">
        <f t="shared" si="0"/>
        <v>100</v>
      </c>
      <c r="T10" s="1560" t="s">
        <v>8</v>
      </c>
      <c r="U10" s="1561">
        <f t="shared" si="1"/>
        <v>100</v>
      </c>
      <c r="V10" s="1560" t="s">
        <v>8</v>
      </c>
      <c r="W10" s="1561">
        <f t="shared" si="2"/>
        <v>100</v>
      </c>
      <c r="X10" s="1562"/>
      <c r="Y10" s="3795" t="s">
        <v>534</v>
      </c>
      <c r="Z10" s="3796"/>
      <c r="AA10" s="1563">
        <f t="shared" ref="AA10:AA47" si="3">D10/F10</f>
        <v>1</v>
      </c>
      <c r="AB10" s="1563">
        <f t="shared" ref="AB10:AB47" si="4">D10/H10</f>
        <v>1</v>
      </c>
      <c r="AC10" s="1563">
        <f t="shared" ref="AC10:AC47" si="5">D10/J10</f>
        <v>1</v>
      </c>
    </row>
    <row r="11" spans="1:30" s="1213" customFormat="1" ht="20.25">
      <c r="A11" s="2930"/>
      <c r="B11" s="2937" t="s">
        <v>2760</v>
      </c>
      <c r="C11" s="3490" t="s">
        <v>3299</v>
      </c>
      <c r="D11" s="252">
        <v>100</v>
      </c>
      <c r="E11" s="3491" t="s">
        <v>3300</v>
      </c>
      <c r="F11" s="252">
        <f>SUMIF(77:77,E11,78:78)-SUMIF(77:77,C11,78:78)+100</f>
        <v>100</v>
      </c>
      <c r="G11" s="3491" t="s">
        <v>3299</v>
      </c>
      <c r="H11" s="252">
        <f>SUMIF(77:77,G11,78:78)-SUMIF(77:77,C11,78:78)+100</f>
        <v>100</v>
      </c>
      <c r="I11" s="3491" t="s">
        <v>3299</v>
      </c>
      <c r="J11" s="252">
        <f>SUMIF(77:77,I11,78:78)-SUMIF(77:77,C11,78:78)+100</f>
        <v>100</v>
      </c>
      <c r="K11" s="522"/>
      <c r="L11" s="2127"/>
      <c r="M11" s="2124"/>
      <c r="N11" s="2124"/>
      <c r="O11" s="2129"/>
      <c r="P11" s="3764" t="s">
        <v>536</v>
      </c>
      <c r="Q11" s="1144" t="str">
        <f t="shared" ref="Q11:Q17" si="6">B11</f>
        <v>用途</v>
      </c>
      <c r="R11" s="1560" t="s">
        <v>8</v>
      </c>
      <c r="S11" s="1561">
        <f t="shared" si="0"/>
        <v>100</v>
      </c>
      <c r="T11" s="1560" t="s">
        <v>8</v>
      </c>
      <c r="U11" s="1561">
        <f t="shared" si="1"/>
        <v>100</v>
      </c>
      <c r="V11" s="1560" t="s">
        <v>8</v>
      </c>
      <c r="W11" s="1561">
        <f t="shared" si="2"/>
        <v>100</v>
      </c>
      <c r="X11" s="1562"/>
      <c r="Y11" s="3710" t="s">
        <v>537</v>
      </c>
      <c r="Z11" s="1143" t="str">
        <f t="shared" ref="Z11:Z17" si="7">Q11</f>
        <v>用途</v>
      </c>
      <c r="AA11" s="1563">
        <f t="shared" si="3"/>
        <v>1</v>
      </c>
      <c r="AB11" s="1563">
        <f t="shared" si="4"/>
        <v>1</v>
      </c>
      <c r="AC11" s="1563">
        <f t="shared" si="5"/>
        <v>1</v>
      </c>
    </row>
    <row r="12" spans="1:30" s="1331" customFormat="1" ht="27">
      <c r="A12" s="2931"/>
      <c r="B12" s="2936" t="s">
        <v>2761</v>
      </c>
      <c r="C12" s="903"/>
      <c r="D12" s="253">
        <v>100</v>
      </c>
      <c r="E12" s="527"/>
      <c r="F12" s="253">
        <f>ROUND(100/'数据-取费表'!G16,0)</f>
        <v>106</v>
      </c>
      <c r="G12" s="528"/>
      <c r="H12" s="253">
        <f>ROUND(100/'数据-取费表'!G16,0)</f>
        <v>106</v>
      </c>
      <c r="I12" s="528"/>
      <c r="J12" s="253">
        <f>ROUND(100/'数据-取费表'!G16,0)</f>
        <v>106</v>
      </c>
      <c r="K12" s="529"/>
      <c r="L12" s="2130"/>
      <c r="M12" s="2124"/>
      <c r="N12" s="2124"/>
      <c r="O12" s="2131"/>
      <c r="P12" s="3764"/>
      <c r="Q12" s="1144" t="str">
        <f t="shared" si="6"/>
        <v>土地使用年限（年）</v>
      </c>
      <c r="R12" s="1560" t="s">
        <v>8</v>
      </c>
      <c r="S12" s="1561">
        <f t="shared" si="0"/>
        <v>106</v>
      </c>
      <c r="T12" s="1560" t="s">
        <v>8</v>
      </c>
      <c r="U12" s="1561">
        <f t="shared" si="1"/>
        <v>106</v>
      </c>
      <c r="V12" s="1560" t="s">
        <v>8</v>
      </c>
      <c r="W12" s="1561">
        <f t="shared" si="2"/>
        <v>106</v>
      </c>
      <c r="X12" s="1562"/>
      <c r="Y12" s="3710"/>
      <c r="Z12" s="1143" t="str">
        <f t="shared" si="7"/>
        <v>土地使用年限（年）</v>
      </c>
      <c r="AA12" s="1563">
        <f t="shared" si="3"/>
        <v>0.94339622641509435</v>
      </c>
      <c r="AB12" s="1563">
        <f t="shared" si="4"/>
        <v>0.94339622641509435</v>
      </c>
      <c r="AC12" s="1563">
        <f t="shared" si="5"/>
        <v>0.94339622641509435</v>
      </c>
    </row>
    <row r="13" spans="1:30" ht="20.25">
      <c r="A13" s="2932"/>
      <c r="B13" s="2936" t="s">
        <v>2762</v>
      </c>
      <c r="C13" s="3562">
        <f>'数据-汇总表'!I7</f>
        <v>4.66</v>
      </c>
      <c r="D13" s="253">
        <v>100</v>
      </c>
      <c r="E13" s="531">
        <v>1</v>
      </c>
      <c r="F13" s="253">
        <f>LOOKUP(E13,82:82,83:83)-LOOKUP(C13,82:82,83:83)+100</f>
        <v>115</v>
      </c>
      <c r="G13" s="532">
        <v>1.2</v>
      </c>
      <c r="H13" s="253">
        <f>LOOKUP(G13,82:82,83:83)-LOOKUP(C13,82:82,83:83)+100</f>
        <v>115</v>
      </c>
      <c r="I13" s="531">
        <v>5.5</v>
      </c>
      <c r="J13" s="253">
        <f>LOOKUP(I13,82:82,83:83)-LOOKUP(C13,82:82,83:83)+100</f>
        <v>95</v>
      </c>
      <c r="K13" s="533">
        <v>5</v>
      </c>
      <c r="L13" s="2132"/>
      <c r="M13" s="2124"/>
      <c r="N13" s="2124"/>
      <c r="O13" s="2133"/>
      <c r="P13" s="3764"/>
      <c r="Q13" s="1144" t="str">
        <f t="shared" si="6"/>
        <v>容积率</v>
      </c>
      <c r="R13" s="1560" t="s">
        <v>8</v>
      </c>
      <c r="S13" s="1561">
        <f t="shared" si="0"/>
        <v>115</v>
      </c>
      <c r="T13" s="1560" t="s">
        <v>8</v>
      </c>
      <c r="U13" s="1561">
        <f t="shared" si="1"/>
        <v>115</v>
      </c>
      <c r="V13" s="1560" t="s">
        <v>8</v>
      </c>
      <c r="W13" s="1561">
        <f t="shared" si="2"/>
        <v>95</v>
      </c>
      <c r="X13" s="1562"/>
      <c r="Y13" s="3710"/>
      <c r="Z13" s="1143" t="str">
        <f t="shared" si="7"/>
        <v>容积率</v>
      </c>
      <c r="AA13" s="1563">
        <f t="shared" si="3"/>
        <v>0.86956521739130432</v>
      </c>
      <c r="AB13" s="1563">
        <f t="shared" si="4"/>
        <v>0.86956521739130432</v>
      </c>
      <c r="AC13" s="1563">
        <f t="shared" si="5"/>
        <v>1.0526315789473684</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64"/>
      <c r="Q14" s="1144" t="str">
        <f t="shared" si="6"/>
        <v>配建</v>
      </c>
      <c r="R14" s="1560" t="s">
        <v>8</v>
      </c>
      <c r="S14" s="1561">
        <f t="shared" si="0"/>
        <v>100</v>
      </c>
      <c r="T14" s="1560" t="s">
        <v>8</v>
      </c>
      <c r="U14" s="1561">
        <f t="shared" si="1"/>
        <v>100</v>
      </c>
      <c r="V14" s="1560" t="s">
        <v>8</v>
      </c>
      <c r="W14" s="1561">
        <f t="shared" si="2"/>
        <v>100</v>
      </c>
      <c r="X14" s="1562"/>
      <c r="Y14" s="3710"/>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64"/>
      <c r="Q15" s="1144">
        <f t="shared" si="6"/>
        <v>111</v>
      </c>
      <c r="R15" s="1560" t="s">
        <v>8</v>
      </c>
      <c r="S15" s="1561">
        <f t="shared" si="0"/>
        <v>100</v>
      </c>
      <c r="T15" s="1560" t="s">
        <v>8</v>
      </c>
      <c r="U15" s="1561">
        <f t="shared" si="1"/>
        <v>100</v>
      </c>
      <c r="V15" s="1560" t="s">
        <v>8</v>
      </c>
      <c r="W15" s="1561">
        <f t="shared" si="2"/>
        <v>100</v>
      </c>
      <c r="X15" s="1562"/>
      <c r="Y15" s="3710"/>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64"/>
      <c r="Q16" s="1144">
        <f t="shared" si="6"/>
        <v>111</v>
      </c>
      <c r="R16" s="1560" t="s">
        <v>8</v>
      </c>
      <c r="S16" s="1561">
        <f t="shared" si="0"/>
        <v>100</v>
      </c>
      <c r="T16" s="1560" t="s">
        <v>8</v>
      </c>
      <c r="U16" s="1561">
        <f t="shared" si="1"/>
        <v>100</v>
      </c>
      <c r="V16" s="1560" t="s">
        <v>8</v>
      </c>
      <c r="W16" s="1561">
        <f t="shared" si="2"/>
        <v>100</v>
      </c>
      <c r="X16" s="1562"/>
      <c r="Y16" s="3710"/>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3408</v>
      </c>
      <c r="F17" s="547">
        <f>SUMIF(90:90,E18,91:91)-SUMIF(90:90,C18,91:91)+100</f>
        <v>100</v>
      </c>
      <c r="G17" s="3522" t="s">
        <v>3409</v>
      </c>
      <c r="H17" s="547">
        <f>SUMIF(90:90,G18,91:91)-SUMIF(90:90,C18,91:91)+100</f>
        <v>100</v>
      </c>
      <c r="I17" s="3523" t="s">
        <v>3410</v>
      </c>
      <c r="J17" s="547">
        <f>SUMIF(90:90,I18,91:91)-SUMIF(90:90,C18,91:91)+100</f>
        <v>100</v>
      </c>
      <c r="K17" s="533">
        <v>2</v>
      </c>
      <c r="L17" s="2134"/>
      <c r="M17" s="2124"/>
      <c r="N17" s="2124"/>
      <c r="O17" s="2133"/>
      <c r="P17" s="3798" t="s">
        <v>541</v>
      </c>
      <c r="Q17" s="1564" t="str">
        <f t="shared" si="6"/>
        <v>居住社区成熟度</v>
      </c>
      <c r="R17" s="1565" t="s">
        <v>8</v>
      </c>
      <c r="S17" s="1566">
        <f t="shared" si="0"/>
        <v>100</v>
      </c>
      <c r="T17" s="1565" t="s">
        <v>8</v>
      </c>
      <c r="U17" s="1566">
        <f t="shared" si="1"/>
        <v>100</v>
      </c>
      <c r="V17" s="1565" t="s">
        <v>8</v>
      </c>
      <c r="W17" s="1566">
        <f t="shared" si="2"/>
        <v>100</v>
      </c>
      <c r="X17" s="1559"/>
      <c r="Y17" s="3798" t="s">
        <v>541</v>
      </c>
      <c r="Z17" s="1567" t="str">
        <f t="shared" si="7"/>
        <v>居住社区成熟度</v>
      </c>
      <c r="AA17" s="1568">
        <f t="shared" si="3"/>
        <v>1</v>
      </c>
      <c r="AB17" s="1568">
        <f t="shared" si="4"/>
        <v>1</v>
      </c>
      <c r="AC17" s="1568">
        <f t="shared" si="5"/>
        <v>1</v>
      </c>
    </row>
    <row r="18" spans="1:29" ht="20.25" hidden="1">
      <c r="A18" s="530"/>
      <c r="B18" s="551"/>
      <c r="C18" s="3492" t="s">
        <v>3301</v>
      </c>
      <c r="D18" s="555"/>
      <c r="E18" s="3493" t="s">
        <v>3301</v>
      </c>
      <c r="F18" s="553"/>
      <c r="G18" s="3494" t="s">
        <v>3302</v>
      </c>
      <c r="H18" s="557"/>
      <c r="I18" s="3493" t="s">
        <v>3288</v>
      </c>
      <c r="J18" s="553"/>
      <c r="K18" s="529"/>
      <c r="L18" s="2134"/>
      <c r="M18" s="2124"/>
      <c r="N18" s="2124"/>
      <c r="O18" s="2133"/>
      <c r="P18" s="3799"/>
      <c r="Q18" s="1564"/>
      <c r="R18" s="1565"/>
      <c r="S18" s="1566"/>
      <c r="T18" s="1565"/>
      <c r="U18" s="1566"/>
      <c r="V18" s="1565"/>
      <c r="W18" s="1566"/>
      <c r="X18" s="1559"/>
      <c r="Y18" s="3799"/>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3413</v>
      </c>
      <c r="F19" s="557">
        <f>SUMIF(92:92,E20,93:93)-SUMIF(92:92,C20,93:93)+100</f>
        <v>100</v>
      </c>
      <c r="G19" s="3526" t="s">
        <v>3406</v>
      </c>
      <c r="H19" s="563">
        <f>SUMIF(92:92,G20,93:93)-SUMIF(92:92,C20,93:93)+100</f>
        <v>100</v>
      </c>
      <c r="I19" s="3527" t="s">
        <v>3413</v>
      </c>
      <c r="J19" s="563">
        <f>SUMIF(92:92,I20,93:93)-SUMIF(92:92,C20,93:93)+100</f>
        <v>100</v>
      </c>
      <c r="K19" s="533">
        <v>2</v>
      </c>
      <c r="L19" s="2134"/>
      <c r="M19" s="2124"/>
      <c r="N19" s="2124"/>
      <c r="O19" s="2133"/>
      <c r="P19" s="3799"/>
      <c r="Q19" s="1564" t="str">
        <f>B19</f>
        <v>商业繁华度</v>
      </c>
      <c r="R19" s="1565" t="s">
        <v>8</v>
      </c>
      <c r="S19" s="1566">
        <f>F19</f>
        <v>100</v>
      </c>
      <c r="T19" s="1565" t="s">
        <v>8</v>
      </c>
      <c r="U19" s="1566">
        <f>H19</f>
        <v>100</v>
      </c>
      <c r="V19" s="1565" t="s">
        <v>8</v>
      </c>
      <c r="W19" s="1566">
        <f>J19</f>
        <v>100</v>
      </c>
      <c r="X19" s="1559"/>
      <c r="Y19" s="3799"/>
      <c r="Z19" s="1567" t="str">
        <f>Q19</f>
        <v>商业繁华度</v>
      </c>
      <c r="AA19" s="1568">
        <f t="shared" si="3"/>
        <v>1</v>
      </c>
      <c r="AB19" s="1568">
        <f t="shared" si="4"/>
        <v>1</v>
      </c>
      <c r="AC19" s="1568">
        <f t="shared" si="5"/>
        <v>1</v>
      </c>
    </row>
    <row r="20" spans="1:29" ht="20.25">
      <c r="A20" s="530"/>
      <c r="B20" s="564"/>
      <c r="C20" s="3500" t="s">
        <v>3301</v>
      </c>
      <c r="D20" s="561"/>
      <c r="E20" s="566" t="s">
        <v>3288</v>
      </c>
      <c r="F20" s="557"/>
      <c r="G20" s="565" t="s">
        <v>3288</v>
      </c>
      <c r="H20" s="553"/>
      <c r="I20" s="566" t="s">
        <v>3288</v>
      </c>
      <c r="J20" s="553"/>
      <c r="K20" s="529"/>
      <c r="L20" s="2134"/>
      <c r="M20" s="2124"/>
      <c r="N20" s="2124"/>
      <c r="O20" s="2133"/>
      <c r="P20" s="3799"/>
      <c r="Q20" s="1564"/>
      <c r="R20" s="1565"/>
      <c r="S20" s="1566"/>
      <c r="T20" s="1565"/>
      <c r="U20" s="1566"/>
      <c r="V20" s="1565"/>
      <c r="W20" s="1566"/>
      <c r="X20" s="1559"/>
      <c r="Y20" s="3799"/>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3414</v>
      </c>
      <c r="F21" s="563">
        <f>SUMIF(94:94,E22,95:95)-SUMIF(94:94,C22,95:95)+100</f>
        <v>100</v>
      </c>
      <c r="G21" s="3524" t="s">
        <v>3407</v>
      </c>
      <c r="H21" s="557">
        <f>SUMIF(94:94,G22,95:95)-SUMIF(94:94,C22,95:95)+100</f>
        <v>100</v>
      </c>
      <c r="I21" s="3525" t="s">
        <v>3450</v>
      </c>
      <c r="J21" s="557">
        <f>SUMIF(94:94,I22,95:95)-SUMIF(94:94,C22,95:95)+100</f>
        <v>100</v>
      </c>
      <c r="K21" s="533">
        <v>2</v>
      </c>
      <c r="L21" s="2134"/>
      <c r="M21" s="2124"/>
      <c r="N21" s="2124"/>
      <c r="O21" s="2133"/>
      <c r="P21" s="3799"/>
      <c r="Q21" s="1564" t="str">
        <f>B21</f>
        <v>办公集聚程度</v>
      </c>
      <c r="R21" s="1565" t="s">
        <v>8</v>
      </c>
      <c r="S21" s="1566">
        <f>F21</f>
        <v>100</v>
      </c>
      <c r="T21" s="1565" t="s">
        <v>8</v>
      </c>
      <c r="U21" s="1566">
        <f>H21</f>
        <v>100</v>
      </c>
      <c r="V21" s="1565" t="s">
        <v>8</v>
      </c>
      <c r="W21" s="1566">
        <f>J21</f>
        <v>100</v>
      </c>
      <c r="X21" s="1559"/>
      <c r="Y21" s="3799"/>
      <c r="Z21" s="1567" t="str">
        <f>Q21</f>
        <v>办公集聚程度</v>
      </c>
      <c r="AA21" s="1568">
        <f t="shared" si="3"/>
        <v>1</v>
      </c>
      <c r="AB21" s="1568">
        <f t="shared" si="4"/>
        <v>1</v>
      </c>
      <c r="AC21" s="1568">
        <f t="shared" si="5"/>
        <v>1</v>
      </c>
    </row>
    <row r="22" spans="1:29" ht="20.25">
      <c r="A22" s="530"/>
      <c r="B22" s="564"/>
      <c r="C22" s="3492" t="s">
        <v>3301</v>
      </c>
      <c r="D22" s="555"/>
      <c r="E22" s="3493" t="s">
        <v>3301</v>
      </c>
      <c r="F22" s="553"/>
      <c r="G22" s="3494" t="s">
        <v>3301</v>
      </c>
      <c r="H22" s="553"/>
      <c r="I22" s="3493" t="s">
        <v>3301</v>
      </c>
      <c r="J22" s="553"/>
      <c r="K22" s="529"/>
      <c r="L22" s="2134"/>
      <c r="M22" s="2124"/>
      <c r="N22" s="2124"/>
      <c r="O22" s="2133"/>
      <c r="P22" s="3799"/>
      <c r="Q22" s="1564"/>
      <c r="R22" s="1565"/>
      <c r="S22" s="1566"/>
      <c r="T22" s="1565"/>
      <c r="U22" s="1566"/>
      <c r="V22" s="1565"/>
      <c r="W22" s="1566"/>
      <c r="X22" s="1559"/>
      <c r="Y22" s="3799"/>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3415</v>
      </c>
      <c r="F23" s="563">
        <f>SUMIF(96:96,E24,97:97)-SUMIF(96:96,C24,97:97)+100</f>
        <v>100</v>
      </c>
      <c r="G23" s="560" t="s">
        <v>3416</v>
      </c>
      <c r="H23" s="557">
        <f>SUMIF(96:96,G24,97:97)-SUMIF(96:96,C24,97:97)+100</f>
        <v>100</v>
      </c>
      <c r="I23" s="562" t="s">
        <v>3417</v>
      </c>
      <c r="J23" s="557">
        <f>SUMIF(96:96,I24,97:97)-SUMIF(96:96,C24,97:97)+100</f>
        <v>100</v>
      </c>
      <c r="K23" s="533">
        <v>2</v>
      </c>
      <c r="L23" s="2134"/>
      <c r="M23" s="2124"/>
      <c r="N23" s="2124"/>
      <c r="O23" s="2133"/>
      <c r="P23" s="3799"/>
      <c r="Q23" s="1564" t="str">
        <f>B23</f>
        <v>交通便捷度</v>
      </c>
      <c r="R23" s="1565" t="s">
        <v>8</v>
      </c>
      <c r="S23" s="1566">
        <f>F23</f>
        <v>100</v>
      </c>
      <c r="T23" s="1565" t="s">
        <v>8</v>
      </c>
      <c r="U23" s="1566">
        <f>H23</f>
        <v>100</v>
      </c>
      <c r="V23" s="1565" t="s">
        <v>8</v>
      </c>
      <c r="W23" s="1566">
        <f>J23</f>
        <v>100</v>
      </c>
      <c r="X23" s="1559"/>
      <c r="Y23" s="3799"/>
      <c r="Z23" s="1567" t="str">
        <f>Q23</f>
        <v>交通便捷度</v>
      </c>
      <c r="AA23" s="1568">
        <f t="shared" si="3"/>
        <v>1</v>
      </c>
      <c r="AB23" s="1568">
        <f t="shared" si="4"/>
        <v>1</v>
      </c>
      <c r="AC23" s="1568">
        <f t="shared" si="5"/>
        <v>1</v>
      </c>
    </row>
    <row r="24" spans="1:29" ht="20.25">
      <c r="A24" s="530"/>
      <c r="B24" s="575"/>
      <c r="C24" s="3492" t="s">
        <v>3301</v>
      </c>
      <c r="D24" s="555"/>
      <c r="E24" s="3493" t="s">
        <v>3301</v>
      </c>
      <c r="F24" s="553"/>
      <c r="G24" s="3494" t="s">
        <v>3301</v>
      </c>
      <c r="H24" s="553"/>
      <c r="I24" s="3493" t="s">
        <v>3301</v>
      </c>
      <c r="J24" s="553"/>
      <c r="K24" s="529"/>
      <c r="L24" s="2134"/>
      <c r="M24" s="2124"/>
      <c r="N24" s="2124"/>
      <c r="O24" s="2133"/>
      <c r="P24" s="3799"/>
      <c r="Q24" s="1564"/>
      <c r="R24" s="1565"/>
      <c r="S24" s="1566"/>
      <c r="T24" s="1565"/>
      <c r="U24" s="1566"/>
      <c r="V24" s="1565"/>
      <c r="W24" s="1566"/>
      <c r="X24" s="1559"/>
      <c r="Y24" s="3799"/>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99"/>
      <c r="Q25" s="1564" t="str">
        <f t="shared" ref="Q25:Q39" si="8">B25</f>
        <v>区域土地利用方向</v>
      </c>
      <c r="R25" s="1565" t="s">
        <v>8</v>
      </c>
      <c r="S25" s="1566">
        <f>F25</f>
        <v>100</v>
      </c>
      <c r="T25" s="1565" t="s">
        <v>8</v>
      </c>
      <c r="U25" s="1566">
        <f>H25</f>
        <v>100</v>
      </c>
      <c r="V25" s="1565" t="s">
        <v>8</v>
      </c>
      <c r="W25" s="1566">
        <f>J25</f>
        <v>100</v>
      </c>
      <c r="X25" s="1559"/>
      <c r="Y25" s="3799"/>
      <c r="Z25" s="1567" t="str">
        <f>Q25</f>
        <v>区域土地利用方向</v>
      </c>
      <c r="AA25" s="1568">
        <f t="shared" si="3"/>
        <v>1</v>
      </c>
      <c r="AB25" s="1568">
        <f t="shared" si="4"/>
        <v>1</v>
      </c>
      <c r="AC25" s="1568">
        <f t="shared" si="5"/>
        <v>1</v>
      </c>
    </row>
    <row r="26" spans="1:29" ht="20.25">
      <c r="A26" s="513"/>
      <c r="B26" s="1000"/>
      <c r="C26" s="3492" t="s">
        <v>3301</v>
      </c>
      <c r="D26" s="555"/>
      <c r="E26" s="3493" t="s">
        <v>3301</v>
      </c>
      <c r="F26" s="553"/>
      <c r="G26" s="3494" t="s">
        <v>3301</v>
      </c>
      <c r="H26" s="553"/>
      <c r="I26" s="3493" t="s">
        <v>3301</v>
      </c>
      <c r="J26" s="553"/>
      <c r="K26" s="529"/>
      <c r="L26" s="2134"/>
      <c r="M26" s="2124"/>
      <c r="N26" s="2124"/>
      <c r="O26" s="2133"/>
      <c r="P26" s="3799"/>
      <c r="Q26" s="1564"/>
      <c r="R26" s="1565"/>
      <c r="S26" s="1566"/>
      <c r="T26" s="1565"/>
      <c r="U26" s="1566"/>
      <c r="V26" s="1565"/>
      <c r="W26" s="1566"/>
      <c r="X26" s="1559"/>
      <c r="Y26" s="3799"/>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3418</v>
      </c>
      <c r="F27" s="557">
        <f>SUMIF(100:100,E28,101:101)-SUMIF(100:100,C28,101:101)+100</f>
        <v>100</v>
      </c>
      <c r="G27" s="3526" t="s">
        <v>3419</v>
      </c>
      <c r="H27" s="557">
        <f>SUMIF(100:100,G28,101:101)-SUMIF(100:100,C28,101:101)+100</f>
        <v>100</v>
      </c>
      <c r="I27" s="3527" t="s">
        <v>3420</v>
      </c>
      <c r="J27" s="557">
        <f>SUMIF(100:100,I28,101:101)-SUMIF(100:100,C28,101:101)+100</f>
        <v>100</v>
      </c>
      <c r="K27" s="533">
        <v>2</v>
      </c>
      <c r="L27" s="2134"/>
      <c r="M27" s="2124"/>
      <c r="N27" s="2124"/>
      <c r="O27" s="2133"/>
      <c r="P27" s="3799"/>
      <c r="Q27" s="1564" t="str">
        <f t="shared" si="8"/>
        <v>自然及人文环境状况</v>
      </c>
      <c r="R27" s="1565" t="s">
        <v>8</v>
      </c>
      <c r="S27" s="1566">
        <f>F27</f>
        <v>100</v>
      </c>
      <c r="T27" s="1565" t="s">
        <v>8</v>
      </c>
      <c r="U27" s="1566">
        <f>H27</f>
        <v>100</v>
      </c>
      <c r="V27" s="1565" t="s">
        <v>8</v>
      </c>
      <c r="W27" s="1566">
        <f>J27</f>
        <v>100</v>
      </c>
      <c r="X27" s="1559"/>
      <c r="Y27" s="3799"/>
      <c r="Z27" s="1567" t="str">
        <f>Q27</f>
        <v>自然及人文环境状况</v>
      </c>
      <c r="AA27" s="1568">
        <f t="shared" si="3"/>
        <v>1</v>
      </c>
      <c r="AB27" s="1568">
        <f t="shared" si="4"/>
        <v>1</v>
      </c>
      <c r="AC27" s="1568">
        <f t="shared" si="5"/>
        <v>1</v>
      </c>
    </row>
    <row r="28" spans="1:29" ht="20.25">
      <c r="A28" s="513"/>
      <c r="B28" s="564"/>
      <c r="C28" s="3492" t="s">
        <v>3287</v>
      </c>
      <c r="D28" s="555"/>
      <c r="E28" s="3499" t="s">
        <v>3306</v>
      </c>
      <c r="F28" s="553"/>
      <c r="G28" s="3492" t="s">
        <v>3287</v>
      </c>
      <c r="H28" s="553"/>
      <c r="I28" s="3499" t="s">
        <v>3287</v>
      </c>
      <c r="J28" s="553"/>
      <c r="K28" s="529"/>
      <c r="L28" s="2134"/>
      <c r="M28" s="2124"/>
      <c r="N28" s="2124"/>
      <c r="O28" s="2133"/>
      <c r="P28" s="3799"/>
      <c r="Q28" s="1564"/>
      <c r="R28" s="1565"/>
      <c r="S28" s="1566"/>
      <c r="T28" s="1565"/>
      <c r="U28" s="1566"/>
      <c r="V28" s="1565"/>
      <c r="W28" s="1566"/>
      <c r="X28" s="1559"/>
      <c r="Y28" s="3799"/>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3421</v>
      </c>
      <c r="F29" s="557">
        <f>SUMIF(102:102,E30,103:103)-SUMIF(102:102,C30,103:103)+100</f>
        <v>100</v>
      </c>
      <c r="G29" s="3526" t="s">
        <v>3422</v>
      </c>
      <c r="H29" s="557">
        <f>SUMIF(102:102,G30,103:103)-SUMIF(102:102,C30,103:103)+100</f>
        <v>100</v>
      </c>
      <c r="I29" s="3527" t="s">
        <v>3423</v>
      </c>
      <c r="J29" s="557">
        <f>SUMIF(102:102,I30,103:103)-SUMIF(102:102,C30,103:103)+100</f>
        <v>100</v>
      </c>
      <c r="K29" s="533">
        <v>2</v>
      </c>
      <c r="L29" s="2127"/>
      <c r="M29" s="2124"/>
      <c r="N29" s="2124"/>
      <c r="O29" s="2129"/>
      <c r="P29" s="3799"/>
      <c r="Q29" s="1144" t="str">
        <f t="shared" si="8"/>
        <v>公共配套设施</v>
      </c>
      <c r="R29" s="1560" t="s">
        <v>8</v>
      </c>
      <c r="S29" s="1561">
        <f>F29</f>
        <v>100</v>
      </c>
      <c r="T29" s="1560" t="s">
        <v>8</v>
      </c>
      <c r="U29" s="1561">
        <f>H29</f>
        <v>100</v>
      </c>
      <c r="V29" s="1560" t="s">
        <v>8</v>
      </c>
      <c r="W29" s="1561">
        <f>J29</f>
        <v>100</v>
      </c>
      <c r="X29" s="1562"/>
      <c r="Y29" s="3799"/>
      <c r="Z29" s="1143" t="str">
        <f>Q29</f>
        <v>公共配套设施</v>
      </c>
      <c r="AA29" s="1568">
        <f>D29/F29</f>
        <v>1</v>
      </c>
      <c r="AB29" s="1568">
        <f>D29/H29</f>
        <v>1</v>
      </c>
      <c r="AC29" s="1568">
        <f>D29/J29</f>
        <v>1</v>
      </c>
    </row>
    <row r="30" spans="1:29" s="1213" customFormat="1" ht="20.25">
      <c r="A30" s="574"/>
      <c r="B30" s="564"/>
      <c r="C30" s="3497" t="s">
        <v>3301</v>
      </c>
      <c r="D30" s="555"/>
      <c r="E30" s="3499" t="s">
        <v>3301</v>
      </c>
      <c r="F30" s="553"/>
      <c r="G30" s="3492" t="s">
        <v>3302</v>
      </c>
      <c r="H30" s="553"/>
      <c r="I30" s="3499" t="s">
        <v>3301</v>
      </c>
      <c r="J30" s="553"/>
      <c r="K30" s="529"/>
      <c r="L30" s="2127"/>
      <c r="M30" s="2124"/>
      <c r="N30" s="2124"/>
      <c r="O30" s="2129"/>
      <c r="P30" s="3799"/>
      <c r="Q30" s="1144"/>
      <c r="R30" s="1560"/>
      <c r="S30" s="1561"/>
      <c r="T30" s="1560"/>
      <c r="U30" s="1561"/>
      <c r="V30" s="1560"/>
      <c r="W30" s="1561"/>
      <c r="X30" s="1562"/>
      <c r="Y30" s="3799"/>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99"/>
      <c r="Q31" s="2594" t="str">
        <f t="shared" ref="Q31" si="9">B31</f>
        <v>基础设施水平</v>
      </c>
      <c r="R31" s="1560" t="s">
        <v>8</v>
      </c>
      <c r="S31" s="1561">
        <f>F31</f>
        <v>100</v>
      </c>
      <c r="T31" s="1560" t="s">
        <v>8</v>
      </c>
      <c r="U31" s="1561">
        <f>H31</f>
        <v>100</v>
      </c>
      <c r="V31" s="1560" t="s">
        <v>8</v>
      </c>
      <c r="W31" s="1561">
        <f>J31</f>
        <v>100</v>
      </c>
      <c r="X31" s="1562"/>
      <c r="Y31" s="3799"/>
      <c r="Z31" s="2591" t="str">
        <f>Q31</f>
        <v>基础设施水平</v>
      </c>
      <c r="AA31" s="1568">
        <f>D31/F31</f>
        <v>1</v>
      </c>
      <c r="AB31" s="1568">
        <f>D31/H31</f>
        <v>1</v>
      </c>
      <c r="AC31" s="1568">
        <f>D31/J31</f>
        <v>1</v>
      </c>
    </row>
    <row r="32" spans="1:29" s="1213" customFormat="1" ht="20.25">
      <c r="A32" s="574"/>
      <c r="B32" s="564"/>
      <c r="C32" s="3497" t="s">
        <v>3305</v>
      </c>
      <c r="D32" s="555"/>
      <c r="E32" s="3498" t="s">
        <v>3305</v>
      </c>
      <c r="F32" s="553"/>
      <c r="G32" s="3497" t="s">
        <v>3305</v>
      </c>
      <c r="H32" s="553"/>
      <c r="I32" s="3497" t="s">
        <v>3305</v>
      </c>
      <c r="J32" s="553"/>
      <c r="K32" s="529"/>
      <c r="L32" s="2127"/>
      <c r="M32" s="2124"/>
      <c r="N32" s="2124"/>
      <c r="O32" s="2129"/>
      <c r="P32" s="3799"/>
      <c r="Q32" s="2594"/>
      <c r="R32" s="1560"/>
      <c r="S32" s="1561"/>
      <c r="T32" s="1560"/>
      <c r="U32" s="1561"/>
      <c r="V32" s="1560"/>
      <c r="W32" s="1561"/>
      <c r="X32" s="1562"/>
      <c r="Y32" s="3799"/>
      <c r="Z32" s="2591"/>
      <c r="AA32" s="1568">
        <v>1</v>
      </c>
      <c r="AB32" s="1568">
        <v>1</v>
      </c>
      <c r="AC32" s="1568">
        <v>1</v>
      </c>
    </row>
    <row r="33" spans="1:29" ht="20.25">
      <c r="A33" s="530"/>
      <c r="B33" s="564" t="s">
        <v>548</v>
      </c>
      <c r="C33" s="577"/>
      <c r="D33" s="572">
        <v>100</v>
      </c>
      <c r="E33" s="580"/>
      <c r="F33" s="538">
        <f>SUMIF(106:106,E33,107:107)-SUMIF(106:106,C33,107:107)+100</f>
        <v>100</v>
      </c>
      <c r="G33" s="577"/>
      <c r="H33" s="538">
        <f>SUMIF(106:106,G33,107:107)-SUMIF(106:106,C33,107:107)+100</f>
        <v>100</v>
      </c>
      <c r="I33" s="577"/>
      <c r="J33" s="538">
        <f>SUMIF(106:106,I33,107:107)-SUMIF(106:106,C33,107:107)+100</f>
        <v>100</v>
      </c>
      <c r="K33" s="533">
        <v>2</v>
      </c>
      <c r="L33" s="2134"/>
      <c r="M33" s="2124"/>
      <c r="N33" s="2124"/>
      <c r="O33" s="2133"/>
      <c r="P33" s="3799"/>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99"/>
      <c r="Z33" s="1567" t="str">
        <f t="shared" ref="Z33:Z47" si="13">Q33</f>
        <v>临街状况</v>
      </c>
      <c r="AA33" s="1568">
        <f t="shared" si="3"/>
        <v>1</v>
      </c>
      <c r="AB33" s="1568">
        <f t="shared" si="4"/>
        <v>1</v>
      </c>
      <c r="AC33" s="1568">
        <f t="shared" si="5"/>
        <v>1</v>
      </c>
    </row>
    <row r="34" spans="1:29" ht="27">
      <c r="A34" s="530"/>
      <c r="B34" s="575"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2</v>
      </c>
      <c r="L34" s="2134"/>
      <c r="M34" s="2124"/>
      <c r="N34" s="2124"/>
      <c r="O34" s="2133"/>
      <c r="P34" s="3799"/>
      <c r="Q34" s="1564" t="str">
        <f t="shared" si="8"/>
        <v>毗邻道路的类型与等级</v>
      </c>
      <c r="R34" s="1565" t="s">
        <v>8</v>
      </c>
      <c r="S34" s="1566">
        <f t="shared" si="10"/>
        <v>100</v>
      </c>
      <c r="T34" s="1565" t="s">
        <v>8</v>
      </c>
      <c r="U34" s="1566">
        <f t="shared" si="11"/>
        <v>100</v>
      </c>
      <c r="V34" s="1565" t="s">
        <v>8</v>
      </c>
      <c r="W34" s="1566">
        <f t="shared" si="12"/>
        <v>100</v>
      </c>
      <c r="X34" s="1559"/>
      <c r="Y34" s="3799"/>
      <c r="Z34" s="1567" t="str">
        <f t="shared" si="13"/>
        <v>毗邻道路的类型与等级</v>
      </c>
      <c r="AA34" s="1568">
        <f t="shared" si="3"/>
        <v>1</v>
      </c>
      <c r="AB34" s="1568">
        <f t="shared" si="4"/>
        <v>1</v>
      </c>
      <c r="AC34" s="1568">
        <f t="shared" si="5"/>
        <v>1</v>
      </c>
    </row>
    <row r="35" spans="1:29" ht="20.25">
      <c r="A35" s="530"/>
      <c r="B35" s="564"/>
      <c r="C35" s="3492"/>
      <c r="D35" s="555"/>
      <c r="E35" s="573"/>
      <c r="F35" s="553"/>
      <c r="G35" s="552"/>
      <c r="H35" s="553"/>
      <c r="I35" s="573"/>
      <c r="J35" s="553"/>
      <c r="K35" s="578"/>
      <c r="L35" s="2134"/>
      <c r="M35" s="2124"/>
      <c r="N35" s="2124"/>
      <c r="O35" s="2133"/>
      <c r="P35" s="3799"/>
      <c r="Q35" s="1564"/>
      <c r="R35" s="1565"/>
      <c r="S35" s="1566"/>
      <c r="T35" s="1565"/>
      <c r="U35" s="1566"/>
      <c r="V35" s="1565"/>
      <c r="W35" s="1566"/>
      <c r="X35" s="1559"/>
      <c r="Y35" s="3799"/>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99"/>
      <c r="Q36" s="1564" t="str">
        <f t="shared" si="8"/>
        <v>土地级别</v>
      </c>
      <c r="R36" s="1565" t="s">
        <v>8</v>
      </c>
      <c r="S36" s="1566">
        <f t="shared" si="10"/>
        <v>100</v>
      </c>
      <c r="T36" s="1565" t="s">
        <v>8</v>
      </c>
      <c r="U36" s="1566">
        <f t="shared" si="11"/>
        <v>100</v>
      </c>
      <c r="V36" s="1565" t="s">
        <v>8</v>
      </c>
      <c r="W36" s="1566">
        <f t="shared" si="12"/>
        <v>100</v>
      </c>
      <c r="X36" s="1559"/>
      <c r="Y36" s="3799"/>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99"/>
      <c r="Q37" s="1564">
        <f t="shared" si="8"/>
        <v>111</v>
      </c>
      <c r="R37" s="1565" t="s">
        <v>8</v>
      </c>
      <c r="S37" s="1566">
        <f t="shared" si="10"/>
        <v>100</v>
      </c>
      <c r="T37" s="1565" t="s">
        <v>8</v>
      </c>
      <c r="U37" s="1566">
        <f t="shared" si="11"/>
        <v>100</v>
      </c>
      <c r="V37" s="1565" t="s">
        <v>8</v>
      </c>
      <c r="W37" s="1566">
        <f t="shared" si="12"/>
        <v>100</v>
      </c>
      <c r="X37" s="1559"/>
      <c r="Y37" s="3799"/>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800" t="s">
        <v>551</v>
      </c>
      <c r="Q38" s="1564">
        <f t="shared" si="8"/>
        <v>111</v>
      </c>
      <c r="R38" s="1565" t="s">
        <v>8</v>
      </c>
      <c r="S38" s="1566">
        <f t="shared" si="10"/>
        <v>100</v>
      </c>
      <c r="T38" s="1565" t="s">
        <v>8</v>
      </c>
      <c r="U38" s="1566">
        <f t="shared" si="11"/>
        <v>100</v>
      </c>
      <c r="V38" s="1565" t="s">
        <v>8</v>
      </c>
      <c r="W38" s="1566">
        <f t="shared" si="12"/>
        <v>100</v>
      </c>
      <c r="X38" s="1559"/>
      <c r="Y38" s="3801"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801"/>
      <c r="Q39" s="1564">
        <f t="shared" si="8"/>
        <v>111</v>
      </c>
      <c r="R39" s="1569" t="s">
        <v>8</v>
      </c>
      <c r="S39" s="1570">
        <f t="shared" si="10"/>
        <v>100</v>
      </c>
      <c r="T39" s="1569" t="s">
        <v>8</v>
      </c>
      <c r="U39" s="1570">
        <f t="shared" si="11"/>
        <v>100</v>
      </c>
      <c r="V39" s="1569" t="s">
        <v>8</v>
      </c>
      <c r="W39" s="1570">
        <f t="shared" si="12"/>
        <v>100</v>
      </c>
      <c r="X39" s="1571"/>
      <c r="Y39" s="3801"/>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Sheet1!D52</f>
        <v>8114.3</v>
      </c>
      <c r="F40" s="594">
        <f>LOOKUP(E40,119:119,120:120)-LOOKUP(C40,119:119,120:120)+100</f>
        <v>97</v>
      </c>
      <c r="G40" s="593">
        <v>113531</v>
      </c>
      <c r="H40" s="594">
        <f>LOOKUP(G40,119:119,120:120)-LOOKUP(C40,119:119,120:120)+100</f>
        <v>102</v>
      </c>
      <c r="I40" s="595">
        <f>Sheet1!D61</f>
        <v>20470.900000000001</v>
      </c>
      <c r="J40" s="594">
        <f>LOOKUP(I40,119:119,120:120)-LOOKUP(C40,119:119,120:120)+100</f>
        <v>98</v>
      </c>
      <c r="K40" s="578"/>
      <c r="L40" s="2134"/>
      <c r="M40" s="2124"/>
      <c r="N40" s="2124"/>
      <c r="O40" s="2133"/>
      <c r="P40" s="3801"/>
      <c r="Q40" s="1564" t="str">
        <f>B40</f>
        <v>宗地面积</v>
      </c>
      <c r="R40" s="1565" t="s">
        <v>8</v>
      </c>
      <c r="S40" s="1566">
        <f t="shared" si="10"/>
        <v>97</v>
      </c>
      <c r="T40" s="1565" t="s">
        <v>8</v>
      </c>
      <c r="U40" s="1566">
        <f t="shared" si="11"/>
        <v>102</v>
      </c>
      <c r="V40" s="1565" t="s">
        <v>8</v>
      </c>
      <c r="W40" s="1566">
        <f t="shared" si="12"/>
        <v>98</v>
      </c>
      <c r="X40" s="1559"/>
      <c r="Y40" s="3801"/>
      <c r="Z40" s="1567" t="str">
        <f t="shared" si="13"/>
        <v>宗地面积</v>
      </c>
      <c r="AA40" s="1568">
        <f t="shared" si="3"/>
        <v>1.0309278350515463</v>
      </c>
      <c r="AB40" s="1568">
        <f t="shared" si="4"/>
        <v>0.98039215686274506</v>
      </c>
      <c r="AC40" s="1568">
        <f t="shared" si="5"/>
        <v>1.0204081632653061</v>
      </c>
    </row>
    <row r="41" spans="1:29" ht="20.25">
      <c r="A41" s="591"/>
      <c r="B41" s="525" t="s">
        <v>554</v>
      </c>
      <c r="C41" s="3549" t="s">
        <v>3304</v>
      </c>
      <c r="D41" s="538">
        <v>100</v>
      </c>
      <c r="E41" s="3495" t="s">
        <v>3304</v>
      </c>
      <c r="F41" s="538">
        <f>SUMIF(121:121,E41,122:122)-SUMIF(121:121,C41,122:122)+100</f>
        <v>100</v>
      </c>
      <c r="G41" s="3495" t="s">
        <v>3304</v>
      </c>
      <c r="H41" s="538">
        <f>SUMIF(121:121,G41,122:122)-SUMIF(121:121,C41,122:122)+100</f>
        <v>100</v>
      </c>
      <c r="I41" s="3495" t="s">
        <v>3304</v>
      </c>
      <c r="J41" s="538">
        <f>SUMIF(121:121,I41,122:122)-SUMIF(121:121,C41,122:122)+100</f>
        <v>100</v>
      </c>
      <c r="K41" s="581"/>
      <c r="L41" s="2134"/>
      <c r="M41" s="2124"/>
      <c r="N41" s="2124"/>
      <c r="O41" s="2133"/>
      <c r="P41" s="3801"/>
      <c r="Q41" s="1564" t="str">
        <f t="shared" ref="Q41:Q47" si="14">B41</f>
        <v>宗地形状</v>
      </c>
      <c r="R41" s="1565" t="s">
        <v>8</v>
      </c>
      <c r="S41" s="1566">
        <f t="shared" si="10"/>
        <v>100</v>
      </c>
      <c r="T41" s="1565" t="s">
        <v>8</v>
      </c>
      <c r="U41" s="1566">
        <f t="shared" si="11"/>
        <v>100</v>
      </c>
      <c r="V41" s="1565" t="s">
        <v>8</v>
      </c>
      <c r="W41" s="1566">
        <f t="shared" si="12"/>
        <v>100</v>
      </c>
      <c r="X41" s="1559"/>
      <c r="Y41" s="3801"/>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801"/>
      <c r="Q42" s="1564" t="str">
        <f t="shared" si="14"/>
        <v>临街宽度及深度</v>
      </c>
      <c r="R42" s="1565" t="s">
        <v>8</v>
      </c>
      <c r="S42" s="1566">
        <f t="shared" si="10"/>
        <v>100</v>
      </c>
      <c r="T42" s="1565" t="s">
        <v>8</v>
      </c>
      <c r="U42" s="1566">
        <f t="shared" si="11"/>
        <v>100</v>
      </c>
      <c r="V42" s="1565" t="s">
        <v>8</v>
      </c>
      <c r="W42" s="1566">
        <f t="shared" si="12"/>
        <v>100</v>
      </c>
      <c r="X42" s="1559"/>
      <c r="Y42" s="3801"/>
      <c r="Z42" s="1567" t="str">
        <f t="shared" si="13"/>
        <v>临街宽度及深度</v>
      </c>
      <c r="AA42" s="1568">
        <f t="shared" si="3"/>
        <v>1</v>
      </c>
      <c r="AB42" s="1568">
        <f t="shared" si="4"/>
        <v>1</v>
      </c>
      <c r="AC42" s="1568">
        <f t="shared" si="5"/>
        <v>1</v>
      </c>
    </row>
    <row r="43" spans="1:29" s="1213" customFormat="1" ht="20.25">
      <c r="A43" s="597"/>
      <c r="B43" s="1887" t="s">
        <v>2426</v>
      </c>
      <c r="C43" s="3496" t="s">
        <v>3303</v>
      </c>
      <c r="D43" s="253">
        <v>100</v>
      </c>
      <c r="E43" s="3496" t="s">
        <v>3303</v>
      </c>
      <c r="F43" s="538">
        <f>SUMIF(125:125,E43,126:126)-SUMIF(125:125,C43,126:126)+100</f>
        <v>100</v>
      </c>
      <c r="G43" s="3496" t="s">
        <v>3303</v>
      </c>
      <c r="H43" s="538">
        <f>SUMIF(125:125,G43,126:126)-SUMIF(125:125,C43,126:126)+100</f>
        <v>100</v>
      </c>
      <c r="I43" s="3496" t="s">
        <v>3303</v>
      </c>
      <c r="J43" s="538">
        <f>SUMIF(125:125,I43,126:126)-SUMIF(125:125,C43,126:126)+100</f>
        <v>100</v>
      </c>
      <c r="K43" s="581"/>
      <c r="L43" s="2127"/>
      <c r="M43" s="2124"/>
      <c r="N43" s="2124"/>
      <c r="O43" s="2129"/>
      <c r="P43" s="3801"/>
      <c r="Q43" s="1564" t="str">
        <f t="shared" si="14"/>
        <v>宗地开发程度</v>
      </c>
      <c r="R43" s="1560" t="s">
        <v>8</v>
      </c>
      <c r="S43" s="1561">
        <f t="shared" si="10"/>
        <v>100</v>
      </c>
      <c r="T43" s="1560" t="s">
        <v>8</v>
      </c>
      <c r="U43" s="1561">
        <f t="shared" si="11"/>
        <v>100</v>
      </c>
      <c r="V43" s="1560" t="s">
        <v>8</v>
      </c>
      <c r="W43" s="1561">
        <f t="shared" si="12"/>
        <v>100</v>
      </c>
      <c r="X43" s="1562"/>
      <c r="Y43" s="3801"/>
      <c r="Z43" s="1143" t="str">
        <f t="shared" si="13"/>
        <v>宗地开发程度</v>
      </c>
      <c r="AA43" s="1563">
        <f t="shared" si="3"/>
        <v>1</v>
      </c>
      <c r="AB43" s="1563">
        <f t="shared" si="4"/>
        <v>1</v>
      </c>
      <c r="AC43" s="1563">
        <f t="shared" si="5"/>
        <v>1</v>
      </c>
    </row>
    <row r="44" spans="1:29" ht="20.25">
      <c r="A44" s="591"/>
      <c r="B44" s="525" t="s">
        <v>556</v>
      </c>
      <c r="C44" s="3495" t="s">
        <v>3301</v>
      </c>
      <c r="D44" s="538">
        <v>100</v>
      </c>
      <c r="E44" s="3495" t="s">
        <v>3301</v>
      </c>
      <c r="F44" s="538">
        <f>SUMIF(127:127,E44,128:128)-SUMIF(127:127,C44,128:128)+100</f>
        <v>100</v>
      </c>
      <c r="G44" s="3495" t="s">
        <v>3302</v>
      </c>
      <c r="H44" s="538">
        <f>SUMIF(127:127,G44,128:128)-SUMIF(127:127,C44,128:128)+100</f>
        <v>100</v>
      </c>
      <c r="I44" s="3495" t="s">
        <v>3301</v>
      </c>
      <c r="J44" s="538">
        <f>SUMIF(127:127,I44,128:128)-SUMIF(127:127,C44,128:128)+100</f>
        <v>100</v>
      </c>
      <c r="K44" s="581"/>
      <c r="L44" s="2134"/>
      <c r="M44" s="2124"/>
      <c r="N44" s="2124"/>
      <c r="O44" s="2133"/>
      <c r="P44" s="3801" t="s">
        <v>551</v>
      </c>
      <c r="Q44" s="1564" t="str">
        <f t="shared" si="14"/>
        <v>工程地质条件</v>
      </c>
      <c r="R44" s="1565" t="s">
        <v>8</v>
      </c>
      <c r="S44" s="1566">
        <f t="shared" si="10"/>
        <v>100</v>
      </c>
      <c r="T44" s="1565" t="s">
        <v>8</v>
      </c>
      <c r="U44" s="1566">
        <f t="shared" si="11"/>
        <v>100</v>
      </c>
      <c r="V44" s="1565" t="s">
        <v>8</v>
      </c>
      <c r="W44" s="1566">
        <f t="shared" si="12"/>
        <v>100</v>
      </c>
      <c r="X44" s="1559"/>
      <c r="Y44" s="3801"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801"/>
      <c r="Q45" s="1564">
        <f t="shared" si="14"/>
        <v>111</v>
      </c>
      <c r="R45" s="1565" t="s">
        <v>8</v>
      </c>
      <c r="S45" s="1566">
        <f t="shared" si="10"/>
        <v>100</v>
      </c>
      <c r="T45" s="1565" t="s">
        <v>8</v>
      </c>
      <c r="U45" s="1566">
        <f t="shared" si="11"/>
        <v>100</v>
      </c>
      <c r="V45" s="1565" t="s">
        <v>8</v>
      </c>
      <c r="W45" s="1566">
        <f t="shared" si="12"/>
        <v>100</v>
      </c>
      <c r="X45" s="1559"/>
      <c r="Y45" s="3801"/>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801"/>
      <c r="Q46" s="1564">
        <f t="shared" si="14"/>
        <v>111</v>
      </c>
      <c r="R46" s="1565" t="s">
        <v>8</v>
      </c>
      <c r="S46" s="1566">
        <f t="shared" si="10"/>
        <v>100</v>
      </c>
      <c r="T46" s="1565" t="s">
        <v>8</v>
      </c>
      <c r="U46" s="1566">
        <f t="shared" si="11"/>
        <v>100</v>
      </c>
      <c r="V46" s="1565" t="s">
        <v>8</v>
      </c>
      <c r="W46" s="1566">
        <f t="shared" si="12"/>
        <v>100</v>
      </c>
      <c r="X46" s="1559"/>
      <c r="Y46" s="3801"/>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801"/>
      <c r="Q47" s="1564">
        <f t="shared" si="14"/>
        <v>111</v>
      </c>
      <c r="R47" s="1569" t="s">
        <v>8</v>
      </c>
      <c r="S47" s="1570">
        <f t="shared" si="10"/>
        <v>100</v>
      </c>
      <c r="T47" s="1569" t="s">
        <v>8</v>
      </c>
      <c r="U47" s="1570">
        <f t="shared" si="11"/>
        <v>100</v>
      </c>
      <c r="V47" s="1569" t="s">
        <v>8</v>
      </c>
      <c r="W47" s="1570">
        <f t="shared" si="12"/>
        <v>100</v>
      </c>
      <c r="X47" s="1571"/>
      <c r="Y47" s="3801"/>
      <c r="Z47" s="1572">
        <f t="shared" si="13"/>
        <v>111</v>
      </c>
      <c r="AA47" s="1568">
        <f t="shared" si="3"/>
        <v>1</v>
      </c>
      <c r="AB47" s="1568">
        <f t="shared" si="4"/>
        <v>1</v>
      </c>
      <c r="AC47" s="1568">
        <f t="shared" si="5"/>
        <v>1</v>
      </c>
    </row>
    <row r="48" spans="1:29" ht="20.25">
      <c r="A48" s="604" t="s">
        <v>557</v>
      </c>
      <c r="B48" s="605" t="s">
        <v>3286</v>
      </c>
      <c r="C48" s="606" t="s">
        <v>1</v>
      </c>
      <c r="D48" s="607"/>
      <c r="E48" s="3548">
        <v>2831</v>
      </c>
      <c r="F48" s="609"/>
      <c r="G48" s="610">
        <v>3130</v>
      </c>
      <c r="H48" s="611"/>
      <c r="I48" s="608">
        <v>3166</v>
      </c>
      <c r="J48" s="611"/>
      <c r="K48" s="1333"/>
      <c r="L48" s="2136"/>
      <c r="M48" s="2124"/>
      <c r="N48" s="2124"/>
      <c r="O48" s="2137"/>
      <c r="P48" s="3764" t="str">
        <f>A48</f>
        <v>成交单价</v>
      </c>
      <c r="Q48" s="3764"/>
      <c r="R48" s="3765">
        <f>E48</f>
        <v>2831</v>
      </c>
      <c r="S48" s="3765"/>
      <c r="T48" s="3765">
        <f>G48</f>
        <v>3130</v>
      </c>
      <c r="U48" s="3765"/>
      <c r="V48" s="3765">
        <f>I48</f>
        <v>3166</v>
      </c>
      <c r="W48" s="3765"/>
      <c r="X48" s="1551"/>
      <c r="Y48" s="1573"/>
      <c r="Z48" s="1551"/>
      <c r="AA48" s="1551"/>
      <c r="AB48" s="1551"/>
      <c r="AC48" s="1551"/>
    </row>
    <row r="49" spans="1:29" ht="21" thickBot="1">
      <c r="A49" s="612" t="s">
        <v>2697</v>
      </c>
      <c r="B49" s="613"/>
      <c r="C49" s="614">
        <f>R50</f>
        <v>2739</v>
      </c>
      <c r="D49" s="615"/>
      <c r="E49" s="614">
        <f>R49</f>
        <v>2431</v>
      </c>
      <c r="F49" s="616"/>
      <c r="G49" s="617">
        <f>T49</f>
        <v>2530</v>
      </c>
      <c r="H49" s="615"/>
      <c r="I49" s="614">
        <f>V49</f>
        <v>3257</v>
      </c>
      <c r="J49" s="615"/>
      <c r="K49" s="1334"/>
      <c r="L49" s="2136"/>
      <c r="M49" s="2124"/>
      <c r="N49" s="2124"/>
      <c r="O49" s="2137"/>
      <c r="P49" s="3764" t="str">
        <f>A49</f>
        <v>比较价格（元/平方米）</v>
      </c>
      <c r="Q49" s="3764"/>
      <c r="R49" s="3766">
        <f>ROUND(PRODUCT(R48,AA9:AA47),0)</f>
        <v>2431</v>
      </c>
      <c r="S49" s="3766"/>
      <c r="T49" s="3766">
        <f>ROUND(PRODUCT(T48,AB9:AB47),0)</f>
        <v>2530</v>
      </c>
      <c r="U49" s="3766"/>
      <c r="V49" s="3766">
        <f>ROUND(PRODUCT(V48,AC9:AC47),0)</f>
        <v>3257</v>
      </c>
      <c r="W49" s="3766"/>
      <c r="X49" s="1551"/>
      <c r="Y49" s="1551"/>
      <c r="Z49" s="1551"/>
      <c r="AA49" s="1551"/>
      <c r="AB49" s="1551"/>
      <c r="AC49" s="1551"/>
    </row>
    <row r="50" spans="1:29" ht="21" thickBot="1">
      <c r="A50" s="618" t="s">
        <v>2935</v>
      </c>
      <c r="B50" s="619"/>
      <c r="C50" s="620">
        <f>R50</f>
        <v>2739</v>
      </c>
      <c r="D50" s="620"/>
      <c r="E50" s="620"/>
      <c r="F50" s="620"/>
      <c r="G50" s="620"/>
      <c r="H50" s="620"/>
      <c r="I50" s="620"/>
      <c r="J50" s="620"/>
      <c r="K50" s="1335"/>
      <c r="L50" s="2136"/>
      <c r="M50" s="2124"/>
      <c r="N50" s="2124"/>
      <c r="O50" s="2137"/>
      <c r="P50" s="3761" t="str">
        <f>A50</f>
        <v>估价对象XX用房的比较价格（楼面单价，元/平方米）</v>
      </c>
      <c r="Q50" s="3762"/>
      <c r="R50" s="3763">
        <f>ROUND(AVERAGE(R49:V49),0)</f>
        <v>2739</v>
      </c>
      <c r="S50" s="3763"/>
      <c r="T50" s="3763"/>
      <c r="U50" s="3763"/>
      <c r="V50" s="3763"/>
      <c r="W50" s="3763"/>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0.16454134101192919</v>
      </c>
      <c r="F53" s="624" t="str">
        <f>IF(OR(E53&gt;=0.3,E53&lt;=-0.3),"超过30%","")</f>
        <v/>
      </c>
      <c r="G53" s="623">
        <f>IF(G48&lt;G49,G49/G48-1,G48/G49-1)</f>
        <v>0.23715415019762842</v>
      </c>
      <c r="H53" s="624" t="str">
        <f>IF(OR(G53&gt;=0.3,G53&lt;=-0.3),"超过30%","")</f>
        <v/>
      </c>
      <c r="I53" s="623">
        <f>IF(I48&lt;I49,I49/I48-1,I48/I49-1)</f>
        <v>2.8742893240682355E-2</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4.0723981900452566E-2</v>
      </c>
      <c r="F54" s="624" t="str">
        <f>IF(OR(E54&gt;=0.2,E54&lt;=-0.2),"超过20%","")</f>
        <v/>
      </c>
      <c r="G54" s="623">
        <f>IF(G49&lt;I49,I49/G49-1,G49/I49-1)</f>
        <v>0.28735177865612638</v>
      </c>
      <c r="H54" s="624" t="str">
        <f>IF(OR(G54&gt;=0.2,G54&lt;=-0.2),"超过20%","")</f>
        <v>超过20%</v>
      </c>
      <c r="I54" s="623">
        <f>IF(I49&lt;E49,E49/I49-1,I49/E49-1)</f>
        <v>0.33977786918963382</v>
      </c>
      <c r="J54" s="624" t="str">
        <f>IF(OR(I54&gt;=0.2,I54&lt;=-0.2),"超过20%","")</f>
        <v>超过20%</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0.10561638996820921</v>
      </c>
      <c r="F55" s="624" t="str">
        <f>IF(OR(E55&gt;=0.3,E55&lt;=-0.3),"超过30%","")</f>
        <v/>
      </c>
      <c r="G55" s="623">
        <f>IF(G48&lt;I48,I48/G48-1,G48/I48-1)</f>
        <v>1.1501597444089517E-2</v>
      </c>
      <c r="H55" s="624" t="str">
        <f>IF(OR(G55&gt;=0.3,G55&lt;=-0.3),"超过30%","")</f>
        <v/>
      </c>
      <c r="I55" s="623">
        <f>IF(I48&lt;E48,E48/I48-1,I48/E48-1)</f>
        <v>0.11833274461321097</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90" t="s">
        <v>2282</v>
      </c>
      <c r="H57" s="3791"/>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2739</v>
      </c>
      <c r="C58" s="632">
        <v>1</v>
      </c>
      <c r="D58" s="2220">
        <v>1</v>
      </c>
      <c r="E58" s="632">
        <f>'数据-汇总表'!E8+'数据-汇总表'!E9</f>
        <v>346718</v>
      </c>
      <c r="F58" s="633">
        <f t="shared" ref="F58:F67" si="15">ROUND(B58*E58/10000,0)</f>
        <v>94966</v>
      </c>
      <c r="G58" s="3792"/>
      <c r="H58" s="3793"/>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94"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94"/>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94"/>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94"/>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94966</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2020-4-1</v>
      </c>
      <c r="D70" s="2816">
        <f>EDATE(C70,-3)</f>
        <v>43831</v>
      </c>
      <c r="E70" s="2816">
        <f t="shared" ref="E70:N70" si="18">EDATE(D70,-3)</f>
        <v>43739</v>
      </c>
      <c r="F70" s="2816">
        <f t="shared" si="18"/>
        <v>43647</v>
      </c>
      <c r="G70" s="2816">
        <f t="shared" si="18"/>
        <v>43556</v>
      </c>
      <c r="H70" s="2816">
        <f t="shared" si="18"/>
        <v>43466</v>
      </c>
      <c r="I70" s="2816">
        <f t="shared" si="18"/>
        <v>43374</v>
      </c>
      <c r="J70" s="2816">
        <f t="shared" si="18"/>
        <v>43282</v>
      </c>
      <c r="K70" s="2816">
        <f t="shared" si="18"/>
        <v>43191</v>
      </c>
      <c r="L70" s="2816">
        <f t="shared" si="18"/>
        <v>43101</v>
      </c>
      <c r="M70" s="2816">
        <f t="shared" si="18"/>
        <v>43009</v>
      </c>
      <c r="N70" s="2816">
        <f t="shared" si="18"/>
        <v>42917</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2020-2</v>
      </c>
      <c r="D72" s="2818" t="str">
        <f>YEAR(D70)&amp;"-"&amp;ROUNDUP(MONTH(D70)/3,0)</f>
        <v>2020-1</v>
      </c>
      <c r="E72" s="2818" t="str">
        <f t="shared" ref="E72:N72" si="19">YEAR(E70)&amp;"-"&amp;ROUNDUP(MONTH(E70)/3,0)</f>
        <v>2019-4</v>
      </c>
      <c r="F72" s="2818" t="str">
        <f t="shared" si="19"/>
        <v>2019-3</v>
      </c>
      <c r="G72" s="2818" t="str">
        <f t="shared" si="19"/>
        <v>2019-2</v>
      </c>
      <c r="H72" s="2818" t="str">
        <f t="shared" si="19"/>
        <v>2019-1</v>
      </c>
      <c r="I72" s="2818" t="str">
        <f t="shared" si="19"/>
        <v>2018-4</v>
      </c>
      <c r="J72" s="2818" t="str">
        <f t="shared" si="19"/>
        <v>2018-3</v>
      </c>
      <c r="K72" s="2818" t="str">
        <f t="shared" si="19"/>
        <v>2018-2</v>
      </c>
      <c r="L72" s="2818" t="str">
        <f t="shared" si="19"/>
        <v>2018-1</v>
      </c>
      <c r="M72" s="2818" t="str">
        <f t="shared" si="19"/>
        <v>2017-4</v>
      </c>
      <c r="N72" s="2818" t="str">
        <f t="shared" si="19"/>
        <v>2017-3</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v>99.5</v>
      </c>
      <c r="E73" s="3481">
        <v>99</v>
      </c>
      <c r="F73" s="3481">
        <v>98.5</v>
      </c>
      <c r="G73" s="3481">
        <v>98</v>
      </c>
      <c r="H73" s="3481">
        <v>97.5</v>
      </c>
      <c r="I73" s="3481">
        <v>97</v>
      </c>
      <c r="J73" s="3481">
        <v>96.5</v>
      </c>
      <c r="K73" s="3481">
        <v>96</v>
      </c>
      <c r="L73" s="3481">
        <v>95.5</v>
      </c>
      <c r="M73" s="3481">
        <v>95</v>
      </c>
      <c r="N73" s="3481">
        <v>94.5</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v>
      </c>
      <c r="I81" s="679" t="str">
        <f t="shared" si="20"/>
        <v>（含）-</v>
      </c>
      <c r="J81" s="679" t="str">
        <f t="shared" si="20"/>
        <v>（含）-</v>
      </c>
      <c r="K81" s="679" t="str">
        <f t="shared" si="20"/>
        <v>（含）-</v>
      </c>
      <c r="L81" s="679" t="str">
        <f t="shared" si="20"/>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3291</v>
      </c>
      <c r="D108" s="3482" t="s">
        <v>3292</v>
      </c>
      <c r="E108" s="3482" t="s">
        <v>3289</v>
      </c>
      <c r="F108" s="3482" t="s">
        <v>3290</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5">C119&amp;"(含)"&amp;"-"&amp;D119</f>
        <v>0(含)-20000</v>
      </c>
      <c r="D118" s="701" t="str">
        <f t="shared" si="25"/>
        <v>20000(含)-40000</v>
      </c>
      <c r="E118" s="701" t="str">
        <f t="shared" si="25"/>
        <v>40000(含)-60000</v>
      </c>
      <c r="F118" s="701" t="str">
        <f t="shared" si="25"/>
        <v>60000(含)-80000</v>
      </c>
      <c r="G118" s="701" t="str">
        <f t="shared" si="25"/>
        <v>80000(含)-100000</v>
      </c>
      <c r="H118" s="701" t="str">
        <f t="shared" si="25"/>
        <v>100000(含)-120000</v>
      </c>
      <c r="I118" s="701" t="str">
        <f t="shared" si="25"/>
        <v>120000(含)-</v>
      </c>
      <c r="J118" s="3105" t="str">
        <f t="shared" si="25"/>
        <v>(含)-</v>
      </c>
      <c r="K118" s="3105" t="str">
        <f t="shared" si="25"/>
        <v>(含)-</v>
      </c>
      <c r="L118" s="3106" t="str">
        <f t="shared" si="25"/>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v>100000</v>
      </c>
      <c r="I119" s="727">
        <v>120000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105</v>
      </c>
      <c r="I120" s="723">
        <v>106</v>
      </c>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G33" sqref="G33"/>
    </sheetView>
  </sheetViews>
  <sheetFormatPr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802" t="s">
        <v>3259</v>
      </c>
      <c r="B1" s="3802"/>
      <c r="C1" s="3802"/>
      <c r="D1" s="3802"/>
      <c r="E1" s="3802"/>
      <c r="F1" s="3802"/>
      <c r="G1" s="3802"/>
      <c r="H1" s="3802"/>
      <c r="I1" s="3802"/>
      <c r="J1" s="3802"/>
      <c r="K1" s="3802"/>
      <c r="L1" s="3802"/>
      <c r="M1" s="3802"/>
      <c r="N1" s="3802"/>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70" t="s">
        <v>523</v>
      </c>
      <c r="D6" s="3771"/>
      <c r="E6" s="3805" t="s">
        <v>524</v>
      </c>
      <c r="F6" s="3806"/>
      <c r="G6" s="3770" t="s">
        <v>525</v>
      </c>
      <c r="H6" s="3771"/>
      <c r="I6" s="3770" t="s">
        <v>526</v>
      </c>
      <c r="J6" s="3771"/>
      <c r="K6" s="512" t="s">
        <v>527</v>
      </c>
      <c r="L6" s="2125"/>
      <c r="M6" s="2126"/>
      <c r="N6" s="2126"/>
      <c r="O6" s="2126"/>
      <c r="P6" s="3772" t="s">
        <v>528</v>
      </c>
      <c r="Q6" s="3773"/>
      <c r="R6" s="3778" t="s">
        <v>524</v>
      </c>
      <c r="S6" s="3779"/>
      <c r="T6" s="3778" t="s">
        <v>525</v>
      </c>
      <c r="U6" s="3779"/>
      <c r="V6" s="3765" t="s">
        <v>526</v>
      </c>
      <c r="W6" s="3765"/>
      <c r="X6" s="1559"/>
      <c r="Y6" s="3778" t="s">
        <v>528</v>
      </c>
      <c r="Z6" s="3779"/>
      <c r="AA6" s="3767" t="s">
        <v>524</v>
      </c>
      <c r="AB6" s="3768" t="s">
        <v>525</v>
      </c>
      <c r="AC6" s="3767" t="s">
        <v>526</v>
      </c>
    </row>
    <row r="7" spans="1:29" ht="15">
      <c r="A7" s="513"/>
      <c r="B7" s="514"/>
      <c r="C7" s="3786" t="s">
        <v>2929</v>
      </c>
      <c r="D7" s="3787"/>
      <c r="E7" s="3807" t="s">
        <v>2930</v>
      </c>
      <c r="F7" s="3808"/>
      <c r="G7" s="3786" t="s">
        <v>2931</v>
      </c>
      <c r="H7" s="3787"/>
      <c r="I7" s="3786" t="s">
        <v>2932</v>
      </c>
      <c r="J7" s="3787"/>
      <c r="K7" s="512"/>
      <c r="L7" s="2125"/>
      <c r="M7" s="2126"/>
      <c r="N7" s="2126"/>
      <c r="O7" s="2126"/>
      <c r="P7" s="3774"/>
      <c r="Q7" s="3775"/>
      <c r="R7" s="3780"/>
      <c r="S7" s="3781"/>
      <c r="T7" s="3780"/>
      <c r="U7" s="3781"/>
      <c r="V7" s="3765"/>
      <c r="W7" s="3765"/>
      <c r="X7" s="1559"/>
      <c r="Y7" s="3780"/>
      <c r="Z7" s="3781"/>
      <c r="AA7" s="3768"/>
      <c r="AB7" s="3768"/>
      <c r="AC7" s="3768"/>
    </row>
    <row r="8" spans="1:29" ht="15.75" thickBot="1">
      <c r="A8" s="515"/>
      <c r="B8" s="516"/>
      <c r="C8" s="3784" t="s">
        <v>2933</v>
      </c>
      <c r="D8" s="3785"/>
      <c r="E8" s="3803" t="s">
        <v>2933</v>
      </c>
      <c r="F8" s="3804"/>
      <c r="G8" s="3784" t="s">
        <v>2933</v>
      </c>
      <c r="H8" s="3785"/>
      <c r="I8" s="3784" t="s">
        <v>2933</v>
      </c>
      <c r="J8" s="3785"/>
      <c r="K8" s="512" t="s">
        <v>529</v>
      </c>
      <c r="L8" s="2125"/>
      <c r="M8" s="2126"/>
      <c r="N8" s="2126"/>
      <c r="O8" s="2126"/>
      <c r="P8" s="3776"/>
      <c r="Q8" s="3777"/>
      <c r="R8" s="3780"/>
      <c r="S8" s="3781"/>
      <c r="T8" s="3782"/>
      <c r="U8" s="3783"/>
      <c r="V8" s="3765"/>
      <c r="W8" s="3765"/>
      <c r="X8" s="1559"/>
      <c r="Y8" s="3782"/>
      <c r="Z8" s="3783"/>
      <c r="AA8" s="3769"/>
      <c r="AB8" s="3769"/>
      <c r="AC8" s="3769"/>
    </row>
    <row r="9" spans="1:29" s="1213" customFormat="1" ht="15.75" thickBot="1">
      <c r="A9" s="2928"/>
      <c r="B9" s="2935" t="s">
        <v>530</v>
      </c>
      <c r="C9" s="517">
        <f>'数据-取费表'!B2</f>
        <v>43923</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95" t="s">
        <v>531</v>
      </c>
      <c r="Q9" s="3797"/>
      <c r="R9" s="1560" t="s">
        <v>8</v>
      </c>
      <c r="S9" s="1561">
        <f t="shared" ref="S9:S17" si="0">F9</f>
        <v>0</v>
      </c>
      <c r="T9" s="1560" t="s">
        <v>8</v>
      </c>
      <c r="U9" s="1561">
        <f t="shared" ref="U9:U17" si="1">H9</f>
        <v>0</v>
      </c>
      <c r="V9" s="1560" t="s">
        <v>8</v>
      </c>
      <c r="W9" s="1561">
        <f t="shared" ref="W9:W17" si="2">J9</f>
        <v>0</v>
      </c>
      <c r="X9" s="1562"/>
      <c r="Y9" s="3795" t="s">
        <v>531</v>
      </c>
      <c r="Z9" s="3796"/>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95" t="s">
        <v>534</v>
      </c>
      <c r="Q10" s="3796"/>
      <c r="R10" s="1560" t="s">
        <v>8</v>
      </c>
      <c r="S10" s="1561">
        <f t="shared" si="0"/>
        <v>0</v>
      </c>
      <c r="T10" s="1560" t="s">
        <v>8</v>
      </c>
      <c r="U10" s="1561">
        <f t="shared" si="1"/>
        <v>0</v>
      </c>
      <c r="V10" s="1560" t="s">
        <v>8</v>
      </c>
      <c r="W10" s="1561">
        <f t="shared" si="2"/>
        <v>0</v>
      </c>
      <c r="X10" s="1562"/>
      <c r="Y10" s="3795" t="s">
        <v>534</v>
      </c>
      <c r="Z10" s="3796"/>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64" t="s">
        <v>536</v>
      </c>
      <c r="Q11" s="1144" t="str">
        <f t="shared" ref="Q11:Q17" si="6">B11</f>
        <v>用途</v>
      </c>
      <c r="R11" s="1560" t="s">
        <v>8</v>
      </c>
      <c r="S11" s="1561">
        <f t="shared" si="0"/>
        <v>100</v>
      </c>
      <c r="T11" s="1560" t="s">
        <v>8</v>
      </c>
      <c r="U11" s="1561">
        <f t="shared" si="1"/>
        <v>100</v>
      </c>
      <c r="V11" s="1560" t="s">
        <v>8</v>
      </c>
      <c r="W11" s="1561">
        <f t="shared" si="2"/>
        <v>100</v>
      </c>
      <c r="X11" s="1562"/>
      <c r="Y11" s="3710"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106</v>
      </c>
      <c r="G12" s="526"/>
      <c r="H12" s="253">
        <f>ROUND(100/'数据-取费表'!G16,0)</f>
        <v>106</v>
      </c>
      <c r="I12" s="526"/>
      <c r="J12" s="253">
        <f>ROUND(100/'数据-取费表'!G16,0)</f>
        <v>106</v>
      </c>
      <c r="K12" s="529"/>
      <c r="L12" s="2130"/>
      <c r="M12" s="2170"/>
      <c r="N12" s="2170"/>
      <c r="O12" s="2131"/>
      <c r="P12" s="3764"/>
      <c r="Q12" s="1144" t="str">
        <f t="shared" si="6"/>
        <v>土地使用年限（年）</v>
      </c>
      <c r="R12" s="1560" t="s">
        <v>8</v>
      </c>
      <c r="S12" s="1561">
        <f t="shared" si="0"/>
        <v>106</v>
      </c>
      <c r="T12" s="1560" t="s">
        <v>8</v>
      </c>
      <c r="U12" s="1561">
        <f t="shared" si="1"/>
        <v>106</v>
      </c>
      <c r="V12" s="1560" t="s">
        <v>8</v>
      </c>
      <c r="W12" s="1561">
        <f t="shared" si="2"/>
        <v>106</v>
      </c>
      <c r="X12" s="1562"/>
      <c r="Y12" s="3710"/>
      <c r="Z12" s="1143" t="str">
        <f t="shared" si="7"/>
        <v>土地使用年限（年）</v>
      </c>
      <c r="AA12" s="1563">
        <f t="shared" si="3"/>
        <v>0.94339622641509435</v>
      </c>
      <c r="AB12" s="1563">
        <f t="shared" si="4"/>
        <v>0.94339622641509435</v>
      </c>
      <c r="AC12" s="1563">
        <f t="shared" si="5"/>
        <v>0.94339622641509435</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64"/>
      <c r="Q13" s="1144" t="str">
        <f t="shared" si="6"/>
        <v>容积率</v>
      </c>
      <c r="R13" s="1560" t="s">
        <v>8</v>
      </c>
      <c r="S13" s="1561" t="e">
        <f t="shared" si="0"/>
        <v>#N/A</v>
      </c>
      <c r="T13" s="1560" t="s">
        <v>8</v>
      </c>
      <c r="U13" s="1561" t="e">
        <f t="shared" si="1"/>
        <v>#N/A</v>
      </c>
      <c r="V13" s="1560" t="s">
        <v>8</v>
      </c>
      <c r="W13" s="1561" t="e">
        <f t="shared" si="2"/>
        <v>#N/A</v>
      </c>
      <c r="X13" s="1562"/>
      <c r="Y13" s="3710"/>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64"/>
      <c r="Q14" s="1144">
        <f t="shared" si="6"/>
        <v>111</v>
      </c>
      <c r="R14" s="1560" t="s">
        <v>8</v>
      </c>
      <c r="S14" s="1561">
        <f t="shared" si="0"/>
        <v>100</v>
      </c>
      <c r="T14" s="1560" t="s">
        <v>8</v>
      </c>
      <c r="U14" s="1561">
        <f t="shared" si="1"/>
        <v>100</v>
      </c>
      <c r="V14" s="1560" t="s">
        <v>8</v>
      </c>
      <c r="W14" s="1561">
        <f t="shared" si="2"/>
        <v>100</v>
      </c>
      <c r="X14" s="1562"/>
      <c r="Y14" s="3710"/>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64"/>
      <c r="Q15" s="1144">
        <f t="shared" si="6"/>
        <v>111</v>
      </c>
      <c r="R15" s="1560" t="s">
        <v>8</v>
      </c>
      <c r="S15" s="1561">
        <f t="shared" si="0"/>
        <v>100</v>
      </c>
      <c r="T15" s="1560" t="s">
        <v>8</v>
      </c>
      <c r="U15" s="1561">
        <f t="shared" si="1"/>
        <v>100</v>
      </c>
      <c r="V15" s="1560" t="s">
        <v>8</v>
      </c>
      <c r="W15" s="1561">
        <f t="shared" si="2"/>
        <v>100</v>
      </c>
      <c r="X15" s="1562"/>
      <c r="Y15" s="3710"/>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64"/>
      <c r="Q16" s="1144">
        <f t="shared" si="6"/>
        <v>111</v>
      </c>
      <c r="R16" s="1560" t="s">
        <v>8</v>
      </c>
      <c r="S16" s="1561">
        <f t="shared" si="0"/>
        <v>100</v>
      </c>
      <c r="T16" s="1560" t="s">
        <v>8</v>
      </c>
      <c r="U16" s="1561">
        <f t="shared" si="1"/>
        <v>100</v>
      </c>
      <c r="V16" s="1560" t="s">
        <v>8</v>
      </c>
      <c r="W16" s="1561">
        <f t="shared" si="2"/>
        <v>100</v>
      </c>
      <c r="X16" s="1562"/>
      <c r="Y16" s="3710"/>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98" t="s">
        <v>541</v>
      </c>
      <c r="Q17" s="1564" t="str">
        <f t="shared" si="6"/>
        <v>产业集聚程度</v>
      </c>
      <c r="R17" s="1565" t="s">
        <v>8</v>
      </c>
      <c r="S17" s="1566">
        <f t="shared" si="0"/>
        <v>100</v>
      </c>
      <c r="T17" s="1565" t="s">
        <v>8</v>
      </c>
      <c r="U17" s="1566">
        <f t="shared" si="1"/>
        <v>100</v>
      </c>
      <c r="V17" s="1565" t="s">
        <v>8</v>
      </c>
      <c r="W17" s="1566">
        <f t="shared" si="2"/>
        <v>100</v>
      </c>
      <c r="X17" s="1559"/>
      <c r="Y17" s="3798"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99"/>
      <c r="Q18" s="1564"/>
      <c r="R18" s="1565"/>
      <c r="S18" s="1566"/>
      <c r="T18" s="1565"/>
      <c r="U18" s="1566"/>
      <c r="V18" s="1565"/>
      <c r="W18" s="1566"/>
      <c r="X18" s="1559"/>
      <c r="Y18" s="3799"/>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99"/>
      <c r="Q19" s="1564" t="str">
        <f>B19</f>
        <v>交通便捷度</v>
      </c>
      <c r="R19" s="1565" t="s">
        <v>8</v>
      </c>
      <c r="S19" s="1566">
        <f>F19</f>
        <v>100</v>
      </c>
      <c r="T19" s="1565" t="s">
        <v>8</v>
      </c>
      <c r="U19" s="1566">
        <f>H19</f>
        <v>100</v>
      </c>
      <c r="V19" s="1565" t="s">
        <v>8</v>
      </c>
      <c r="W19" s="1566">
        <f>J19</f>
        <v>100</v>
      </c>
      <c r="X19" s="1559"/>
      <c r="Y19" s="3799"/>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99"/>
      <c r="Q20" s="1564"/>
      <c r="R20" s="1565"/>
      <c r="S20" s="1566"/>
      <c r="T20" s="1565"/>
      <c r="U20" s="1566"/>
      <c r="V20" s="1565"/>
      <c r="W20" s="1566"/>
      <c r="X20" s="1559"/>
      <c r="Y20" s="3799"/>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99"/>
      <c r="Q21" s="1564" t="str">
        <f t="shared" ref="Q21:Q35" si="8">B21</f>
        <v>区域土地利用方向</v>
      </c>
      <c r="R21" s="1565" t="s">
        <v>8</v>
      </c>
      <c r="S21" s="1566">
        <f>F21</f>
        <v>100</v>
      </c>
      <c r="T21" s="1565" t="s">
        <v>8</v>
      </c>
      <c r="U21" s="1566">
        <f>H21</f>
        <v>100</v>
      </c>
      <c r="V21" s="1565" t="s">
        <v>8</v>
      </c>
      <c r="W21" s="1566">
        <f>J21</f>
        <v>100</v>
      </c>
      <c r="X21" s="1559"/>
      <c r="Y21" s="3799"/>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99"/>
      <c r="Q22" s="1564"/>
      <c r="R22" s="1565"/>
      <c r="S22" s="1566"/>
      <c r="T22" s="1565"/>
      <c r="U22" s="1566"/>
      <c r="V22" s="1565"/>
      <c r="W22" s="1566"/>
      <c r="X22" s="1559"/>
      <c r="Y22" s="3799"/>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99"/>
      <c r="Q23" s="1564" t="str">
        <f t="shared" si="8"/>
        <v>环境状况</v>
      </c>
      <c r="R23" s="1565" t="s">
        <v>8</v>
      </c>
      <c r="S23" s="1566">
        <f>F23</f>
        <v>100</v>
      </c>
      <c r="T23" s="1565" t="s">
        <v>8</v>
      </c>
      <c r="U23" s="1566">
        <f>H23</f>
        <v>100</v>
      </c>
      <c r="V23" s="1565" t="s">
        <v>8</v>
      </c>
      <c r="W23" s="1566">
        <f>J23</f>
        <v>100</v>
      </c>
      <c r="X23" s="1559"/>
      <c r="Y23" s="3799"/>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99"/>
      <c r="Q24" s="1564"/>
      <c r="R24" s="1565"/>
      <c r="S24" s="1566"/>
      <c r="T24" s="1565"/>
      <c r="U24" s="1566"/>
      <c r="V24" s="1565"/>
      <c r="W24" s="1566"/>
      <c r="X24" s="1559"/>
      <c r="Y24" s="3799"/>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99"/>
      <c r="Q25" s="1144" t="str">
        <f t="shared" si="8"/>
        <v>公共配套设施</v>
      </c>
      <c r="R25" s="1560" t="s">
        <v>8</v>
      </c>
      <c r="S25" s="1561">
        <f>F25</f>
        <v>100</v>
      </c>
      <c r="T25" s="1560" t="s">
        <v>8</v>
      </c>
      <c r="U25" s="1561">
        <f>H25</f>
        <v>100</v>
      </c>
      <c r="V25" s="1560" t="s">
        <v>8</v>
      </c>
      <c r="W25" s="1561">
        <f>J25</f>
        <v>100</v>
      </c>
      <c r="X25" s="1562"/>
      <c r="Y25" s="3799"/>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99"/>
      <c r="Q26" s="1144"/>
      <c r="R26" s="1560"/>
      <c r="S26" s="1561"/>
      <c r="T26" s="1560"/>
      <c r="U26" s="1561"/>
      <c r="V26" s="1560"/>
      <c r="W26" s="1561"/>
      <c r="X26" s="1562"/>
      <c r="Y26" s="3799"/>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99"/>
      <c r="Q27" s="2594" t="str">
        <f t="shared" ref="Q27" si="9">B27</f>
        <v>基础设施水平</v>
      </c>
      <c r="R27" s="1560" t="s">
        <v>8</v>
      </c>
      <c r="S27" s="1561">
        <f>F27</f>
        <v>100</v>
      </c>
      <c r="T27" s="1560" t="s">
        <v>8</v>
      </c>
      <c r="U27" s="1561">
        <f>H27</f>
        <v>100</v>
      </c>
      <c r="V27" s="1560" t="s">
        <v>8</v>
      </c>
      <c r="W27" s="1561">
        <f>J27</f>
        <v>100</v>
      </c>
      <c r="X27" s="1562"/>
      <c r="Y27" s="3799"/>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99"/>
      <c r="Q28" s="2594"/>
      <c r="R28" s="1560"/>
      <c r="S28" s="1561"/>
      <c r="T28" s="1560"/>
      <c r="U28" s="1561"/>
      <c r="V28" s="1560"/>
      <c r="W28" s="1561"/>
      <c r="X28" s="1562"/>
      <c r="Y28" s="3799"/>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99"/>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99"/>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99"/>
      <c r="Q30" s="1564" t="str">
        <f t="shared" si="8"/>
        <v>毗邻道路的类型与等级</v>
      </c>
      <c r="R30" s="1565" t="s">
        <v>8</v>
      </c>
      <c r="S30" s="1566">
        <f t="shared" si="10"/>
        <v>100</v>
      </c>
      <c r="T30" s="1565" t="s">
        <v>8</v>
      </c>
      <c r="U30" s="1566">
        <f t="shared" si="11"/>
        <v>100</v>
      </c>
      <c r="V30" s="1565" t="s">
        <v>8</v>
      </c>
      <c r="W30" s="1566">
        <f t="shared" si="12"/>
        <v>100</v>
      </c>
      <c r="X30" s="1559"/>
      <c r="Y30" s="3799"/>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99"/>
      <c r="Q31" s="1564"/>
      <c r="R31" s="1565"/>
      <c r="S31" s="1566"/>
      <c r="T31" s="1565"/>
      <c r="U31" s="1566"/>
      <c r="V31" s="1565"/>
      <c r="W31" s="1566"/>
      <c r="X31" s="1559"/>
      <c r="Y31" s="3799"/>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99"/>
      <c r="Q32" s="1564" t="str">
        <f t="shared" si="8"/>
        <v>土地级别</v>
      </c>
      <c r="R32" s="1565" t="s">
        <v>8</v>
      </c>
      <c r="S32" s="1566">
        <f t="shared" si="10"/>
        <v>100</v>
      </c>
      <c r="T32" s="1565" t="s">
        <v>8</v>
      </c>
      <c r="U32" s="1566">
        <f t="shared" si="11"/>
        <v>100</v>
      </c>
      <c r="V32" s="1565" t="s">
        <v>8</v>
      </c>
      <c r="W32" s="1566">
        <f t="shared" si="12"/>
        <v>100</v>
      </c>
      <c r="X32" s="1559"/>
      <c r="Y32" s="3799"/>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99"/>
      <c r="Q33" s="1564">
        <f t="shared" si="8"/>
        <v>111</v>
      </c>
      <c r="R33" s="1565" t="s">
        <v>8</v>
      </c>
      <c r="S33" s="1566">
        <f t="shared" si="10"/>
        <v>100</v>
      </c>
      <c r="T33" s="1565" t="s">
        <v>8</v>
      </c>
      <c r="U33" s="1566">
        <f t="shared" si="11"/>
        <v>100</v>
      </c>
      <c r="V33" s="1565" t="s">
        <v>8</v>
      </c>
      <c r="W33" s="1566">
        <f t="shared" si="12"/>
        <v>100</v>
      </c>
      <c r="X33" s="1559"/>
      <c r="Y33" s="3799"/>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800" t="s">
        <v>551</v>
      </c>
      <c r="Q34" s="1564">
        <f t="shared" si="8"/>
        <v>111</v>
      </c>
      <c r="R34" s="1565" t="s">
        <v>8</v>
      </c>
      <c r="S34" s="1566">
        <f t="shared" si="10"/>
        <v>100</v>
      </c>
      <c r="T34" s="1565" t="s">
        <v>8</v>
      </c>
      <c r="U34" s="1566">
        <f t="shared" si="11"/>
        <v>100</v>
      </c>
      <c r="V34" s="1565" t="s">
        <v>8</v>
      </c>
      <c r="W34" s="1566">
        <f t="shared" si="12"/>
        <v>100</v>
      </c>
      <c r="X34" s="1559"/>
      <c r="Y34" s="3801"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801"/>
      <c r="Q35" s="1564">
        <f t="shared" si="8"/>
        <v>111</v>
      </c>
      <c r="R35" s="1569" t="s">
        <v>8</v>
      </c>
      <c r="S35" s="1570">
        <f t="shared" si="10"/>
        <v>100</v>
      </c>
      <c r="T35" s="1569" t="s">
        <v>8</v>
      </c>
      <c r="U35" s="1570">
        <f t="shared" si="11"/>
        <v>100</v>
      </c>
      <c r="V35" s="1569" t="s">
        <v>8</v>
      </c>
      <c r="W35" s="1570">
        <f t="shared" si="12"/>
        <v>100</v>
      </c>
      <c r="X35" s="1571"/>
      <c r="Y35" s="3801"/>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801"/>
      <c r="Q36" s="1564" t="str">
        <f>B36</f>
        <v>宗地面积</v>
      </c>
      <c r="R36" s="1565" t="s">
        <v>8</v>
      </c>
      <c r="S36" s="1566" t="e">
        <f t="shared" si="10"/>
        <v>#N/A</v>
      </c>
      <c r="T36" s="1565" t="s">
        <v>8</v>
      </c>
      <c r="U36" s="1566" t="e">
        <f t="shared" si="11"/>
        <v>#N/A</v>
      </c>
      <c r="V36" s="1565" t="s">
        <v>8</v>
      </c>
      <c r="W36" s="1566" t="e">
        <f t="shared" si="12"/>
        <v>#N/A</v>
      </c>
      <c r="X36" s="1559"/>
      <c r="Y36" s="3801"/>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801"/>
      <c r="Q37" s="1564" t="str">
        <f t="shared" ref="Q37:Q42" si="14">B37</f>
        <v>宗地形状</v>
      </c>
      <c r="R37" s="1565" t="s">
        <v>8</v>
      </c>
      <c r="S37" s="1566">
        <f t="shared" si="10"/>
        <v>100</v>
      </c>
      <c r="T37" s="1565" t="s">
        <v>8</v>
      </c>
      <c r="U37" s="1566">
        <f t="shared" si="11"/>
        <v>100</v>
      </c>
      <c r="V37" s="1565" t="s">
        <v>8</v>
      </c>
      <c r="W37" s="1566">
        <f t="shared" si="12"/>
        <v>100</v>
      </c>
      <c r="X37" s="1559"/>
      <c r="Y37" s="3801"/>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801"/>
      <c r="Q38" s="1564" t="str">
        <f t="shared" si="14"/>
        <v>宗地开发程度</v>
      </c>
      <c r="R38" s="1560" t="s">
        <v>8</v>
      </c>
      <c r="S38" s="1561">
        <f t="shared" si="10"/>
        <v>100</v>
      </c>
      <c r="T38" s="1560" t="s">
        <v>8</v>
      </c>
      <c r="U38" s="1561">
        <f t="shared" si="11"/>
        <v>100</v>
      </c>
      <c r="V38" s="1560" t="s">
        <v>8</v>
      </c>
      <c r="W38" s="1561">
        <f t="shared" si="12"/>
        <v>100</v>
      </c>
      <c r="X38" s="1562"/>
      <c r="Y38" s="3801"/>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1" t="s">
        <v>602</v>
      </c>
      <c r="Q39" s="1564" t="str">
        <f t="shared" si="14"/>
        <v>工程地质条件</v>
      </c>
      <c r="R39" s="1565" t="s">
        <v>8</v>
      </c>
      <c r="S39" s="1566">
        <f t="shared" si="10"/>
        <v>100</v>
      </c>
      <c r="T39" s="1565" t="s">
        <v>8</v>
      </c>
      <c r="U39" s="1566">
        <f t="shared" si="11"/>
        <v>100</v>
      </c>
      <c r="V39" s="1565" t="s">
        <v>8</v>
      </c>
      <c r="W39" s="1566">
        <f t="shared" si="12"/>
        <v>100</v>
      </c>
      <c r="X39" s="1559"/>
      <c r="Y39" s="3801"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801"/>
      <c r="Q40" s="1564">
        <f t="shared" si="14"/>
        <v>111</v>
      </c>
      <c r="R40" s="1565" t="s">
        <v>8</v>
      </c>
      <c r="S40" s="1566">
        <f t="shared" si="10"/>
        <v>100</v>
      </c>
      <c r="T40" s="1565" t="s">
        <v>8</v>
      </c>
      <c r="U40" s="1566">
        <f t="shared" si="11"/>
        <v>100</v>
      </c>
      <c r="V40" s="1565" t="s">
        <v>8</v>
      </c>
      <c r="W40" s="1566">
        <f t="shared" si="12"/>
        <v>100</v>
      </c>
      <c r="X40" s="1559"/>
      <c r="Y40" s="3801"/>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801"/>
      <c r="Q41" s="1564">
        <f t="shared" si="14"/>
        <v>111</v>
      </c>
      <c r="R41" s="1565" t="s">
        <v>8</v>
      </c>
      <c r="S41" s="1566">
        <f t="shared" si="10"/>
        <v>100</v>
      </c>
      <c r="T41" s="1565" t="s">
        <v>8</v>
      </c>
      <c r="U41" s="1566">
        <f t="shared" si="11"/>
        <v>100</v>
      </c>
      <c r="V41" s="1565" t="s">
        <v>8</v>
      </c>
      <c r="W41" s="1566">
        <f t="shared" si="12"/>
        <v>100</v>
      </c>
      <c r="X41" s="1559"/>
      <c r="Y41" s="3801"/>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801"/>
      <c r="Q42" s="1564">
        <f t="shared" si="14"/>
        <v>111</v>
      </c>
      <c r="R42" s="1569" t="s">
        <v>8</v>
      </c>
      <c r="S42" s="1570">
        <f t="shared" si="10"/>
        <v>100</v>
      </c>
      <c r="T42" s="1569" t="s">
        <v>8</v>
      </c>
      <c r="U42" s="1570">
        <f t="shared" si="11"/>
        <v>100</v>
      </c>
      <c r="V42" s="1569" t="s">
        <v>8</v>
      </c>
      <c r="W42" s="1570">
        <f t="shared" si="12"/>
        <v>100</v>
      </c>
      <c r="X42" s="1571"/>
      <c r="Y42" s="3801"/>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64" t="str">
        <f>A43</f>
        <v>成交单价</v>
      </c>
      <c r="Q43" s="3764"/>
      <c r="R43" s="3765">
        <f>E43</f>
        <v>0</v>
      </c>
      <c r="S43" s="3765"/>
      <c r="T43" s="3765">
        <f>G43</f>
        <v>0</v>
      </c>
      <c r="U43" s="3765"/>
      <c r="V43" s="3765">
        <f>I43</f>
        <v>0</v>
      </c>
      <c r="W43" s="3765"/>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64" t="str">
        <f>A44</f>
        <v>比较价格（元/平方米）</v>
      </c>
      <c r="Q44" s="3764"/>
      <c r="R44" s="3766" t="e">
        <f>ROUND(PRODUCT(R43,AA9:AA42),0)</f>
        <v>#DIV/0!</v>
      </c>
      <c r="S44" s="3766"/>
      <c r="T44" s="3766" t="e">
        <f>ROUND(PRODUCT(T43,AB9:AB42),0)</f>
        <v>#DIV/0!</v>
      </c>
      <c r="U44" s="3766"/>
      <c r="V44" s="3766" t="e">
        <f>ROUND(PRODUCT(V43,AC9:AC42),0)</f>
        <v>#DIV/0!</v>
      </c>
      <c r="W44" s="3766"/>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61" t="str">
        <f>A45</f>
        <v>估价对象XX用房的比较价格（楼面单价，元/平方米）</v>
      </c>
      <c r="Q45" s="3762"/>
      <c r="R45" s="3763" t="e">
        <f>ROUND(AVERAGE(R44:V44),0)</f>
        <v>#DIV/0!</v>
      </c>
      <c r="S45" s="3763"/>
      <c r="T45" s="3763"/>
      <c r="U45" s="3763"/>
      <c r="V45" s="3763"/>
      <c r="W45" s="3763"/>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809" t="s">
        <v>2285</v>
      </c>
      <c r="H52" s="3810"/>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811"/>
      <c r="H53" s="3812"/>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813"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813"/>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813"/>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813"/>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2020-4-1</v>
      </c>
      <c r="D65" s="2816">
        <f>EDATE(C65,-3)</f>
        <v>43831</v>
      </c>
      <c r="E65" s="2816">
        <f t="shared" ref="E65:N65" si="18">EDATE(D65,-3)</f>
        <v>43739</v>
      </c>
      <c r="F65" s="2816">
        <f t="shared" si="18"/>
        <v>43647</v>
      </c>
      <c r="G65" s="2816">
        <f t="shared" si="18"/>
        <v>43556</v>
      </c>
      <c r="H65" s="2816">
        <f t="shared" si="18"/>
        <v>43466</v>
      </c>
      <c r="I65" s="2816">
        <f t="shared" si="18"/>
        <v>43374</v>
      </c>
      <c r="J65" s="2816">
        <f t="shared" si="18"/>
        <v>43282</v>
      </c>
      <c r="K65" s="2816">
        <f t="shared" si="18"/>
        <v>43191</v>
      </c>
      <c r="L65" s="2816">
        <f t="shared" si="18"/>
        <v>43101</v>
      </c>
      <c r="M65" s="2816">
        <f t="shared" si="18"/>
        <v>43009</v>
      </c>
      <c r="N65" s="2816">
        <f t="shared" si="18"/>
        <v>42917</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2020-2</v>
      </c>
      <c r="D67" s="2818" t="str">
        <f t="shared" ref="D67:N67" si="19">YEAR(D65)&amp;"-"&amp;ROUNDUP(MONTH(D65)/3,0)</f>
        <v>2020-1</v>
      </c>
      <c r="E67" s="2818" t="str">
        <f t="shared" si="19"/>
        <v>2019-4</v>
      </c>
      <c r="F67" s="2818" t="str">
        <f t="shared" si="19"/>
        <v>2019-3</v>
      </c>
      <c r="G67" s="2818" t="str">
        <f t="shared" si="19"/>
        <v>2019-2</v>
      </c>
      <c r="H67" s="2818" t="str">
        <f t="shared" si="19"/>
        <v>2019-1</v>
      </c>
      <c r="I67" s="2818" t="str">
        <f t="shared" si="19"/>
        <v>2018-4</v>
      </c>
      <c r="J67" s="2818" t="str">
        <f t="shared" si="19"/>
        <v>2018-3</v>
      </c>
      <c r="K67" s="2818" t="str">
        <f t="shared" si="19"/>
        <v>2018-2</v>
      </c>
      <c r="L67" s="2818" t="str">
        <f t="shared" si="19"/>
        <v>2018-1</v>
      </c>
      <c r="M67" s="2818" t="str">
        <f t="shared" si="19"/>
        <v>2017-4</v>
      </c>
      <c r="N67" s="2818" t="str">
        <f t="shared" si="19"/>
        <v>2017-3</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3441</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23"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824"/>
      <c r="B8" s="1406" t="s">
        <v>934</v>
      </c>
      <c r="C8" s="1521" t="s">
        <v>3442</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15" t="s">
        <v>2787</v>
      </c>
      <c r="X8" s="3816"/>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24"/>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14"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24"/>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1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24"/>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14"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823"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14"/>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25"/>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14"/>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25"/>
      <c r="B14" s="1443"/>
      <c r="C14" s="1444" t="s">
        <v>3443</v>
      </c>
      <c r="D14" s="1445" t="s">
        <v>3443</v>
      </c>
      <c r="E14" s="1445" t="s">
        <v>3443</v>
      </c>
      <c r="F14" s="1446" t="s">
        <v>3444</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26"/>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23" t="s">
        <v>1837</v>
      </c>
      <c r="B16" s="1419" t="s">
        <v>950</v>
      </c>
      <c r="C16" s="1047" t="e">
        <f>ROUND(SUM(G17:J17)/C17,0)</f>
        <v>#DIV/0!</v>
      </c>
      <c r="D16" s="1452" t="s">
        <v>951</v>
      </c>
      <c r="E16" s="1453" t="s">
        <v>3445</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824"/>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43923</v>
      </c>
      <c r="H19" s="1467" t="s">
        <v>2937</v>
      </c>
      <c r="I19" s="2801" t="str">
        <f>IF(H19="季度增幅（自定义）",SUMIF(N21:N24,E2,O21:O24),"")</f>
        <v/>
      </c>
      <c r="J19" s="1463"/>
      <c r="K19" s="1473"/>
      <c r="L19" s="3055" t="s">
        <v>2845</v>
      </c>
      <c r="M19" s="3056">
        <f>ROUND(SUMIF(地价!B2:F2,E2,地价!B21:F21),0)</f>
        <v>230</v>
      </c>
      <c r="N19" s="2803" t="s">
        <v>1677</v>
      </c>
      <c r="O19" s="2802">
        <f>ROUNDDOWN(DATEDIF(E19,G19,"M")/3,0)</f>
        <v>25</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29"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30"/>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30"/>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31"/>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27" t="s">
        <v>1634</v>
      </c>
      <c r="B90" s="3827"/>
      <c r="C90" s="3827"/>
      <c r="D90" s="3827"/>
      <c r="E90" s="3827"/>
      <c r="F90" s="3827"/>
      <c r="G90" s="3827"/>
      <c r="H90" s="3827"/>
      <c r="I90" s="3827"/>
      <c r="J90" s="3827"/>
      <c r="K90" s="2466"/>
      <c r="L90" s="2466"/>
      <c r="M90" s="2466"/>
      <c r="N90" s="2466"/>
    </row>
    <row r="91" spans="1:40">
      <c r="A91" s="3828" t="s">
        <v>1444</v>
      </c>
      <c r="B91" s="3828" t="s">
        <v>1635</v>
      </c>
      <c r="C91" s="1133" t="s">
        <v>1636</v>
      </c>
      <c r="D91" s="1134"/>
      <c r="E91" s="1134"/>
      <c r="F91" s="1134"/>
      <c r="G91" s="1134"/>
      <c r="H91" s="1134"/>
      <c r="I91" s="1134"/>
      <c r="J91" s="1135"/>
      <c r="K91" s="1127"/>
      <c r="L91" s="1127"/>
      <c r="M91" s="1127"/>
      <c r="N91" s="1127"/>
    </row>
    <row r="92" spans="1:40">
      <c r="A92" s="3828"/>
      <c r="B92" s="3828"/>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17"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1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1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1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1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1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18"/>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19"/>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17"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18"/>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18"/>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18"/>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18"/>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18"/>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18"/>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18"/>
      <c r="B108" s="3820"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19"/>
      <c r="B109" s="3821"/>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22" t="s">
        <v>1640</v>
      </c>
      <c r="B110" s="3822"/>
      <c r="C110" s="3822"/>
      <c r="D110" s="3822"/>
      <c r="E110" s="3822"/>
      <c r="F110" s="3822"/>
      <c r="G110" s="3822"/>
      <c r="H110" s="3822"/>
      <c r="I110" s="3822"/>
      <c r="J110" s="3822"/>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28" t="s">
        <v>1008</v>
      </c>
      <c r="B18" s="1147" t="s">
        <v>1447</v>
      </c>
      <c r="C18" s="1124" t="s">
        <v>1448</v>
      </c>
      <c r="D18" s="1125"/>
      <c r="E18" s="1147">
        <v>1</v>
      </c>
      <c r="F18" s="1126" t="s">
        <v>1449</v>
      </c>
      <c r="G18" s="1127"/>
      <c r="H18" s="1098"/>
      <c r="I18" s="1098"/>
    </row>
    <row r="19" spans="1:9" s="1591" customFormat="1" ht="19.5" customHeight="1">
      <c r="A19" s="3828"/>
      <c r="B19" s="3828" t="s">
        <v>1450</v>
      </c>
      <c r="C19" s="1124" t="s">
        <v>1451</v>
      </c>
      <c r="D19" s="1125"/>
      <c r="E19" s="1147">
        <v>0.9</v>
      </c>
      <c r="F19" s="1126" t="s">
        <v>1452</v>
      </c>
      <c r="G19" s="1127"/>
      <c r="H19" s="1098"/>
      <c r="I19" s="1098"/>
    </row>
    <row r="20" spans="1:9" s="1591" customFormat="1" ht="19.5" customHeight="1">
      <c r="A20" s="3828"/>
      <c r="B20" s="3828"/>
      <c r="C20" s="1124" t="s">
        <v>1453</v>
      </c>
      <c r="D20" s="1125"/>
      <c r="E20" s="1147">
        <v>1.1000000000000001</v>
      </c>
      <c r="F20" s="1126" t="s">
        <v>1454</v>
      </c>
      <c r="G20" s="1127"/>
      <c r="H20" s="1098"/>
      <c r="I20" s="1098"/>
    </row>
    <row r="21" spans="1:9" s="1591" customFormat="1" ht="19.5" customHeight="1">
      <c r="A21" s="3828"/>
      <c r="B21" s="3828"/>
      <c r="C21" s="1124" t="s">
        <v>1455</v>
      </c>
      <c r="D21" s="1125"/>
      <c r="E21" s="1147">
        <v>0.8</v>
      </c>
      <c r="F21" s="1126" t="s">
        <v>1456</v>
      </c>
      <c r="G21" s="1127"/>
      <c r="H21" s="1098"/>
      <c r="I21" s="1098"/>
    </row>
    <row r="22" spans="1:9" s="1591" customFormat="1" ht="19.5" customHeight="1">
      <c r="A22" s="3828"/>
      <c r="B22" s="3828"/>
      <c r="C22" s="1124" t="s">
        <v>1457</v>
      </c>
      <c r="D22" s="1125"/>
      <c r="E22" s="1147">
        <v>0.5</v>
      </c>
      <c r="F22" s="1126"/>
      <c r="G22" s="1127"/>
      <c r="H22" s="1098"/>
      <c r="I22" s="1098"/>
    </row>
    <row r="23" spans="1:9" s="1591" customFormat="1" ht="19.5" customHeight="1">
      <c r="A23" s="3828" t="s">
        <v>1030</v>
      </c>
      <c r="B23" s="1147" t="s">
        <v>1447</v>
      </c>
      <c r="C23" s="1124" t="s">
        <v>1458</v>
      </c>
      <c r="D23" s="1125"/>
      <c r="E23" s="1147">
        <v>1</v>
      </c>
      <c r="F23" s="1126" t="s">
        <v>1459</v>
      </c>
      <c r="G23" s="1127"/>
      <c r="H23" s="1098"/>
      <c r="I23" s="1098"/>
    </row>
    <row r="24" spans="1:9" s="1591" customFormat="1" ht="19.5" customHeight="1">
      <c r="A24" s="3828"/>
      <c r="B24" s="3828" t="s">
        <v>1450</v>
      </c>
      <c r="C24" s="1124" t="s">
        <v>1460</v>
      </c>
      <c r="D24" s="1125"/>
      <c r="E24" s="1147">
        <v>0.5</v>
      </c>
      <c r="F24" s="1126"/>
      <c r="G24" s="1127"/>
      <c r="H24" s="1098"/>
      <c r="I24" s="1098"/>
    </row>
    <row r="25" spans="1:9" s="1591" customFormat="1" ht="19.5" customHeight="1">
      <c r="A25" s="3828"/>
      <c r="B25" s="3828"/>
      <c r="C25" s="1124" t="s">
        <v>1461</v>
      </c>
      <c r="D25" s="1125"/>
      <c r="E25" s="1147">
        <v>1.1000000000000001</v>
      </c>
      <c r="F25" s="1126"/>
      <c r="G25" s="1127"/>
      <c r="H25" s="1098"/>
      <c r="I25" s="1098"/>
    </row>
    <row r="26" spans="1:9" s="1591" customFormat="1" ht="19.5" customHeight="1">
      <c r="A26" s="3828"/>
      <c r="B26" s="3828"/>
      <c r="C26" s="1124" t="s">
        <v>1462</v>
      </c>
      <c r="D26" s="1125"/>
      <c r="E26" s="1147">
        <v>1.1000000000000001</v>
      </c>
      <c r="F26" s="1126"/>
      <c r="G26" s="1127"/>
      <c r="H26" s="1098"/>
      <c r="I26" s="1098"/>
    </row>
    <row r="27" spans="1:9" s="1591" customFormat="1" ht="19.5" customHeight="1">
      <c r="A27" s="3828"/>
      <c r="B27" s="3828"/>
      <c r="C27" s="1124" t="s">
        <v>1463</v>
      </c>
      <c r="D27" s="1125"/>
      <c r="E27" s="1147">
        <v>0.9</v>
      </c>
      <c r="F27" s="1126" t="s">
        <v>1464</v>
      </c>
      <c r="G27" s="1127"/>
      <c r="H27" s="1098"/>
      <c r="I27" s="1098"/>
    </row>
    <row r="28" spans="1:9" s="1591" customFormat="1" ht="19.5" customHeight="1">
      <c r="A28" s="3828"/>
      <c r="B28" s="3828"/>
      <c r="C28" s="1124" t="s">
        <v>1465</v>
      </c>
      <c r="D28" s="1125"/>
      <c r="E28" s="1147">
        <v>0.9</v>
      </c>
      <c r="F28" s="1126" t="s">
        <v>1466</v>
      </c>
      <c r="G28" s="1127"/>
      <c r="H28" s="1098"/>
      <c r="I28" s="1098"/>
    </row>
    <row r="29" spans="1:9" s="1591" customFormat="1" ht="19.5" customHeight="1">
      <c r="A29" s="3828"/>
      <c r="B29" s="3828"/>
      <c r="C29" s="1124" t="s">
        <v>1467</v>
      </c>
      <c r="D29" s="1125"/>
      <c r="E29" s="1147">
        <v>0.9</v>
      </c>
      <c r="F29" s="1126" t="s">
        <v>1468</v>
      </c>
      <c r="G29" s="1127"/>
      <c r="H29" s="1098"/>
      <c r="I29" s="1098"/>
    </row>
    <row r="30" spans="1:9" s="1591" customFormat="1" ht="19.5" customHeight="1">
      <c r="A30" s="3828"/>
      <c r="B30" s="3828"/>
      <c r="C30" s="1124" t="s">
        <v>1469</v>
      </c>
      <c r="D30" s="1125"/>
      <c r="E30" s="1147">
        <v>0.9</v>
      </c>
      <c r="F30" s="1126" t="s">
        <v>1470</v>
      </c>
      <c r="G30" s="1127"/>
      <c r="H30" s="1098"/>
      <c r="I30" s="1098"/>
    </row>
    <row r="31" spans="1:9" s="1591" customFormat="1" ht="19.5" customHeight="1">
      <c r="A31" s="3828"/>
      <c r="B31" s="3828"/>
      <c r="C31" s="1124" t="s">
        <v>1471</v>
      </c>
      <c r="D31" s="1125"/>
      <c r="E31" s="1147">
        <v>0.8</v>
      </c>
      <c r="F31" s="1126" t="s">
        <v>1472</v>
      </c>
      <c r="G31" s="1127"/>
      <c r="H31" s="1098"/>
      <c r="I31" s="1098"/>
    </row>
    <row r="32" spans="1:9" s="1591" customFormat="1" ht="19.5" customHeight="1">
      <c r="A32" s="3828"/>
      <c r="B32" s="3828"/>
      <c r="C32" s="1124" t="s">
        <v>1473</v>
      </c>
      <c r="D32" s="1125"/>
      <c r="E32" s="1147">
        <v>0.8</v>
      </c>
      <c r="F32" s="1126" t="s">
        <v>1474</v>
      </c>
      <c r="G32" s="1127"/>
      <c r="H32" s="1098"/>
      <c r="I32" s="1098"/>
    </row>
    <row r="33" spans="1:9" s="1591" customFormat="1" ht="19.5" customHeight="1">
      <c r="A33" s="3828" t="s">
        <v>1475</v>
      </c>
      <c r="B33" s="1147" t="s">
        <v>1447</v>
      </c>
      <c r="C33" s="1124" t="s">
        <v>1476</v>
      </c>
      <c r="D33" s="1125"/>
      <c r="E33" s="1147">
        <v>1</v>
      </c>
      <c r="F33" s="1126" t="s">
        <v>1477</v>
      </c>
      <c r="G33" s="1127"/>
      <c r="H33" s="1098"/>
      <c r="I33" s="1098"/>
    </row>
    <row r="34" spans="1:9" s="1591" customFormat="1" ht="19.5" customHeight="1">
      <c r="A34" s="3828"/>
      <c r="B34" s="1147" t="s">
        <v>1450</v>
      </c>
      <c r="C34" s="1124" t="s">
        <v>1478</v>
      </c>
      <c r="D34" s="1125"/>
      <c r="E34" s="1147">
        <v>1.5</v>
      </c>
      <c r="F34" s="1126" t="s">
        <v>1479</v>
      </c>
      <c r="G34" s="1127"/>
      <c r="H34" s="1098"/>
      <c r="I34" s="1098"/>
    </row>
    <row r="35" spans="1:9" s="1591" customFormat="1" ht="19.5" customHeight="1">
      <c r="A35" s="3828" t="s">
        <v>1433</v>
      </c>
      <c r="B35" s="1147" t="s">
        <v>1447</v>
      </c>
      <c r="C35" s="1124" t="s">
        <v>1480</v>
      </c>
      <c r="D35" s="1125"/>
      <c r="E35" s="1147">
        <v>1</v>
      </c>
      <c r="F35" s="1126" t="s">
        <v>1481</v>
      </c>
      <c r="G35" s="1127"/>
      <c r="H35" s="1098"/>
      <c r="I35" s="1098"/>
    </row>
    <row r="36" spans="1:9" s="1591" customFormat="1" ht="19.5" customHeight="1">
      <c r="A36" s="3828"/>
      <c r="B36" s="3828" t="s">
        <v>1450</v>
      </c>
      <c r="C36" s="1124" t="s">
        <v>1482</v>
      </c>
      <c r="D36" s="1125"/>
      <c r="E36" s="1147">
        <v>1</v>
      </c>
      <c r="F36" s="1126" t="s">
        <v>1483</v>
      </c>
      <c r="G36" s="1127"/>
      <c r="H36" s="1098"/>
      <c r="I36" s="1098"/>
    </row>
    <row r="37" spans="1:9" s="1591" customFormat="1" ht="19.5" customHeight="1">
      <c r="A37" s="3828"/>
      <c r="B37" s="3828"/>
      <c r="C37" s="1124" t="s">
        <v>1484</v>
      </c>
      <c r="D37" s="1125"/>
      <c r="E37" s="1147">
        <v>1.5</v>
      </c>
      <c r="F37" s="1126" t="s">
        <v>1485</v>
      </c>
      <c r="G37" s="1127"/>
      <c r="H37" s="1098"/>
      <c r="I37" s="1098"/>
    </row>
    <row r="38" spans="1:9" s="1591" customFormat="1" ht="19.5" customHeight="1">
      <c r="A38" s="3828"/>
      <c r="B38" s="3828"/>
      <c r="C38" s="1124" t="s">
        <v>1486</v>
      </c>
      <c r="D38" s="1125"/>
      <c r="E38" s="1147">
        <v>1</v>
      </c>
      <c r="F38" s="1126" t="s">
        <v>1487</v>
      </c>
      <c r="G38" s="1127"/>
      <c r="H38" s="1098"/>
      <c r="I38" s="1098"/>
    </row>
    <row r="39" spans="1:9" s="1591" customFormat="1" ht="19.5" customHeight="1">
      <c r="A39" s="3828"/>
      <c r="B39" s="3828"/>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28" t="s">
        <v>1502</v>
      </c>
      <c r="C61" s="1061" t="s">
        <v>1503</v>
      </c>
      <c r="D61" s="1061" t="s">
        <v>1504</v>
      </c>
      <c r="E61" s="1132">
        <v>0.5</v>
      </c>
      <c r="F61" s="1147">
        <v>80</v>
      </c>
      <c r="H61" s="1098">
        <f>SUMIF(C59:C119,基准地价!C8,E59:E119)</f>
        <v>0</v>
      </c>
    </row>
    <row r="62" spans="1:8" s="1098" customFormat="1" ht="24">
      <c r="A62" s="1147">
        <v>2</v>
      </c>
      <c r="B62" s="3828"/>
      <c r="C62" s="1061" t="s">
        <v>1505</v>
      </c>
      <c r="D62" s="1061" t="s">
        <v>1506</v>
      </c>
      <c r="E62" s="1132">
        <v>0.5</v>
      </c>
      <c r="F62" s="1147">
        <v>80</v>
      </c>
    </row>
    <row r="63" spans="1:8" s="1098" customFormat="1" ht="36">
      <c r="A63" s="1147">
        <v>3</v>
      </c>
      <c r="B63" s="3828"/>
      <c r="C63" s="1061" t="s">
        <v>1507</v>
      </c>
      <c r="D63" s="1061" t="s">
        <v>1508</v>
      </c>
      <c r="E63" s="1132">
        <v>0.5</v>
      </c>
      <c r="F63" s="1147">
        <v>80</v>
      </c>
    </row>
    <row r="64" spans="1:8" s="1098" customFormat="1" ht="36">
      <c r="A64" s="1147">
        <v>4</v>
      </c>
      <c r="B64" s="3828"/>
      <c r="C64" s="1061" t="s">
        <v>1509</v>
      </c>
      <c r="D64" s="1061" t="s">
        <v>1510</v>
      </c>
      <c r="E64" s="1132">
        <v>0.4</v>
      </c>
      <c r="F64" s="1147">
        <v>60</v>
      </c>
    </row>
    <row r="65" spans="1:6" s="1098" customFormat="1" ht="36">
      <c r="A65" s="1147">
        <v>5</v>
      </c>
      <c r="B65" s="3828"/>
      <c r="C65" s="1061" t="s">
        <v>1511</v>
      </c>
      <c r="D65" s="1061" t="s">
        <v>1512</v>
      </c>
      <c r="E65" s="1132">
        <v>0.2</v>
      </c>
      <c r="F65" s="1147">
        <v>30</v>
      </c>
    </row>
    <row r="66" spans="1:6" s="1098" customFormat="1" ht="36">
      <c r="A66" s="1147">
        <v>6</v>
      </c>
      <c r="B66" s="3828"/>
      <c r="C66" s="1061" t="s">
        <v>1513</v>
      </c>
      <c r="D66" s="1061" t="s">
        <v>1514</v>
      </c>
      <c r="E66" s="1132">
        <v>0.3</v>
      </c>
      <c r="F66" s="1147">
        <v>50</v>
      </c>
    </row>
    <row r="67" spans="1:6" s="1098" customFormat="1" ht="36">
      <c r="A67" s="1147">
        <v>7</v>
      </c>
      <c r="B67" s="3828"/>
      <c r="C67" s="1061" t="s">
        <v>1515</v>
      </c>
      <c r="D67" s="1061" t="s">
        <v>1516</v>
      </c>
      <c r="E67" s="1132">
        <v>0.2</v>
      </c>
      <c r="F67" s="1147">
        <v>30</v>
      </c>
    </row>
    <row r="68" spans="1:6" s="1098" customFormat="1" ht="36">
      <c r="A68" s="1147">
        <v>8</v>
      </c>
      <c r="B68" s="3828"/>
      <c r="C68" s="1061" t="s">
        <v>1517</v>
      </c>
      <c r="D68" s="1061" t="s">
        <v>1518</v>
      </c>
      <c r="E68" s="1132">
        <v>0.2</v>
      </c>
      <c r="F68" s="1147">
        <v>30</v>
      </c>
    </row>
    <row r="69" spans="1:6" s="1098" customFormat="1" ht="36">
      <c r="A69" s="1147">
        <v>9</v>
      </c>
      <c r="B69" s="3828"/>
      <c r="C69" s="1061" t="s">
        <v>1519</v>
      </c>
      <c r="D69" s="1061" t="s">
        <v>1520</v>
      </c>
      <c r="E69" s="1132">
        <v>0.2</v>
      </c>
      <c r="F69" s="1147">
        <v>30</v>
      </c>
    </row>
    <row r="70" spans="1:6" s="1098" customFormat="1" ht="48">
      <c r="A70" s="1147">
        <v>10</v>
      </c>
      <c r="B70" s="3828"/>
      <c r="C70" s="1061" t="s">
        <v>1521</v>
      </c>
      <c r="D70" s="1061" t="s">
        <v>1522</v>
      </c>
      <c r="E70" s="1132">
        <v>0.2</v>
      </c>
      <c r="F70" s="1147">
        <v>30</v>
      </c>
    </row>
    <row r="71" spans="1:6" s="1098" customFormat="1" ht="48">
      <c r="A71" s="1147">
        <v>11</v>
      </c>
      <c r="B71" s="3828"/>
      <c r="C71" s="1061" t="s">
        <v>1523</v>
      </c>
      <c r="D71" s="1061" t="s">
        <v>1524</v>
      </c>
      <c r="E71" s="1132">
        <v>0.2</v>
      </c>
      <c r="F71" s="1147">
        <v>30</v>
      </c>
    </row>
    <row r="72" spans="1:6" s="1098" customFormat="1" ht="36">
      <c r="A72" s="1147">
        <v>12</v>
      </c>
      <c r="B72" s="3828"/>
      <c r="C72" s="1061" t="s">
        <v>1525</v>
      </c>
      <c r="D72" s="1061" t="s">
        <v>1526</v>
      </c>
      <c r="E72" s="1132">
        <v>0.5</v>
      </c>
      <c r="F72" s="1147">
        <v>80</v>
      </c>
    </row>
    <row r="73" spans="1:6" s="1098" customFormat="1" ht="24">
      <c r="A73" s="1147">
        <v>13</v>
      </c>
      <c r="B73" s="3828"/>
      <c r="C73" s="1061" t="s">
        <v>1527</v>
      </c>
      <c r="D73" s="1061" t="s">
        <v>1528</v>
      </c>
      <c r="E73" s="1132">
        <v>0.4</v>
      </c>
      <c r="F73" s="1147">
        <v>60</v>
      </c>
    </row>
    <row r="74" spans="1:6" s="1098" customFormat="1" ht="24">
      <c r="A74" s="1147">
        <v>14</v>
      </c>
      <c r="B74" s="3828"/>
      <c r="C74" s="1061" t="s">
        <v>1529</v>
      </c>
      <c r="D74" s="1061" t="s">
        <v>1530</v>
      </c>
      <c r="E74" s="1132">
        <v>0.2</v>
      </c>
      <c r="F74" s="1147">
        <v>30</v>
      </c>
    </row>
    <row r="75" spans="1:6" s="1098" customFormat="1" ht="24">
      <c r="A75" s="1147">
        <v>15</v>
      </c>
      <c r="B75" s="3828"/>
      <c r="C75" s="1061" t="s">
        <v>1531</v>
      </c>
      <c r="D75" s="1061" t="s">
        <v>1532</v>
      </c>
      <c r="E75" s="1132">
        <v>0.2</v>
      </c>
      <c r="F75" s="1147">
        <v>30</v>
      </c>
    </row>
    <row r="76" spans="1:6" s="1098" customFormat="1" ht="24">
      <c r="A76" s="1147">
        <v>16</v>
      </c>
      <c r="B76" s="3828" t="s">
        <v>1533</v>
      </c>
      <c r="C76" s="1061" t="s">
        <v>1534</v>
      </c>
      <c r="D76" s="1061" t="s">
        <v>1535</v>
      </c>
      <c r="E76" s="1132">
        <v>0.5</v>
      </c>
      <c r="F76" s="1147">
        <v>80</v>
      </c>
    </row>
    <row r="77" spans="1:6" s="1098" customFormat="1" ht="24">
      <c r="A77" s="1147">
        <v>17</v>
      </c>
      <c r="B77" s="3828"/>
      <c r="C77" s="1061" t="s">
        <v>1536</v>
      </c>
      <c r="D77" s="1061" t="s">
        <v>1537</v>
      </c>
      <c r="E77" s="1132">
        <v>0.5</v>
      </c>
      <c r="F77" s="1147">
        <v>80</v>
      </c>
    </row>
    <row r="78" spans="1:6" s="1098" customFormat="1" ht="24">
      <c r="A78" s="1147">
        <v>18</v>
      </c>
      <c r="B78" s="3828"/>
      <c r="C78" s="1061" t="s">
        <v>1538</v>
      </c>
      <c r="D78" s="1061" t="s">
        <v>1539</v>
      </c>
      <c r="E78" s="1132">
        <v>0.2</v>
      </c>
      <c r="F78" s="1147">
        <v>30</v>
      </c>
    </row>
    <row r="79" spans="1:6" s="1098" customFormat="1" ht="24">
      <c r="A79" s="1147">
        <v>19</v>
      </c>
      <c r="B79" s="3828"/>
      <c r="C79" s="1061" t="s">
        <v>1540</v>
      </c>
      <c r="D79" s="1061" t="s">
        <v>1541</v>
      </c>
      <c r="E79" s="1132">
        <v>0.5</v>
      </c>
      <c r="F79" s="1147">
        <v>80</v>
      </c>
    </row>
    <row r="80" spans="1:6" s="1098" customFormat="1" ht="36">
      <c r="A80" s="1147">
        <v>20</v>
      </c>
      <c r="B80" s="3828"/>
      <c r="C80" s="1061" t="s">
        <v>1542</v>
      </c>
      <c r="D80" s="1061" t="s">
        <v>1543</v>
      </c>
      <c r="E80" s="1132">
        <v>0.2</v>
      </c>
      <c r="F80" s="1147">
        <v>30</v>
      </c>
    </row>
    <row r="81" spans="1:6" s="1098" customFormat="1" ht="36">
      <c r="A81" s="1147">
        <v>21</v>
      </c>
      <c r="B81" s="3828"/>
      <c r="C81" s="1061" t="s">
        <v>1544</v>
      </c>
      <c r="D81" s="1061" t="s">
        <v>1545</v>
      </c>
      <c r="E81" s="1132">
        <v>0.2</v>
      </c>
      <c r="F81" s="1147">
        <v>30</v>
      </c>
    </row>
    <row r="82" spans="1:6" s="1098" customFormat="1" ht="48">
      <c r="A82" s="1147">
        <v>22</v>
      </c>
      <c r="B82" s="3828"/>
      <c r="C82" s="1061" t="s">
        <v>1546</v>
      </c>
      <c r="D82" s="1061" t="s">
        <v>1547</v>
      </c>
      <c r="E82" s="1132">
        <v>0.2</v>
      </c>
      <c r="F82" s="1147">
        <v>30</v>
      </c>
    </row>
    <row r="83" spans="1:6" s="1098" customFormat="1" ht="48">
      <c r="A83" s="1147">
        <v>23</v>
      </c>
      <c r="B83" s="3828"/>
      <c r="C83" s="1061" t="s">
        <v>1548</v>
      </c>
      <c r="D83" s="1061" t="s">
        <v>1549</v>
      </c>
      <c r="E83" s="1132">
        <v>0.2</v>
      </c>
      <c r="F83" s="1147">
        <v>30</v>
      </c>
    </row>
    <row r="84" spans="1:6" s="1098" customFormat="1" ht="36">
      <c r="A84" s="1147">
        <v>24</v>
      </c>
      <c r="B84" s="3828"/>
      <c r="C84" s="1061" t="s">
        <v>1550</v>
      </c>
      <c r="D84" s="1061" t="s">
        <v>1551</v>
      </c>
      <c r="E84" s="1132">
        <v>0.2</v>
      </c>
      <c r="F84" s="1147">
        <v>30</v>
      </c>
    </row>
    <row r="85" spans="1:6" s="1098" customFormat="1" ht="36">
      <c r="A85" s="1147">
        <v>25</v>
      </c>
      <c r="B85" s="3828"/>
      <c r="C85" s="1061" t="s">
        <v>1552</v>
      </c>
      <c r="D85" s="1061" t="s">
        <v>1553</v>
      </c>
      <c r="E85" s="1132">
        <v>0.5</v>
      </c>
      <c r="F85" s="1147">
        <v>80</v>
      </c>
    </row>
    <row r="86" spans="1:6" s="1098" customFormat="1" ht="36">
      <c r="A86" s="1147">
        <v>26</v>
      </c>
      <c r="B86" s="3828"/>
      <c r="C86" s="1061" t="s">
        <v>1554</v>
      </c>
      <c r="D86" s="1061" t="s">
        <v>1555</v>
      </c>
      <c r="E86" s="1132">
        <v>0.2</v>
      </c>
      <c r="F86" s="1147">
        <v>30</v>
      </c>
    </row>
    <row r="87" spans="1:6" s="1098" customFormat="1" ht="36">
      <c r="A87" s="1147">
        <v>27</v>
      </c>
      <c r="B87" s="3828"/>
      <c r="C87" s="1061" t="s">
        <v>1556</v>
      </c>
      <c r="D87" s="1061" t="s">
        <v>1557</v>
      </c>
      <c r="E87" s="1132">
        <v>0.2</v>
      </c>
      <c r="F87" s="1147">
        <v>30</v>
      </c>
    </row>
    <row r="88" spans="1:6" s="1098" customFormat="1" ht="36">
      <c r="A88" s="1147">
        <v>28</v>
      </c>
      <c r="B88" s="3828"/>
      <c r="C88" s="1061" t="s">
        <v>1558</v>
      </c>
      <c r="D88" s="1061" t="s">
        <v>1559</v>
      </c>
      <c r="E88" s="1132">
        <v>0.2</v>
      </c>
      <c r="F88" s="1147">
        <v>30</v>
      </c>
    </row>
    <row r="89" spans="1:6" s="1098" customFormat="1" ht="24">
      <c r="A89" s="1147">
        <v>29</v>
      </c>
      <c r="B89" s="3828"/>
      <c r="C89" s="1061" t="s">
        <v>1560</v>
      </c>
      <c r="D89" s="1061" t="s">
        <v>1561</v>
      </c>
      <c r="E89" s="1132">
        <v>0.2</v>
      </c>
      <c r="F89" s="1147">
        <v>30</v>
      </c>
    </row>
    <row r="90" spans="1:6" s="1098" customFormat="1" ht="24">
      <c r="A90" s="1147">
        <v>30</v>
      </c>
      <c r="B90" s="3828"/>
      <c r="C90" s="1061" t="s">
        <v>1562</v>
      </c>
      <c r="D90" s="1061" t="s">
        <v>1563</v>
      </c>
      <c r="E90" s="1132">
        <v>0.2</v>
      </c>
      <c r="F90" s="1147">
        <v>30</v>
      </c>
    </row>
    <row r="91" spans="1:6" s="1098" customFormat="1" ht="36">
      <c r="A91" s="1147">
        <v>31</v>
      </c>
      <c r="B91" s="3828"/>
      <c r="C91" s="1061" t="s">
        <v>1564</v>
      </c>
      <c r="D91" s="1061" t="s">
        <v>1565</v>
      </c>
      <c r="E91" s="1132">
        <v>0.2</v>
      </c>
      <c r="F91" s="1147">
        <v>30</v>
      </c>
    </row>
    <row r="92" spans="1:6" s="1098" customFormat="1" ht="24">
      <c r="A92" s="1147">
        <v>32</v>
      </c>
      <c r="B92" s="3828" t="s">
        <v>1566</v>
      </c>
      <c r="C92" s="1147" t="s">
        <v>1567</v>
      </c>
      <c r="D92" s="1061" t="s">
        <v>1568</v>
      </c>
      <c r="E92" s="1132">
        <v>0.2</v>
      </c>
      <c r="F92" s="1147">
        <v>30</v>
      </c>
    </row>
    <row r="93" spans="1:6" s="1098" customFormat="1" ht="36">
      <c r="A93" s="1147">
        <v>33</v>
      </c>
      <c r="B93" s="3828"/>
      <c r="C93" s="1147" t="s">
        <v>1569</v>
      </c>
      <c r="D93" s="1061" t="s">
        <v>1570</v>
      </c>
      <c r="E93" s="1132">
        <v>0.2</v>
      </c>
      <c r="F93" s="1147">
        <v>30</v>
      </c>
    </row>
    <row r="94" spans="1:6" s="1098" customFormat="1" ht="48">
      <c r="A94" s="1147">
        <v>34</v>
      </c>
      <c r="B94" s="3828"/>
      <c r="C94" s="1147" t="s">
        <v>1571</v>
      </c>
      <c r="D94" s="1061" t="s">
        <v>1572</v>
      </c>
      <c r="E94" s="1132">
        <v>0.2</v>
      </c>
      <c r="F94" s="1147">
        <v>30</v>
      </c>
    </row>
    <row r="95" spans="1:6" s="1098" customFormat="1" ht="36">
      <c r="A95" s="1147">
        <v>35</v>
      </c>
      <c r="B95" s="3828"/>
      <c r="C95" s="1147" t="s">
        <v>1573</v>
      </c>
      <c r="D95" s="1061" t="s">
        <v>1574</v>
      </c>
      <c r="E95" s="1132">
        <v>0.2</v>
      </c>
      <c r="F95" s="1147">
        <v>30</v>
      </c>
    </row>
    <row r="96" spans="1:6" s="1098" customFormat="1" ht="48">
      <c r="A96" s="1147">
        <v>36</v>
      </c>
      <c r="B96" s="3828"/>
      <c r="C96" s="1061" t="s">
        <v>1575</v>
      </c>
      <c r="D96" s="1061" t="s">
        <v>1576</v>
      </c>
      <c r="E96" s="1132">
        <v>0.2</v>
      </c>
      <c r="F96" s="1147">
        <v>30</v>
      </c>
    </row>
    <row r="97" spans="1:6" s="1098" customFormat="1" ht="36">
      <c r="A97" s="1147">
        <v>37</v>
      </c>
      <c r="B97" s="3828"/>
      <c r="C97" s="1147" t="s">
        <v>1577</v>
      </c>
      <c r="D97" s="1061" t="s">
        <v>1578</v>
      </c>
      <c r="E97" s="1132">
        <v>0.2</v>
      </c>
      <c r="F97" s="1147">
        <v>30</v>
      </c>
    </row>
    <row r="98" spans="1:6" s="1098" customFormat="1" ht="36">
      <c r="A98" s="1147">
        <v>38</v>
      </c>
      <c r="B98" s="3828"/>
      <c r="C98" s="1147" t="s">
        <v>1579</v>
      </c>
      <c r="D98" s="1061" t="s">
        <v>1580</v>
      </c>
      <c r="E98" s="1132">
        <v>0.2</v>
      </c>
      <c r="F98" s="1147">
        <v>30</v>
      </c>
    </row>
    <row r="99" spans="1:6" s="1098" customFormat="1" ht="36">
      <c r="A99" s="1147">
        <v>39</v>
      </c>
      <c r="B99" s="3828" t="s">
        <v>1581</v>
      </c>
      <c r="C99" s="1147" t="s">
        <v>1582</v>
      </c>
      <c r="D99" s="1061" t="s">
        <v>1583</v>
      </c>
      <c r="E99" s="1132">
        <v>0.3</v>
      </c>
      <c r="F99" s="1147">
        <v>50</v>
      </c>
    </row>
    <row r="100" spans="1:6" s="1098" customFormat="1" ht="24">
      <c r="A100" s="1147">
        <v>40</v>
      </c>
      <c r="B100" s="3828"/>
      <c r="C100" s="1147" t="s">
        <v>1584</v>
      </c>
      <c r="D100" s="1061" t="s">
        <v>1585</v>
      </c>
      <c r="E100" s="1132">
        <v>0.2</v>
      </c>
      <c r="F100" s="1147">
        <v>30</v>
      </c>
    </row>
    <row r="101" spans="1:6" s="1098" customFormat="1" ht="36">
      <c r="A101" s="1147">
        <v>41</v>
      </c>
      <c r="B101" s="3828"/>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28" t="s">
        <v>1596</v>
      </c>
      <c r="C105" s="1147" t="s">
        <v>1597</v>
      </c>
      <c r="D105" s="1061" t="s">
        <v>1598</v>
      </c>
      <c r="E105" s="1132">
        <v>0.2</v>
      </c>
      <c r="F105" s="1147">
        <v>30</v>
      </c>
    </row>
    <row r="106" spans="1:6" s="1098" customFormat="1" ht="36">
      <c r="A106" s="1147">
        <v>46</v>
      </c>
      <c r="B106" s="3828"/>
      <c r="C106" s="1147" t="s">
        <v>1599</v>
      </c>
      <c r="D106" s="1061" t="s">
        <v>1600</v>
      </c>
      <c r="E106" s="1132">
        <v>0.2</v>
      </c>
      <c r="F106" s="1147">
        <v>30</v>
      </c>
    </row>
    <row r="107" spans="1:6" s="1098" customFormat="1" ht="36">
      <c r="A107" s="1147">
        <v>47</v>
      </c>
      <c r="B107" s="3828" t="s">
        <v>1601</v>
      </c>
      <c r="C107" s="1147" t="s">
        <v>1602</v>
      </c>
      <c r="D107" s="1061" t="s">
        <v>1603</v>
      </c>
      <c r="E107" s="1132">
        <v>0.3</v>
      </c>
      <c r="F107" s="1147">
        <v>50</v>
      </c>
    </row>
    <row r="108" spans="1:6" s="1098" customFormat="1" ht="36">
      <c r="A108" s="1147">
        <v>48</v>
      </c>
      <c r="B108" s="3828"/>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28" t="s">
        <v>1612</v>
      </c>
      <c r="C111" s="1147" t="s">
        <v>1613</v>
      </c>
      <c r="D111" s="1061" t="s">
        <v>1614</v>
      </c>
      <c r="E111" s="1132">
        <v>0.2</v>
      </c>
      <c r="F111" s="1147">
        <v>30</v>
      </c>
    </row>
    <row r="112" spans="1:6" s="1098" customFormat="1" ht="24">
      <c r="A112" s="1147">
        <v>52</v>
      </c>
      <c r="B112" s="3828"/>
      <c r="C112" s="1147" t="s">
        <v>1615</v>
      </c>
      <c r="D112" s="1061" t="s">
        <v>1616</v>
      </c>
      <c r="E112" s="1132">
        <v>0.2</v>
      </c>
      <c r="F112" s="1147">
        <v>30</v>
      </c>
    </row>
    <row r="113" spans="1:14" s="1098" customFormat="1" ht="24">
      <c r="A113" s="1147">
        <v>53</v>
      </c>
      <c r="B113" s="3828"/>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28" t="s">
        <v>1625</v>
      </c>
      <c r="C116" s="1147" t="s">
        <v>1626</v>
      </c>
      <c r="D116" s="1061" t="s">
        <v>1627</v>
      </c>
      <c r="E116" s="1132">
        <v>0.2</v>
      </c>
      <c r="F116" s="1147">
        <v>30</v>
      </c>
    </row>
    <row r="117" spans="1:14" ht="36">
      <c r="A117" s="1147">
        <v>57</v>
      </c>
      <c r="B117" s="3828"/>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27" t="s">
        <v>1634</v>
      </c>
      <c r="B121" s="3827"/>
      <c r="C121" s="3827"/>
      <c r="D121" s="3827"/>
      <c r="E121" s="3827"/>
      <c r="F121" s="3827"/>
      <c r="G121" s="3827"/>
      <c r="H121" s="3827"/>
      <c r="I121" s="3827"/>
      <c r="J121" s="3827"/>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32" t="s">
        <v>1040</v>
      </c>
      <c r="B1" s="3832"/>
      <c r="C1" s="3832"/>
      <c r="D1" s="3832"/>
      <c r="E1" s="3832"/>
      <c r="F1" s="3832"/>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33" t="s">
        <v>1053</v>
      </c>
      <c r="B2" s="3833"/>
      <c r="C2" s="3833"/>
      <c r="D2" s="3833"/>
      <c r="E2" s="3833"/>
      <c r="F2" s="3833"/>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34"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35"/>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36" t="s">
        <v>2080</v>
      </c>
      <c r="B1" s="3836"/>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89" t="str">
        <f>项目基本情况!B1</f>
        <v>出让国有建设用地使用权抵押价格预评估</v>
      </c>
      <c r="C37" s="3589"/>
      <c r="D37" s="3589"/>
      <c r="E37" s="3589"/>
      <c r="F37" s="3589"/>
      <c r="G37" s="3589"/>
      <c r="H37" s="3589"/>
      <c r="I37" s="3589"/>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38" t="s">
        <v>2466</v>
      </c>
      <c r="C8" s="1818">
        <f ca="1">ROUND(F8*F10*F9*(1-F11)/10000,0)</f>
        <v>0</v>
      </c>
      <c r="D8" s="1815" t="s">
        <v>2538</v>
      </c>
      <c r="E8" s="61" t="s">
        <v>638</v>
      </c>
      <c r="F8" s="782">
        <f ca="1">INDIRECT("'数据-取费表'!u"&amp;$G$1)</f>
        <v>0</v>
      </c>
      <c r="G8" s="1584"/>
      <c r="H8" s="2520" t="s">
        <v>1823</v>
      </c>
      <c r="I8" s="3838" t="s">
        <v>2466</v>
      </c>
      <c r="J8" s="780">
        <f ca="1">ROUND(M8*M10*M9*(1-M11)/10000,0)</f>
        <v>0</v>
      </c>
      <c r="K8" s="339" t="s">
        <v>2538</v>
      </c>
      <c r="L8" s="781" t="s">
        <v>1737</v>
      </c>
      <c r="M8" s="782">
        <f ca="1">INDIRECT("'数据-取费表'!z"&amp;$G$1)</f>
        <v>0</v>
      </c>
    </row>
    <row r="9" spans="1:25" ht="18" customHeight="1">
      <c r="A9" s="2516"/>
      <c r="B9" s="3839"/>
      <c r="C9" s="1819"/>
      <c r="D9" s="1816"/>
      <c r="E9" s="61" t="s">
        <v>639</v>
      </c>
      <c r="F9" s="782">
        <f ca="1">IF(INDIRECT("'数据-取费表'!ah"&amp;$G$1)="",INDIRECT("'数据-取费表'!k"&amp;$G$1),INDIRECT("'数据-取费表'!ah"&amp;$G$1))</f>
        <v>273359</v>
      </c>
      <c r="G9" s="1584"/>
      <c r="H9" s="2505"/>
      <c r="I9" s="3839"/>
      <c r="J9" s="785"/>
      <c r="K9" s="786"/>
      <c r="L9" s="781" t="s">
        <v>1738</v>
      </c>
      <c r="M9" s="782">
        <f ca="1">F9</f>
        <v>273359</v>
      </c>
    </row>
    <row r="10" spans="1:25" ht="18" customHeight="1">
      <c r="A10" s="2509"/>
      <c r="B10" s="3840"/>
      <c r="C10" s="1819"/>
      <c r="D10" s="1816"/>
      <c r="E10" s="61" t="s">
        <v>640</v>
      </c>
      <c r="F10" s="782">
        <f ca="1">INDIRECT("'数据-取费表'!ai"&amp;$G$1)</f>
        <v>0</v>
      </c>
      <c r="G10" s="1584"/>
      <c r="H10" s="2505"/>
      <c r="I10" s="3840"/>
      <c r="J10" s="785"/>
      <c r="K10" s="786"/>
      <c r="L10" s="781" t="s">
        <v>1739</v>
      </c>
      <c r="M10" s="782">
        <f ca="1">INDIRECT("'数据-取费表'!ai"&amp;$G$1)</f>
        <v>0</v>
      </c>
    </row>
    <row r="11" spans="1:25" ht="18" customHeight="1">
      <c r="A11" s="783"/>
      <c r="B11" s="3841"/>
      <c r="C11" s="1819"/>
      <c r="D11" s="1816"/>
      <c r="E11" s="61" t="s">
        <v>641</v>
      </c>
      <c r="F11" s="791">
        <f ca="1">INDIRECT("'数据-取费表'!w"&amp;$G$1)</f>
        <v>0</v>
      </c>
      <c r="G11" s="1584"/>
      <c r="H11" s="2521"/>
      <c r="I11" s="3840"/>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3295</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130033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84266</v>
      </c>
      <c r="D16" s="1971" t="s">
        <v>647</v>
      </c>
      <c r="E16" s="1972"/>
      <c r="F16" s="802"/>
      <c r="G16" s="1584"/>
      <c r="H16" s="800" t="s">
        <v>2070</v>
      </c>
      <c r="I16" s="2223" t="s">
        <v>2829</v>
      </c>
      <c r="J16" s="53">
        <f ca="1">C31</f>
        <v>130033</v>
      </c>
      <c r="K16" s="26"/>
      <c r="L16" s="798"/>
      <c r="M16" s="799"/>
    </row>
    <row r="17" spans="1:25" s="2056" customFormat="1" ht="18" customHeight="1">
      <c r="A17" s="800" t="s">
        <v>1848</v>
      </c>
      <c r="B17" s="781" t="s">
        <v>648</v>
      </c>
      <c r="C17" s="53">
        <f ca="1">ROUND(C16*F17,0)</f>
        <v>2528</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1154</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1154</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1264</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92328</v>
      </c>
      <c r="D21" s="259" t="s">
        <v>664</v>
      </c>
      <c r="E21" s="1974"/>
      <c r="F21" s="56"/>
      <c r="G21" s="1584"/>
      <c r="H21" s="1823" t="s">
        <v>1848</v>
      </c>
      <c r="I21" s="781" t="s">
        <v>665</v>
      </c>
      <c r="J21" s="53">
        <f ca="1">IF(K21="按租金收入计税",ROUND(J7*M21,1),ROUND(C31*F35*0.7,1))</f>
        <v>1092.3</v>
      </c>
      <c r="K21" s="808" t="s">
        <v>666</v>
      </c>
      <c r="L21" s="781" t="s">
        <v>650</v>
      </c>
      <c r="M21" s="806">
        <f>IF(K21="按租金收入计税",'数据-取费表'!B51,'数据-取费表'!B50)</f>
        <v>1.2E-2</v>
      </c>
    </row>
    <row r="22" spans="1:25" s="2056" customFormat="1" ht="18" customHeight="1">
      <c r="A22" s="800" t="s">
        <v>1876</v>
      </c>
      <c r="B22" s="781" t="s">
        <v>667</v>
      </c>
      <c r="C22" s="53">
        <f ca="1">ROUND(C21*F22,0)</f>
        <v>1847</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6789</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-1154</v>
      </c>
      <c r="K27" s="1971" t="s">
        <v>701</v>
      </c>
      <c r="L27" s="1973"/>
      <c r="M27" s="817"/>
    </row>
    <row r="28" spans="1:25" ht="18" customHeight="1">
      <c r="A28" s="800" t="s">
        <v>1874</v>
      </c>
      <c r="B28" s="781" t="s">
        <v>2440</v>
      </c>
      <c r="C28" s="53">
        <f ca="1">ROUND((C21+C22)*F28,0)</f>
        <v>18835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130033</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1154</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1154.4000000000001</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1092.3</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37"/>
      <c r="J36" s="2071"/>
      <c r="K36" s="2072"/>
      <c r="L36" s="2071"/>
      <c r="M36" s="2071"/>
    </row>
    <row r="37" spans="1:18" ht="18" customHeight="1">
      <c r="A37" s="812"/>
      <c r="B37" s="790"/>
      <c r="C37" s="69"/>
      <c r="D37" s="813"/>
      <c r="E37" s="781" t="s">
        <v>675</v>
      </c>
      <c r="F37" s="782">
        <f ca="1">INDIRECT("'数据-取费表'!r"&amp;$G$1)</f>
        <v>44323.45</v>
      </c>
      <c r="G37" s="2054"/>
      <c r="H37" s="2057"/>
      <c r="I37" s="3837"/>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-1154</v>
      </c>
      <c r="D42" s="1971" t="s">
        <v>695</v>
      </c>
      <c r="E42" s="1973"/>
      <c r="F42" s="817"/>
      <c r="G42" s="2054"/>
      <c r="H42" s="2054"/>
      <c r="I42" s="2054"/>
      <c r="J42" s="2054"/>
      <c r="K42" s="2075"/>
      <c r="L42" s="2054"/>
      <c r="M42" s="2054"/>
    </row>
    <row r="43" spans="1:18" ht="18" customHeight="1">
      <c r="A43" s="800" t="s">
        <v>1876</v>
      </c>
      <c r="B43" s="832" t="s">
        <v>712</v>
      </c>
      <c r="C43" s="833">
        <f ca="1">ROUND(C15*F43,0)</f>
        <v>11053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-12207</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33.979999999999997</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130033</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42"/>
      <c r="L54" s="3843"/>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33.979999999999997</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-12207</v>
      </c>
      <c r="R70" s="2419"/>
    </row>
    <row r="71" spans="1:18" s="2051" customFormat="1" ht="15.75" thickBot="1">
      <c r="A71" s="2088"/>
      <c r="B71" s="2089"/>
      <c r="C71" s="2089"/>
      <c r="K71" s="2078"/>
      <c r="O71" s="2417" t="s">
        <v>2401</v>
      </c>
      <c r="P71" s="2423" t="s">
        <v>2402</v>
      </c>
      <c r="Q71" s="2416">
        <f ca="1">C42</f>
        <v>-1154</v>
      </c>
      <c r="R71" s="2415" t="s">
        <v>2382</v>
      </c>
    </row>
    <row r="72" spans="1:18" s="2051" customFormat="1" ht="15.75" thickBot="1">
      <c r="A72" s="2088"/>
      <c r="B72" s="2089"/>
      <c r="C72" s="2089"/>
      <c r="K72" s="2078"/>
      <c r="O72" s="2417" t="s">
        <v>2403</v>
      </c>
      <c r="P72" s="2423" t="s">
        <v>2404</v>
      </c>
      <c r="Q72" s="2416">
        <f ca="1">C15</f>
        <v>130033</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50" t="s">
        <v>2580</v>
      </c>
      <c r="C1" s="3850"/>
      <c r="D1" s="3850"/>
      <c r="E1" s="3850"/>
      <c r="F1" s="3850"/>
      <c r="G1" s="3849" t="s">
        <v>2581</v>
      </c>
      <c r="H1" s="3849"/>
      <c r="I1" s="3849"/>
      <c r="J1" s="3849"/>
      <c r="K1" s="3849"/>
      <c r="L1" s="3849"/>
      <c r="N1" s="3849" t="s">
        <v>2582</v>
      </c>
      <c r="O1" s="3849"/>
      <c r="P1" s="3849"/>
      <c r="Q1" s="3849"/>
      <c r="R1" s="2671"/>
      <c r="S1" s="3849" t="s">
        <v>2583</v>
      </c>
      <c r="T1" s="3849"/>
      <c r="U1" s="3849"/>
      <c r="V1" s="3849"/>
      <c r="X1" s="3848" t="s">
        <v>2643</v>
      </c>
      <c r="Y1" s="3849"/>
      <c r="Z1" s="3849"/>
      <c r="AA1" s="3849"/>
      <c r="AB1" s="3849"/>
      <c r="AD1" s="3848" t="s">
        <v>2647</v>
      </c>
      <c r="AE1" s="3849"/>
      <c r="AF1" s="3849"/>
      <c r="AG1" s="3849"/>
      <c r="AH1" s="3849"/>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47">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45"/>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45"/>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46"/>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44">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45"/>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45"/>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46"/>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44">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45"/>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45"/>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46"/>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51">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52"/>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52"/>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53"/>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44">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45"/>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45"/>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46"/>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44">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45">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45">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46">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44">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45">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45">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46">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44">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45">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45">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46">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44">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45">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45">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46">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44">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45">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45">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46">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44">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45">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45">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46">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44">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45">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45">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46">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44">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45">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45">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46">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44">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45">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45">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46">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44">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45">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45">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46">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4" t="s">
        <v>2475</v>
      </c>
      <c r="B1" s="3855"/>
      <c r="C1" s="3856"/>
      <c r="D1" s="3857">
        <f>SUM(I10,I15,I20,I21,I23)</f>
        <v>0</v>
      </c>
      <c r="E1" s="3857"/>
      <c r="F1" s="3857"/>
      <c r="G1" s="3857"/>
      <c r="H1" s="3857"/>
      <c r="I1" s="3858"/>
    </row>
    <row r="2" spans="1:9">
      <c r="A2" s="3859" t="s">
        <v>2476</v>
      </c>
      <c r="B2" s="3860" t="s">
        <v>2477</v>
      </c>
      <c r="C2" s="3860"/>
      <c r="D2" s="2523" t="s">
        <v>2478</v>
      </c>
      <c r="E2" s="2523" t="s">
        <v>2479</v>
      </c>
      <c r="F2" s="2523" t="s">
        <v>2480</v>
      </c>
      <c r="G2" s="2523" t="s">
        <v>2481</v>
      </c>
      <c r="H2" s="2523" t="s">
        <v>2482</v>
      </c>
      <c r="I2" s="2524" t="s">
        <v>2483</v>
      </c>
    </row>
    <row r="3" spans="1:9">
      <c r="A3" s="3859"/>
      <c r="B3" s="3860" t="s">
        <v>2484</v>
      </c>
      <c r="C3" s="3860"/>
      <c r="D3" s="2525"/>
      <c r="E3" s="2523"/>
      <c r="F3" s="2526"/>
      <c r="G3" s="2526"/>
      <c r="H3" s="2527"/>
      <c r="I3" s="2528">
        <f>ROUND(D3*E3*F3*G3*H3/10000,0)</f>
        <v>0</v>
      </c>
    </row>
    <row r="4" spans="1:9">
      <c r="A4" s="3859"/>
      <c r="B4" s="3860" t="s">
        <v>2485</v>
      </c>
      <c r="C4" s="3860"/>
      <c r="D4" s="2525"/>
      <c r="E4" s="2523"/>
      <c r="F4" s="2526"/>
      <c r="G4" s="2526"/>
      <c r="H4" s="2527"/>
      <c r="I4" s="2528">
        <f t="shared" ref="I4:I9" si="0">ROUND(D4*E4*F4*G4*H4/10000,0)</f>
        <v>0</v>
      </c>
    </row>
    <row r="5" spans="1:9">
      <c r="A5" s="3859"/>
      <c r="B5" s="3860" t="s">
        <v>2486</v>
      </c>
      <c r="C5" s="3860"/>
      <c r="D5" s="2525"/>
      <c r="E5" s="2523"/>
      <c r="F5" s="2526"/>
      <c r="G5" s="2526"/>
      <c r="H5" s="2527"/>
      <c r="I5" s="2528">
        <f t="shared" si="0"/>
        <v>0</v>
      </c>
    </row>
    <row r="6" spans="1:9">
      <c r="A6" s="3859"/>
      <c r="B6" s="3860" t="s">
        <v>2487</v>
      </c>
      <c r="C6" s="3860"/>
      <c r="D6" s="2525"/>
      <c r="E6" s="2523"/>
      <c r="F6" s="2526"/>
      <c r="G6" s="2526"/>
      <c r="H6" s="2527"/>
      <c r="I6" s="2528">
        <f t="shared" si="0"/>
        <v>0</v>
      </c>
    </row>
    <row r="7" spans="1:9">
      <c r="A7" s="3859"/>
      <c r="B7" s="3860" t="s">
        <v>2488</v>
      </c>
      <c r="C7" s="3860"/>
      <c r="D7" s="2525"/>
      <c r="E7" s="2523"/>
      <c r="F7" s="2526"/>
      <c r="G7" s="2526"/>
      <c r="H7" s="2527"/>
      <c r="I7" s="2528">
        <f t="shared" si="0"/>
        <v>0</v>
      </c>
    </row>
    <row r="8" spans="1:9">
      <c r="A8" s="3859"/>
      <c r="B8" s="3860" t="s">
        <v>2489</v>
      </c>
      <c r="C8" s="3860"/>
      <c r="D8" s="2525"/>
      <c r="E8" s="2523"/>
      <c r="F8" s="2526"/>
      <c r="G8" s="2526"/>
      <c r="H8" s="2527"/>
      <c r="I8" s="2528">
        <f t="shared" si="0"/>
        <v>0</v>
      </c>
    </row>
    <row r="9" spans="1:9">
      <c r="A9" s="3859"/>
      <c r="B9" s="3860" t="s">
        <v>2490</v>
      </c>
      <c r="C9" s="3860"/>
      <c r="D9" s="2525"/>
      <c r="E9" s="2523"/>
      <c r="F9" s="2526"/>
      <c r="G9" s="2526"/>
      <c r="H9" s="2527"/>
      <c r="I9" s="2528">
        <f t="shared" si="0"/>
        <v>0</v>
      </c>
    </row>
    <row r="10" spans="1:9">
      <c r="A10" s="3859"/>
      <c r="B10" s="3861" t="s">
        <v>2491</v>
      </c>
      <c r="C10" s="3861"/>
      <c r="D10" s="2529">
        <v>527</v>
      </c>
      <c r="E10" s="2529" t="e">
        <f>ROUND(D1*10000/D10/H9,0)</f>
        <v>#DIV/0!</v>
      </c>
      <c r="F10" s="2530"/>
      <c r="G10" s="2530"/>
      <c r="H10" s="2531"/>
      <c r="I10" s="2532">
        <f>SUM(I3:I9)</f>
        <v>0</v>
      </c>
    </row>
    <row r="11" spans="1:9" ht="14.25">
      <c r="A11" s="3859" t="s">
        <v>2492</v>
      </c>
      <c r="B11" s="3860" t="s">
        <v>2493</v>
      </c>
      <c r="C11" s="3860"/>
      <c r="D11" s="2525" t="s">
        <v>2494</v>
      </c>
      <c r="E11" s="2525" t="s">
        <v>2495</v>
      </c>
      <c r="F11" s="2526" t="s">
        <v>2496</v>
      </c>
      <c r="G11" s="2526" t="s">
        <v>2497</v>
      </c>
      <c r="H11" s="2533" t="s">
        <v>2498</v>
      </c>
      <c r="I11" s="2524" t="s">
        <v>2499</v>
      </c>
    </row>
    <row r="12" spans="1:9">
      <c r="A12" s="3859"/>
      <c r="B12" s="3860" t="s">
        <v>2500</v>
      </c>
      <c r="C12" s="3860"/>
      <c r="D12" s="2525"/>
      <c r="E12" s="2525"/>
      <c r="F12" s="2526"/>
      <c r="G12" s="2527"/>
      <c r="H12" s="2534"/>
      <c r="I12" s="2524">
        <f>ROUND(D12*E12*F12*G12/10000,0)</f>
        <v>0</v>
      </c>
    </row>
    <row r="13" spans="1:9">
      <c r="A13" s="3859"/>
      <c r="B13" s="3860" t="s">
        <v>2501</v>
      </c>
      <c r="C13" s="3860"/>
      <c r="D13" s="2525"/>
      <c r="E13" s="2525"/>
      <c r="F13" s="2526"/>
      <c r="G13" s="2527"/>
      <c r="H13" s="2534"/>
      <c r="I13" s="2524">
        <f>ROUND(D13*E13*F13*G13/10000,0)</f>
        <v>0</v>
      </c>
    </row>
    <row r="14" spans="1:9">
      <c r="A14" s="3859"/>
      <c r="B14" s="3860" t="s">
        <v>2502</v>
      </c>
      <c r="C14" s="3860"/>
      <c r="D14" s="2525"/>
      <c r="E14" s="2525"/>
      <c r="F14" s="2526"/>
      <c r="G14" s="2527"/>
      <c r="H14" s="2534"/>
      <c r="I14" s="2524">
        <f>ROUND(D14*E14*F14*G14/10000,0)</f>
        <v>0</v>
      </c>
    </row>
    <row r="15" spans="1:9">
      <c r="A15" s="3859"/>
      <c r="B15" s="3861" t="s">
        <v>2491</v>
      </c>
      <c r="C15" s="3861"/>
      <c r="D15" s="2529"/>
      <c r="E15" s="2529">
        <f>SUM(E12:E14)</f>
        <v>0</v>
      </c>
      <c r="F15" s="2530"/>
      <c r="G15" s="2527"/>
      <c r="H15" s="2534"/>
      <c r="I15" s="2535">
        <f>SUM(I12:I14)</f>
        <v>0</v>
      </c>
    </row>
    <row r="16" spans="1:9" ht="24">
      <c r="A16" s="3859" t="s">
        <v>2503</v>
      </c>
      <c r="B16" s="3860" t="s">
        <v>2504</v>
      </c>
      <c r="C16" s="3860"/>
      <c r="D16" s="2525" t="s">
        <v>2505</v>
      </c>
      <c r="E16" s="2536" t="s">
        <v>2506</v>
      </c>
      <c r="F16" s="2526" t="s">
        <v>2507</v>
      </c>
      <c r="G16" s="2527" t="s">
        <v>2497</v>
      </c>
      <c r="H16" s="2533" t="s">
        <v>2498</v>
      </c>
      <c r="I16" s="2524" t="s">
        <v>2499</v>
      </c>
    </row>
    <row r="17" spans="1:9" ht="14.25">
      <c r="A17" s="3859"/>
      <c r="B17" s="3860" t="s">
        <v>2508</v>
      </c>
      <c r="C17" s="3860"/>
      <c r="D17" s="2525"/>
      <c r="E17" s="2525"/>
      <c r="F17" s="2526"/>
      <c r="G17" s="2527"/>
      <c r="H17" s="2537"/>
      <c r="I17" s="2538">
        <f>ROUND(D17*E17*F17*G17/10000,0)</f>
        <v>0</v>
      </c>
    </row>
    <row r="18" spans="1:9" ht="14.25">
      <c r="A18" s="3859"/>
      <c r="B18" s="3860" t="s">
        <v>2509</v>
      </c>
      <c r="C18" s="3860"/>
      <c r="D18" s="2525"/>
      <c r="E18" s="2525"/>
      <c r="F18" s="2526"/>
      <c r="G18" s="2527"/>
      <c r="H18" s="2537"/>
      <c r="I18" s="2538">
        <f>ROUND(D18*E18*F18*G18/10000,0)</f>
        <v>0</v>
      </c>
    </row>
    <row r="19" spans="1:9" ht="14.25">
      <c r="A19" s="3859"/>
      <c r="B19" s="3860" t="s">
        <v>2510</v>
      </c>
      <c r="C19" s="3860"/>
      <c r="D19" s="2525"/>
      <c r="E19" s="2525"/>
      <c r="F19" s="2526"/>
      <c r="G19" s="2527"/>
      <c r="H19" s="2537"/>
      <c r="I19" s="2538">
        <f>ROUND(D19*E19*F19*G19/10000,0)</f>
        <v>0</v>
      </c>
    </row>
    <row r="20" spans="1:9">
      <c r="A20" s="3859"/>
      <c r="B20" s="3861" t="s">
        <v>2491</v>
      </c>
      <c r="C20" s="3861"/>
      <c r="D20" s="2529">
        <f>SUM(D17:D19)</f>
        <v>0</v>
      </c>
      <c r="E20" s="2529"/>
      <c r="F20" s="2530"/>
      <c r="G20" s="2527"/>
      <c r="H20" s="2534"/>
      <c r="I20" s="2535">
        <f>SUM(I17:I19)</f>
        <v>0</v>
      </c>
    </row>
    <row r="21" spans="1:9">
      <c r="A21" s="3859" t="s">
        <v>2511</v>
      </c>
      <c r="B21" s="3863"/>
      <c r="C21" s="3863"/>
      <c r="D21" s="3863"/>
      <c r="E21" s="3863"/>
      <c r="F21" s="3863"/>
      <c r="G21" s="3863"/>
      <c r="H21" s="2539">
        <v>0.1</v>
      </c>
      <c r="I21" s="2532">
        <f>ROUND(I10*H21,0)</f>
        <v>0</v>
      </c>
    </row>
    <row r="22" spans="1:9" ht="14.25">
      <c r="A22" s="3864" t="s">
        <v>2512</v>
      </c>
      <c r="B22" s="3865"/>
      <c r="C22" s="3866"/>
      <c r="D22" s="2540" t="s">
        <v>2513</v>
      </c>
      <c r="E22" s="2540" t="s">
        <v>2514</v>
      </c>
      <c r="F22" s="2541" t="s">
        <v>2515</v>
      </c>
      <c r="G22" s="2541" t="s">
        <v>2516</v>
      </c>
      <c r="H22" s="2533" t="s">
        <v>2517</v>
      </c>
      <c r="I22" s="2524" t="s">
        <v>2518</v>
      </c>
    </row>
    <row r="23" spans="1:9" ht="14.25" thickBot="1">
      <c r="A23" s="3867"/>
      <c r="B23" s="3868"/>
      <c r="C23" s="3869"/>
      <c r="D23" s="2542"/>
      <c r="E23" s="2542"/>
      <c r="F23" s="2542"/>
      <c r="G23" s="2543"/>
      <c r="H23" s="2544"/>
      <c r="I23" s="2545">
        <f>ROUND(E23*D23*F23*(1-G23)/10000,0)</f>
        <v>0</v>
      </c>
    </row>
    <row r="26" spans="1:9">
      <c r="A26" s="2546" t="s">
        <v>2519</v>
      </c>
      <c r="B26" s="2546"/>
      <c r="C26" s="2546"/>
      <c r="D26" s="2546"/>
      <c r="E26" s="3870">
        <f>C27-C30-C31-C32</f>
        <v>0</v>
      </c>
      <c r="F26" s="3870"/>
      <c r="G26" s="3870"/>
      <c r="H26" s="3059" t="s">
        <v>2847</v>
      </c>
    </row>
    <row r="27" spans="1:9">
      <c r="A27" s="2547">
        <v>1</v>
      </c>
      <c r="B27" s="2548" t="s">
        <v>2520</v>
      </c>
      <c r="C27" s="2548"/>
      <c r="D27" s="2548"/>
      <c r="E27" s="3871"/>
      <c r="F27" s="3871"/>
      <c r="G27" s="3871"/>
    </row>
    <row r="28" spans="1:9">
      <c r="A28" s="2549" t="s">
        <v>2521</v>
      </c>
      <c r="B28" s="2548" t="s">
        <v>2522</v>
      </c>
      <c r="C28" s="2548"/>
      <c r="D28" s="2548"/>
      <c r="E28" s="3871"/>
      <c r="F28" s="3871"/>
      <c r="G28" s="3871"/>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62"/>
      <c r="F32" s="3862"/>
      <c r="G32" s="3862"/>
    </row>
    <row r="33" spans="1:7" hidden="1">
      <c r="A33" s="3872" t="s">
        <v>2530</v>
      </c>
      <c r="B33" s="3873"/>
      <c r="C33" s="3873"/>
      <c r="D33" s="3874"/>
      <c r="E33" s="3870"/>
      <c r="F33" s="3870"/>
      <c r="G33" s="3870"/>
    </row>
    <row r="34" spans="1:7" hidden="1">
      <c r="A34" s="2551">
        <v>1</v>
      </c>
      <c r="B34" s="2548" t="s">
        <v>2531</v>
      </c>
      <c r="C34" s="2548"/>
      <c r="D34" s="2548"/>
      <c r="E34" s="3871"/>
      <c r="F34" s="3871"/>
      <c r="G34" s="3871"/>
    </row>
    <row r="35" spans="1:7" hidden="1">
      <c r="A35" s="2551">
        <v>2</v>
      </c>
      <c r="B35" s="2548" t="s">
        <v>2532</v>
      </c>
      <c r="C35" s="2548"/>
      <c r="D35" s="2548"/>
      <c r="E35" s="3871"/>
      <c r="F35" s="3871"/>
      <c r="G35" s="3871"/>
    </row>
    <row r="36" spans="1:7" hidden="1">
      <c r="A36" s="2551">
        <v>3</v>
      </c>
      <c r="B36" s="2548" t="s">
        <v>2533</v>
      </c>
      <c r="C36" s="2548"/>
      <c r="D36" s="2548"/>
      <c r="E36" s="3871"/>
      <c r="F36" s="3871"/>
      <c r="G36" s="3871"/>
    </row>
    <row r="37" spans="1:7" hidden="1">
      <c r="A37" s="2551">
        <v>4</v>
      </c>
      <c r="B37" s="2548" t="s">
        <v>2534</v>
      </c>
      <c r="C37" s="2548"/>
      <c r="D37" s="2548"/>
      <c r="E37" s="3871"/>
      <c r="F37" s="3871"/>
      <c r="G37" s="3871"/>
    </row>
    <row r="38" spans="1:7" hidden="1">
      <c r="A38" s="3872" t="s">
        <v>2535</v>
      </c>
      <c r="B38" s="3873"/>
      <c r="C38" s="3873"/>
      <c r="D38" s="3874"/>
      <c r="E38" s="3870"/>
      <c r="F38" s="3870"/>
      <c r="G38" s="38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4866</v>
      </c>
      <c r="C2" s="2100"/>
      <c r="D2" s="2100"/>
      <c r="E2" s="2100"/>
      <c r="F2" s="2100"/>
      <c r="G2" s="2100"/>
    </row>
    <row r="3" spans="1:25" s="2051" customFormat="1" ht="18" customHeight="1">
      <c r="A3" s="1371" t="s">
        <v>1684</v>
      </c>
      <c r="B3" s="423">
        <f ca="1">ROUND(B2*10000/'数据-汇总表'!E3,0)</f>
        <v>101</v>
      </c>
      <c r="C3" s="2100"/>
      <c r="D3" s="2100"/>
      <c r="E3" s="2100"/>
      <c r="F3" s="2100"/>
      <c r="G3" s="2100"/>
    </row>
    <row r="4" spans="1:25" s="2051" customFormat="1" ht="18" customHeight="1">
      <c r="A4" s="424" t="s">
        <v>468</v>
      </c>
      <c r="B4" s="425">
        <f ca="1">ROUND(B2*10000/'数据-汇总表'!D3,0)</f>
        <v>652</v>
      </c>
      <c r="C4" s="2053"/>
      <c r="D4" s="2100"/>
      <c r="E4" s="2100"/>
      <c r="F4" s="2100"/>
      <c r="G4" s="2100"/>
    </row>
    <row r="5" spans="1:25" s="2051" customFormat="1" ht="18" customHeight="1" thickBot="1">
      <c r="A5" s="427"/>
      <c r="B5" s="428">
        <f ca="1">ROUND(B2/('数据-汇总表'!D3/666.67),0)</f>
        <v>43</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906</v>
      </c>
      <c r="D18" s="759"/>
      <c r="E18" s="760"/>
      <c r="F18" s="758">
        <f>'数据-取费表'!Q16</f>
        <v>0.18</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5941</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5941</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4866</v>
      </c>
      <c r="D22" s="757"/>
      <c r="E22" s="746"/>
      <c r="F22" s="763">
        <f>'数据-取费表'!AP16</f>
        <v>0.81899999999999995</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4866</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F4" sqref="F4"/>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203729</v>
      </c>
      <c r="C2" s="2096"/>
      <c r="D2" s="2096"/>
      <c r="E2" s="2096"/>
      <c r="F2" s="2096"/>
      <c r="G2" s="2096"/>
      <c r="H2" s="2096"/>
      <c r="I2" s="2096"/>
      <c r="J2" s="2096"/>
      <c r="K2" s="2096"/>
    </row>
    <row r="3" spans="1:31" s="2033" customFormat="1" ht="18" customHeight="1">
      <c r="A3" s="2098" t="s">
        <v>1683</v>
      </c>
      <c r="B3" s="2099">
        <f ca="1">ROUND(B2*10000/IF(B1="",'数据-汇总表'!E3,INDIRECT("'数据-取费表'!K"&amp;$K$1)),0)</f>
        <v>4249</v>
      </c>
      <c r="C3" s="2096"/>
      <c r="D3" s="2096"/>
      <c r="E3" s="2096"/>
      <c r="F3" s="2096"/>
      <c r="G3" s="2096"/>
      <c r="H3" s="2096"/>
      <c r="I3" s="2096"/>
      <c r="J3" s="2096"/>
      <c r="K3" s="2096"/>
    </row>
    <row r="4" spans="1:31" s="2033" customFormat="1" ht="18" customHeight="1">
      <c r="A4" s="424" t="s">
        <v>468</v>
      </c>
      <c r="B4" s="425">
        <f ca="1">ROUND(B2*10000/IF(B1="",'数据-汇总表'!D3,INDIRECT("'数据-取费表'!R"&amp;$K$1)),0)</f>
        <v>27285</v>
      </c>
      <c r="C4" s="426"/>
      <c r="D4" s="420"/>
      <c r="E4" s="420"/>
      <c r="F4" s="420"/>
      <c r="G4" s="420"/>
      <c r="H4" s="420"/>
      <c r="I4" s="420"/>
      <c r="J4" s="420"/>
      <c r="K4" s="420"/>
    </row>
    <row r="5" spans="1:31" s="2033" customFormat="1" ht="18" customHeight="1" thickBot="1">
      <c r="A5" s="427"/>
      <c r="B5" s="428">
        <f ca="1">ROUND(B2/(IF(B1="",'数据-汇总表'!D3,INDIRECT("'数据-取费表'!R"&amp;$K$1))/666.67),0)</f>
        <v>1819</v>
      </c>
      <c r="C5" s="429" t="s">
        <v>469</v>
      </c>
      <c r="D5" s="420"/>
      <c r="E5" s="420"/>
      <c r="F5" s="420"/>
      <c r="G5" s="420"/>
      <c r="H5" s="420"/>
      <c r="I5" s="420"/>
      <c r="J5" s="420"/>
      <c r="K5" s="420"/>
    </row>
    <row r="6" spans="1:31" s="2103" customFormat="1" ht="16.5" customHeight="1">
      <c r="A6" s="2845" t="s">
        <v>1841</v>
      </c>
      <c r="B6" s="2846"/>
      <c r="C6" s="2847">
        <f ca="1">SUM(C10:K10)</f>
        <v>515463</v>
      </c>
      <c r="D6" s="2846"/>
      <c r="E6" s="2846"/>
      <c r="F6" s="2846"/>
      <c r="G6" s="2846"/>
      <c r="H6" s="2846"/>
      <c r="I6" s="2846"/>
      <c r="J6" s="2846"/>
      <c r="K6" s="2848"/>
    </row>
    <row r="7" spans="1:31" s="2105" customFormat="1" ht="15">
      <c r="A7" s="2849" t="s">
        <v>470</v>
      </c>
      <c r="B7" s="2850" t="s">
        <v>471</v>
      </c>
      <c r="C7" s="434" t="s">
        <v>3206</v>
      </c>
      <c r="D7" s="434" t="s">
        <v>3454</v>
      </c>
      <c r="E7" s="434" t="s">
        <v>1678</v>
      </c>
      <c r="F7" s="434" t="s">
        <v>3457</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27564</v>
      </c>
      <c r="D8" s="2851">
        <f>典型户型修正!V24</f>
        <v>15944</v>
      </c>
      <c r="E8" s="2851">
        <f>'不动产比较法-办公'!B3</f>
        <v>12806</v>
      </c>
      <c r="F8" s="3564">
        <f ca="1">不动产收益法!C43</f>
        <v>2280</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2224</v>
      </c>
      <c r="D10" s="3044">
        <f>典型户型修正!S22-典型户型修正!S28</f>
        <v>140835</v>
      </c>
      <c r="E10" s="3044">
        <f>'不动产比较法-办公'!B2</f>
        <v>350064</v>
      </c>
      <c r="F10" s="3044">
        <f ca="1">不动产收益法!C40</f>
        <v>22340</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137051</v>
      </c>
      <c r="D13" s="2861"/>
      <c r="E13" s="2862"/>
      <c r="F13" s="2863"/>
      <c r="G13" s="2829"/>
      <c r="H13" s="2830"/>
      <c r="I13" s="2830"/>
      <c r="J13" s="2830"/>
      <c r="K13" s="2831"/>
    </row>
    <row r="14" spans="1:31" s="2108" customFormat="1" ht="13.5" customHeight="1">
      <c r="A14" s="2859" t="s">
        <v>1848</v>
      </c>
      <c r="B14" s="2860" t="s">
        <v>480</v>
      </c>
      <c r="C14" s="53">
        <f ca="1">ROUND(C13*F14,0)</f>
        <v>4112</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2056</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150412</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3447</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3075</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10309</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12050</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12050</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27491</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206694</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206694</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30088</v>
      </c>
      <c r="D33" s="465">
        <f ca="1">C34</f>
        <v>0.1852</v>
      </c>
      <c r="E33" s="467" t="s">
        <v>495</v>
      </c>
      <c r="F33" s="477">
        <f ca="1">IF(B1="",'数据-取费表'!Q16,INDIRECT("'数据-取费表'!q"&amp;$K$1))</f>
        <v>0.18</v>
      </c>
      <c r="G33" s="2833"/>
      <c r="H33" s="2834"/>
      <c r="I33" s="2834"/>
      <c r="J33" s="2834"/>
      <c r="K33" s="2835"/>
    </row>
    <row r="34" spans="1:11" s="2115" customFormat="1" ht="13.5" customHeight="1">
      <c r="A34" s="373" t="s">
        <v>1855</v>
      </c>
      <c r="B34" s="2880" t="s">
        <v>502</v>
      </c>
      <c r="C34" s="470">
        <f ca="1">ROUND((1+C25)*F33,4)</f>
        <v>0.1852</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30088</v>
      </c>
      <c r="D35" s="1621"/>
      <c r="E35" s="2881"/>
      <c r="F35" s="1622"/>
      <c r="G35" s="2839"/>
      <c r="H35" s="2840"/>
      <c r="I35" s="2840"/>
      <c r="J35" s="2840"/>
      <c r="K35" s="2841"/>
    </row>
    <row r="36" spans="1:11" s="2077" customFormat="1" ht="13.5" customHeight="1" thickBot="1">
      <c r="A36" s="282" t="s">
        <v>1843</v>
      </c>
      <c r="B36" s="2843"/>
      <c r="C36" s="2882">
        <f ca="1">ROUND((C6-C30-C33)/(1+D30+D33),0)</f>
        <v>203729</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3314</v>
      </c>
      <c r="E1" s="2642"/>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70" t="s">
        <v>523</v>
      </c>
      <c r="D4" s="3771"/>
      <c r="E4" s="3805" t="s">
        <v>524</v>
      </c>
      <c r="F4" s="3806"/>
      <c r="G4" s="3770" t="s">
        <v>525</v>
      </c>
      <c r="H4" s="3771"/>
      <c r="I4" s="3770" t="s">
        <v>526</v>
      </c>
      <c r="J4" s="3771"/>
      <c r="K4" s="850" t="s">
        <v>527</v>
      </c>
      <c r="L4" s="2125"/>
      <c r="M4" s="2126"/>
      <c r="N4" s="2126"/>
      <c r="O4" s="2126"/>
      <c r="P4" s="3772" t="s">
        <v>528</v>
      </c>
      <c r="Q4" s="3773"/>
      <c r="R4" s="3778" t="s">
        <v>524</v>
      </c>
      <c r="S4" s="3779"/>
      <c r="T4" s="3778" t="s">
        <v>525</v>
      </c>
      <c r="U4" s="3779"/>
      <c r="V4" s="3765" t="s">
        <v>526</v>
      </c>
      <c r="W4" s="3765"/>
      <c r="X4" s="1559"/>
      <c r="Y4" s="3778" t="s">
        <v>528</v>
      </c>
      <c r="Z4" s="3779"/>
      <c r="AA4" s="3767" t="s">
        <v>524</v>
      </c>
      <c r="AB4" s="3767" t="s">
        <v>525</v>
      </c>
      <c r="AC4" s="3767" t="s">
        <v>526</v>
      </c>
    </row>
    <row r="5" spans="1:29" ht="15">
      <c r="A5" s="513"/>
      <c r="B5" s="514"/>
      <c r="C5" s="3878" t="s">
        <v>3321</v>
      </c>
      <c r="D5" s="3787"/>
      <c r="E5" s="3879" t="s">
        <v>3322</v>
      </c>
      <c r="F5" s="3808"/>
      <c r="G5" s="3878" t="s">
        <v>3323</v>
      </c>
      <c r="H5" s="3787"/>
      <c r="I5" s="3878" t="s">
        <v>3342</v>
      </c>
      <c r="J5" s="3787"/>
      <c r="K5" s="851"/>
      <c r="L5" s="2125"/>
      <c r="M5" s="2126"/>
      <c r="N5" s="2126"/>
      <c r="O5" s="2126"/>
      <c r="P5" s="3774"/>
      <c r="Q5" s="3775"/>
      <c r="R5" s="3780"/>
      <c r="S5" s="3781"/>
      <c r="T5" s="3780"/>
      <c r="U5" s="3781"/>
      <c r="V5" s="3765"/>
      <c r="W5" s="3765"/>
      <c r="X5" s="1559"/>
      <c r="Y5" s="3780"/>
      <c r="Z5" s="3781"/>
      <c r="AA5" s="3768"/>
      <c r="AB5" s="3768"/>
      <c r="AC5" s="3768"/>
    </row>
    <row r="6" spans="1:29" ht="15.75" thickBot="1">
      <c r="A6" s="515"/>
      <c r="B6" s="516"/>
      <c r="C6" s="3784" t="s">
        <v>2933</v>
      </c>
      <c r="D6" s="3785"/>
      <c r="E6" s="3803" t="s">
        <v>2933</v>
      </c>
      <c r="F6" s="3804"/>
      <c r="G6" s="3784" t="s">
        <v>2933</v>
      </c>
      <c r="H6" s="3785"/>
      <c r="I6" s="3784" t="s">
        <v>2933</v>
      </c>
      <c r="J6" s="3785"/>
      <c r="K6" s="851" t="s">
        <v>529</v>
      </c>
      <c r="L6" s="2125"/>
      <c r="M6" s="2126"/>
      <c r="N6" s="2126"/>
      <c r="O6" s="2126"/>
      <c r="P6" s="3776"/>
      <c r="Q6" s="3777"/>
      <c r="R6" s="3780"/>
      <c r="S6" s="3781"/>
      <c r="T6" s="3782"/>
      <c r="U6" s="3783"/>
      <c r="V6" s="3765"/>
      <c r="W6" s="3765"/>
      <c r="X6" s="1559"/>
      <c r="Y6" s="3782"/>
      <c r="Z6" s="3783"/>
      <c r="AA6" s="3769"/>
      <c r="AB6" s="3769"/>
      <c r="AC6" s="3769"/>
    </row>
    <row r="7" spans="1:29" s="1213" customFormat="1" ht="15.75" thickBot="1">
      <c r="A7" s="2928"/>
      <c r="B7" s="2935" t="s">
        <v>530</v>
      </c>
      <c r="C7" s="517">
        <f>'数据-取费表'!B2</f>
        <v>43923</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95" t="s">
        <v>531</v>
      </c>
      <c r="Q7" s="3797"/>
      <c r="R7" s="1560" t="s">
        <v>13</v>
      </c>
      <c r="S7" s="1561">
        <f t="shared" ref="S7:S15" si="0">F7</f>
        <v>0</v>
      </c>
      <c r="T7" s="1560" t="s">
        <v>13</v>
      </c>
      <c r="U7" s="1561">
        <f t="shared" ref="U7:U15" si="1">H7</f>
        <v>0</v>
      </c>
      <c r="V7" s="1560" t="s">
        <v>13</v>
      </c>
      <c r="W7" s="1561">
        <f t="shared" ref="W7:W15" si="2">J7</f>
        <v>0</v>
      </c>
      <c r="X7" s="1562"/>
      <c r="Y7" s="3795" t="s">
        <v>531</v>
      </c>
      <c r="Z7" s="3796"/>
      <c r="AA7" s="1563" t="e">
        <f>D7/F7</f>
        <v>#DIV/0!</v>
      </c>
      <c r="AB7" s="1563" t="e">
        <f>D7/H7</f>
        <v>#DIV/0!</v>
      </c>
      <c r="AC7" s="1563" t="e">
        <f>D7/J7</f>
        <v>#DIV/0!</v>
      </c>
    </row>
    <row r="8" spans="1:29" s="1213" customFormat="1" ht="15.75" thickBot="1">
      <c r="A8" s="2929"/>
      <c r="B8" s="2936" t="s">
        <v>532</v>
      </c>
      <c r="C8" s="523" t="s">
        <v>577</v>
      </c>
      <c r="D8" s="518">
        <v>100</v>
      </c>
      <c r="E8" s="3518" t="s">
        <v>3343</v>
      </c>
      <c r="F8" s="520">
        <f>SUMIF(61:61,E8,62:62)-SUMIF(61:61,C8,62:62)+100</f>
        <v>100</v>
      </c>
      <c r="G8" s="3502" t="s">
        <v>3343</v>
      </c>
      <c r="H8" s="518">
        <f>SUMIF(61:61,G8,62:62)-SUMIF(61:61,C8,62:62)+100</f>
        <v>100</v>
      </c>
      <c r="I8" s="3518" t="s">
        <v>3343</v>
      </c>
      <c r="J8" s="518">
        <f>SUMIF(61:61,I8,62:62)-SUMIF(61:61,C8,62:62)+100</f>
        <v>100</v>
      </c>
      <c r="K8" s="852"/>
      <c r="L8" s="2127"/>
      <c r="M8" s="2128"/>
      <c r="N8" s="2128"/>
      <c r="O8" s="2128"/>
      <c r="P8" s="3795" t="s">
        <v>534</v>
      </c>
      <c r="Q8" s="3796"/>
      <c r="R8" s="1560" t="s">
        <v>13</v>
      </c>
      <c r="S8" s="1561">
        <f t="shared" si="0"/>
        <v>100</v>
      </c>
      <c r="T8" s="1560" t="s">
        <v>13</v>
      </c>
      <c r="U8" s="1561">
        <f t="shared" si="1"/>
        <v>100</v>
      </c>
      <c r="V8" s="1560" t="s">
        <v>13</v>
      </c>
      <c r="W8" s="1561">
        <f t="shared" si="2"/>
        <v>100</v>
      </c>
      <c r="X8" s="1562"/>
      <c r="Y8" s="3795" t="s">
        <v>534</v>
      </c>
      <c r="Z8" s="3796"/>
      <c r="AA8" s="1563">
        <f t="shared" ref="AA8:AA46" si="3">D8/F8</f>
        <v>1</v>
      </c>
      <c r="AB8" s="1563">
        <f t="shared" ref="AB8:AB46" si="4">D8/H8</f>
        <v>1</v>
      </c>
      <c r="AC8" s="1563">
        <f t="shared" ref="AC8:AC46" si="5">D8/J8</f>
        <v>1</v>
      </c>
    </row>
    <row r="9" spans="1:29" s="1213" customFormat="1" ht="15">
      <c r="A9" s="2930"/>
      <c r="B9" s="2937" t="s">
        <v>2760</v>
      </c>
      <c r="C9" s="3503" t="s">
        <v>3344</v>
      </c>
      <c r="D9" s="252">
        <v>100</v>
      </c>
      <c r="E9" s="3505" t="s">
        <v>3344</v>
      </c>
      <c r="F9" s="856">
        <f>SUMIF(63:63,E9,64:64)-SUMIF(63:63,C9,64:64)+100</f>
        <v>100</v>
      </c>
      <c r="G9" s="3504" t="s">
        <v>3344</v>
      </c>
      <c r="H9" s="252">
        <f>SUMIF(63:63,G9,64:64)-SUMIF(63:63,C9,64:64)+100</f>
        <v>100</v>
      </c>
      <c r="I9" s="3504" t="s">
        <v>3345</v>
      </c>
      <c r="J9" s="252">
        <f>SUMIF(63:63,I9,64:64)-SUMIF(63:63,C9,64:64)+100</f>
        <v>100</v>
      </c>
      <c r="K9" s="852"/>
      <c r="L9" s="2127"/>
      <c r="M9" s="2128"/>
      <c r="N9" s="2128"/>
      <c r="O9" s="2129"/>
      <c r="P9" s="3764" t="s">
        <v>536</v>
      </c>
      <c r="Q9" s="1144" t="str">
        <f t="shared" ref="Q9:Q15" si="6">B9</f>
        <v>用途</v>
      </c>
      <c r="R9" s="1560" t="s">
        <v>8</v>
      </c>
      <c r="S9" s="1561">
        <f t="shared" si="0"/>
        <v>100</v>
      </c>
      <c r="T9" s="1560" t="s">
        <v>8</v>
      </c>
      <c r="U9" s="1561">
        <f t="shared" si="1"/>
        <v>100</v>
      </c>
      <c r="V9" s="1560" t="s">
        <v>8</v>
      </c>
      <c r="W9" s="1561">
        <f t="shared" si="2"/>
        <v>100</v>
      </c>
      <c r="X9" s="1562"/>
      <c r="Y9" s="3710"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0" t="s">
        <v>3326</v>
      </c>
      <c r="F10" s="860">
        <f>SUMIF(65:65,E10,66:66)-SUMIF(65:65,C10,66:66)+100</f>
        <v>100</v>
      </c>
      <c r="G10" s="858" t="s">
        <v>3326</v>
      </c>
      <c r="H10" s="253">
        <f>SUMIF(65:65,G10,66:66)-SUMIF(65:65,C10,66:66)+100</f>
        <v>100</v>
      </c>
      <c r="I10" s="858" t="s">
        <v>3326</v>
      </c>
      <c r="J10" s="253">
        <f>SUMIF(65:65,I10,66:66)-SUMIF(65:65,C10,66:66)+100</f>
        <v>100</v>
      </c>
      <c r="K10" s="861">
        <v>2</v>
      </c>
      <c r="L10" s="2130"/>
      <c r="M10" s="2170"/>
      <c r="N10" s="2170"/>
      <c r="O10" s="2131"/>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64"/>
      <c r="Q11" s="1144" t="str">
        <f t="shared" si="6"/>
        <v>容积率</v>
      </c>
      <c r="R11" s="1560" t="s">
        <v>11</v>
      </c>
      <c r="S11" s="1561">
        <f t="shared" si="0"/>
        <v>100</v>
      </c>
      <c r="T11" s="1560" t="s">
        <v>11</v>
      </c>
      <c r="U11" s="1561">
        <f t="shared" si="1"/>
        <v>100</v>
      </c>
      <c r="V11" s="1560" t="s">
        <v>11</v>
      </c>
      <c r="W11" s="1561">
        <f t="shared" si="2"/>
        <v>100</v>
      </c>
      <c r="X11" s="1562"/>
      <c r="Y11" s="3710"/>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64"/>
      <c r="Q12" s="1144">
        <f t="shared" si="6"/>
        <v>111</v>
      </c>
      <c r="R12" s="1560" t="s">
        <v>11</v>
      </c>
      <c r="S12" s="1561">
        <f t="shared" si="0"/>
        <v>100</v>
      </c>
      <c r="T12" s="1560" t="s">
        <v>11</v>
      </c>
      <c r="U12" s="1561">
        <f t="shared" si="1"/>
        <v>100</v>
      </c>
      <c r="V12" s="1560" t="s">
        <v>11</v>
      </c>
      <c r="W12" s="1561">
        <f t="shared" si="2"/>
        <v>100</v>
      </c>
      <c r="X12" s="1562"/>
      <c r="Y12" s="3710"/>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64"/>
      <c r="Q13" s="1144">
        <f t="shared" si="6"/>
        <v>111</v>
      </c>
      <c r="R13" s="1560" t="s">
        <v>11</v>
      </c>
      <c r="S13" s="1561">
        <f t="shared" si="0"/>
        <v>100</v>
      </c>
      <c r="T13" s="1560" t="s">
        <v>11</v>
      </c>
      <c r="U13" s="1561">
        <f t="shared" si="1"/>
        <v>100</v>
      </c>
      <c r="V13" s="1560" t="s">
        <v>11</v>
      </c>
      <c r="W13" s="1561">
        <f t="shared" si="2"/>
        <v>100</v>
      </c>
      <c r="X13" s="1562"/>
      <c r="Y13" s="3710"/>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64"/>
      <c r="Q14" s="1144">
        <f t="shared" si="6"/>
        <v>111</v>
      </c>
      <c r="R14" s="1560" t="s">
        <v>11</v>
      </c>
      <c r="S14" s="1561">
        <f t="shared" si="0"/>
        <v>100</v>
      </c>
      <c r="T14" s="1560" t="s">
        <v>11</v>
      </c>
      <c r="U14" s="1561">
        <f t="shared" si="1"/>
        <v>100</v>
      </c>
      <c r="V14" s="1560" t="s">
        <v>11</v>
      </c>
      <c r="W14" s="1561">
        <f t="shared" si="2"/>
        <v>100</v>
      </c>
      <c r="X14" s="1562"/>
      <c r="Y14" s="3710"/>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3449</v>
      </c>
      <c r="F15" s="549">
        <f>SUMIF(76:76,E16,77:77)-SUMIF(76:76,C16,77:77)+100</f>
        <v>100</v>
      </c>
      <c r="G15" s="3523" t="s">
        <v>3449</v>
      </c>
      <c r="H15" s="547">
        <f>SUMIF(76:76,G16,77:77)-SUMIF(76:76,C16,77:77)+100</f>
        <v>100</v>
      </c>
      <c r="I15" s="3522" t="s">
        <v>3452</v>
      </c>
      <c r="J15" s="547">
        <f>SUMIF(76:76,I16,77:77)-SUMIF(76:76,C16,77:77)+100</f>
        <v>100</v>
      </c>
      <c r="K15" s="865">
        <v>2</v>
      </c>
      <c r="L15" s="2134"/>
      <c r="M15" s="2126"/>
      <c r="N15" s="2126"/>
      <c r="O15" s="2133"/>
      <c r="P15" s="3798" t="s">
        <v>541</v>
      </c>
      <c r="Q15" s="1564" t="str">
        <f t="shared" si="6"/>
        <v>居住社区成熟度</v>
      </c>
      <c r="R15" s="1565" t="s">
        <v>11</v>
      </c>
      <c r="S15" s="1566">
        <f t="shared" si="0"/>
        <v>100</v>
      </c>
      <c r="T15" s="1565" t="s">
        <v>11</v>
      </c>
      <c r="U15" s="1566">
        <f t="shared" si="1"/>
        <v>100</v>
      </c>
      <c r="V15" s="1565" t="s">
        <v>11</v>
      </c>
      <c r="W15" s="1566">
        <f t="shared" si="2"/>
        <v>100</v>
      </c>
      <c r="X15" s="1559"/>
      <c r="Y15" s="3798" t="s">
        <v>541</v>
      </c>
      <c r="Z15" s="1567" t="str">
        <f t="shared" si="7"/>
        <v>居住社区成熟度</v>
      </c>
      <c r="AA15" s="1568">
        <f t="shared" si="3"/>
        <v>1</v>
      </c>
      <c r="AB15" s="1568">
        <f t="shared" si="4"/>
        <v>1</v>
      </c>
      <c r="AC15" s="1568">
        <f t="shared" si="5"/>
        <v>1</v>
      </c>
    </row>
    <row r="16" spans="1:29" ht="15">
      <c r="A16" s="530"/>
      <c r="B16" s="866"/>
      <c r="C16" s="3499" t="s">
        <v>3346</v>
      </c>
      <c r="D16" s="553"/>
      <c r="E16" s="3494" t="s">
        <v>3346</v>
      </c>
      <c r="F16" s="555"/>
      <c r="G16" s="3493" t="s">
        <v>3346</v>
      </c>
      <c r="H16" s="557"/>
      <c r="I16" s="3494" t="s">
        <v>3288</v>
      </c>
      <c r="J16" s="553"/>
      <c r="K16" s="867"/>
      <c r="L16" s="2134"/>
      <c r="M16" s="2126"/>
      <c r="N16" s="2126"/>
      <c r="O16" s="2133"/>
      <c r="P16" s="3799"/>
      <c r="Q16" s="1564"/>
      <c r="R16" s="1565"/>
      <c r="S16" s="1566"/>
      <c r="T16" s="1565"/>
      <c r="U16" s="1566"/>
      <c r="V16" s="1565"/>
      <c r="W16" s="1566"/>
      <c r="X16" s="1559"/>
      <c r="Y16" s="3799"/>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3399</v>
      </c>
      <c r="F17" s="561">
        <f>SUMIF(78:78,E18,79:79)-SUMIF(78:78,C18,79:79)+100</f>
        <v>100</v>
      </c>
      <c r="G17" s="562" t="s">
        <v>3399</v>
      </c>
      <c r="H17" s="563">
        <f>SUMIF(78:78,G18,79:79)-SUMIF(78:78,C18,79:79)+100</f>
        <v>100</v>
      </c>
      <c r="I17" s="560" t="s">
        <v>3400</v>
      </c>
      <c r="J17" s="563">
        <f>SUMIF(78:78,I18,79:79)-SUMIF(78:78,C18,79:79)+100</f>
        <v>100</v>
      </c>
      <c r="K17" s="865">
        <v>2</v>
      </c>
      <c r="L17" s="2134"/>
      <c r="M17" s="2126"/>
      <c r="N17" s="2126"/>
      <c r="O17" s="2133"/>
      <c r="P17" s="3799"/>
      <c r="Q17" s="1564" t="str">
        <f>B17</f>
        <v>交通便捷度</v>
      </c>
      <c r="R17" s="1565" t="s">
        <v>11</v>
      </c>
      <c r="S17" s="1566">
        <f>F17</f>
        <v>100</v>
      </c>
      <c r="T17" s="1565" t="s">
        <v>11</v>
      </c>
      <c r="U17" s="1566">
        <f>H17</f>
        <v>100</v>
      </c>
      <c r="V17" s="1565" t="s">
        <v>11</v>
      </c>
      <c r="W17" s="1566">
        <f>J17</f>
        <v>100</v>
      </c>
      <c r="X17" s="1559"/>
      <c r="Y17" s="3799"/>
      <c r="Z17" s="1567" t="str">
        <f>Q17</f>
        <v>交通便捷度</v>
      </c>
      <c r="AA17" s="1568">
        <f t="shared" si="3"/>
        <v>1</v>
      </c>
      <c r="AB17" s="1568">
        <f t="shared" si="4"/>
        <v>1</v>
      </c>
      <c r="AC17" s="1568">
        <f t="shared" si="5"/>
        <v>1</v>
      </c>
    </row>
    <row r="18" spans="1:29" ht="15">
      <c r="A18" s="530"/>
      <c r="B18" s="592"/>
      <c r="C18" s="3506" t="s">
        <v>3346</v>
      </c>
      <c r="D18" s="557"/>
      <c r="E18" s="3507" t="s">
        <v>3346</v>
      </c>
      <c r="F18" s="561"/>
      <c r="G18" s="3508" t="s">
        <v>3346</v>
      </c>
      <c r="H18" s="553"/>
      <c r="I18" s="3507" t="s">
        <v>3346</v>
      </c>
      <c r="J18" s="553"/>
      <c r="K18" s="867"/>
      <c r="L18" s="2134"/>
      <c r="M18" s="2126"/>
      <c r="N18" s="2126"/>
      <c r="O18" s="2133"/>
      <c r="P18" s="3799"/>
      <c r="Q18" s="1564"/>
      <c r="R18" s="1565"/>
      <c r="S18" s="1566"/>
      <c r="T18" s="1565"/>
      <c r="U18" s="1566"/>
      <c r="V18" s="1565"/>
      <c r="W18" s="1566"/>
      <c r="X18" s="1559"/>
      <c r="Y18" s="3799"/>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3402</v>
      </c>
      <c r="F19" s="568">
        <f>SUMIF(80:80,E20,81:81)-SUMIF(80:80,C20,81:81)+100</f>
        <v>100</v>
      </c>
      <c r="G19" s="3525" t="s">
        <v>3402</v>
      </c>
      <c r="H19" s="557">
        <f>SUMIF(80:80,G20,81:81)-SUMIF(80:80,C20,81:81)+100</f>
        <v>100</v>
      </c>
      <c r="I19" s="3524" t="s">
        <v>3401</v>
      </c>
      <c r="J19" s="557">
        <f>SUMIF(80:80,I20,81:81)-SUMIF(80:80,C20,81:81)+100</f>
        <v>100</v>
      </c>
      <c r="K19" s="865">
        <v>2</v>
      </c>
      <c r="L19" s="2134"/>
      <c r="M19" s="2126"/>
      <c r="N19" s="2126"/>
      <c r="O19" s="2133"/>
      <c r="P19" s="3799"/>
      <c r="Q19" s="1564" t="str">
        <f>B19</f>
        <v>公共配套设施</v>
      </c>
      <c r="R19" s="1565" t="s">
        <v>11</v>
      </c>
      <c r="S19" s="1566">
        <f>F19</f>
        <v>100</v>
      </c>
      <c r="T19" s="1565" t="s">
        <v>11</v>
      </c>
      <c r="U19" s="1566">
        <f>H19</f>
        <v>100</v>
      </c>
      <c r="V19" s="1565" t="s">
        <v>11</v>
      </c>
      <c r="W19" s="1566">
        <f>J19</f>
        <v>100</v>
      </c>
      <c r="X19" s="1559"/>
      <c r="Y19" s="3799"/>
      <c r="Z19" s="1567" t="str">
        <f>Q19</f>
        <v>公共配套设施</v>
      </c>
      <c r="AA19" s="1568">
        <f t="shared" si="3"/>
        <v>1</v>
      </c>
      <c r="AB19" s="1568">
        <f t="shared" si="4"/>
        <v>1</v>
      </c>
      <c r="AC19" s="1568">
        <f t="shared" si="5"/>
        <v>1</v>
      </c>
    </row>
    <row r="20" spans="1:29" ht="15">
      <c r="A20" s="530"/>
      <c r="B20" s="592"/>
      <c r="C20" s="3499" t="s">
        <v>3346</v>
      </c>
      <c r="D20" s="553"/>
      <c r="E20" s="3494" t="s">
        <v>3346</v>
      </c>
      <c r="F20" s="555"/>
      <c r="G20" s="3493" t="s">
        <v>3346</v>
      </c>
      <c r="H20" s="553"/>
      <c r="I20" s="3494" t="s">
        <v>3346</v>
      </c>
      <c r="J20" s="553"/>
      <c r="K20" s="867"/>
      <c r="L20" s="2134"/>
      <c r="M20" s="2126"/>
      <c r="N20" s="2126"/>
      <c r="O20" s="2133"/>
      <c r="P20" s="3799"/>
      <c r="Q20" s="1564"/>
      <c r="R20" s="1565"/>
      <c r="S20" s="1566"/>
      <c r="T20" s="1565"/>
      <c r="U20" s="1566"/>
      <c r="V20" s="1565"/>
      <c r="W20" s="1566"/>
      <c r="X20" s="1559"/>
      <c r="Y20" s="3799"/>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99"/>
      <c r="Q21" s="2595" t="str">
        <f>B21</f>
        <v>基础设施水平</v>
      </c>
      <c r="R21" s="1565" t="s">
        <v>11</v>
      </c>
      <c r="S21" s="1566">
        <f>F21</f>
        <v>100</v>
      </c>
      <c r="T21" s="1565" t="s">
        <v>11</v>
      </c>
      <c r="U21" s="1566">
        <f>H21</f>
        <v>100</v>
      </c>
      <c r="V21" s="1565" t="s">
        <v>11</v>
      </c>
      <c r="W21" s="1566">
        <f>J21</f>
        <v>100</v>
      </c>
      <c r="X21" s="2597"/>
      <c r="Y21" s="3799"/>
      <c r="Z21" s="2596" t="str">
        <f>Q21</f>
        <v>基础设施水平</v>
      </c>
      <c r="AA21" s="1568">
        <f t="shared" ref="AA21" si="8">D21/F21</f>
        <v>1</v>
      </c>
      <c r="AB21" s="1568">
        <f t="shared" ref="AB21" si="9">D21/H21</f>
        <v>1</v>
      </c>
      <c r="AC21" s="1568">
        <f t="shared" ref="AC21" si="10">D21/J21</f>
        <v>1</v>
      </c>
    </row>
    <row r="22" spans="1:29" ht="15">
      <c r="A22" s="530"/>
      <c r="B22" s="915"/>
      <c r="C22" s="3506" t="s">
        <v>3348</v>
      </c>
      <c r="D22" s="553"/>
      <c r="E22" s="3499" t="s">
        <v>3348</v>
      </c>
      <c r="F22" s="555"/>
      <c r="G22" s="3499" t="s">
        <v>3348</v>
      </c>
      <c r="H22" s="553"/>
      <c r="I22" s="3499" t="s">
        <v>3348</v>
      </c>
      <c r="J22" s="553"/>
      <c r="K22" s="2615"/>
      <c r="L22" s="2134"/>
      <c r="M22" s="2126"/>
      <c r="N22" s="2126"/>
      <c r="O22" s="2133"/>
      <c r="P22" s="3799"/>
      <c r="Q22" s="2595"/>
      <c r="R22" s="1565"/>
      <c r="S22" s="1566"/>
      <c r="T22" s="1565"/>
      <c r="U22" s="1566"/>
      <c r="V22" s="1565"/>
      <c r="W22" s="1566"/>
      <c r="X22" s="2597"/>
      <c r="Y22" s="3799"/>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3424</v>
      </c>
      <c r="F23" s="561">
        <f>SUMIF(84:84,E24,85:85)-SUMIF(84:84,C24,85:85)+100</f>
        <v>100</v>
      </c>
      <c r="G23" s="3527" t="s">
        <v>3424</v>
      </c>
      <c r="H23" s="557">
        <f>SUMIF(84:84,G24,85:85)-SUMIF(84:84,C24,85:85)+100</f>
        <v>100</v>
      </c>
      <c r="I23" s="3526" t="s">
        <v>3431</v>
      </c>
      <c r="J23" s="557">
        <f>SUMIF(84:84,I24,85:85)-SUMIF(84:84,C24,85:85)+100</f>
        <v>100</v>
      </c>
      <c r="K23" s="865">
        <v>2</v>
      </c>
      <c r="L23" s="2134"/>
      <c r="M23" s="2126"/>
      <c r="N23" s="2126"/>
      <c r="O23" s="2133"/>
      <c r="P23" s="3799"/>
      <c r="Q23" s="1564" t="str">
        <f>B23</f>
        <v>自然及人文环境</v>
      </c>
      <c r="R23" s="1565" t="s">
        <v>11</v>
      </c>
      <c r="S23" s="1566">
        <f>F23</f>
        <v>100</v>
      </c>
      <c r="T23" s="1565" t="s">
        <v>11</v>
      </c>
      <c r="U23" s="1566">
        <f>H23</f>
        <v>100</v>
      </c>
      <c r="V23" s="1565" t="s">
        <v>11</v>
      </c>
      <c r="W23" s="1566">
        <f>J23</f>
        <v>100</v>
      </c>
      <c r="X23" s="1559"/>
      <c r="Y23" s="3799"/>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99"/>
      <c r="Q24" s="1564"/>
      <c r="R24" s="1565"/>
      <c r="S24" s="1566"/>
      <c r="T24" s="1565"/>
      <c r="U24" s="1566"/>
      <c r="V24" s="1565"/>
      <c r="W24" s="1566"/>
      <c r="X24" s="1559"/>
      <c r="Y24" s="3799"/>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99"/>
      <c r="Q25" s="1564" t="str">
        <f t="shared" ref="Q25:Q46" si="11">B25</f>
        <v>楼层-1</v>
      </c>
      <c r="R25" s="1565" t="s">
        <v>11</v>
      </c>
      <c r="S25" s="1566">
        <f>F25</f>
        <v>100</v>
      </c>
      <c r="T25" s="1565" t="s">
        <v>11</v>
      </c>
      <c r="U25" s="1566">
        <f>H25</f>
        <v>100</v>
      </c>
      <c r="V25" s="1565" t="s">
        <v>11</v>
      </c>
      <c r="W25" s="1566">
        <f>J25</f>
        <v>100</v>
      </c>
      <c r="X25" s="1559"/>
      <c r="Y25" s="3799"/>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99"/>
      <c r="Q26" s="1564" t="str">
        <f t="shared" si="11"/>
        <v>朝向</v>
      </c>
      <c r="R26" s="1565" t="s">
        <v>11</v>
      </c>
      <c r="S26" s="1566">
        <f>F26</f>
        <v>100</v>
      </c>
      <c r="T26" s="1565" t="s">
        <v>11</v>
      </c>
      <c r="U26" s="1566">
        <f>H26</f>
        <v>100</v>
      </c>
      <c r="V26" s="1565" t="s">
        <v>11</v>
      </c>
      <c r="W26" s="1566">
        <f>J26</f>
        <v>100</v>
      </c>
      <c r="X26" s="1559"/>
      <c r="Y26" s="3799"/>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99"/>
      <c r="Q27" s="1144" t="str">
        <f t="shared" si="11"/>
        <v>道路级别</v>
      </c>
      <c r="R27" s="1560" t="s">
        <v>11</v>
      </c>
      <c r="S27" s="1561">
        <f>F27</f>
        <v>100</v>
      </c>
      <c r="T27" s="1560" t="s">
        <v>11</v>
      </c>
      <c r="U27" s="1561">
        <f>H27</f>
        <v>100</v>
      </c>
      <c r="V27" s="1560" t="s">
        <v>11</v>
      </c>
      <c r="W27" s="1561">
        <f>J27</f>
        <v>100</v>
      </c>
      <c r="X27" s="1562"/>
      <c r="Y27" s="3799"/>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99"/>
      <c r="Q28" s="1564">
        <f t="shared" si="11"/>
        <v>111</v>
      </c>
      <c r="R28" s="1565" t="s">
        <v>11</v>
      </c>
      <c r="S28" s="1566">
        <f t="shared" ref="S28:S46" si="12">F28</f>
        <v>100</v>
      </c>
      <c r="T28" s="1565" t="s">
        <v>11</v>
      </c>
      <c r="U28" s="1566">
        <f t="shared" ref="U28:U46" si="13">H28</f>
        <v>100</v>
      </c>
      <c r="V28" s="1565" t="s">
        <v>11</v>
      </c>
      <c r="W28" s="1566">
        <f t="shared" ref="W28:W46" si="14">J28</f>
        <v>100</v>
      </c>
      <c r="X28" s="1559"/>
      <c r="Y28" s="3799"/>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99"/>
      <c r="Q29" s="1564">
        <f t="shared" si="11"/>
        <v>111</v>
      </c>
      <c r="R29" s="1565" t="s">
        <v>11</v>
      </c>
      <c r="S29" s="1566">
        <f t="shared" si="12"/>
        <v>100</v>
      </c>
      <c r="T29" s="1565" t="s">
        <v>11</v>
      </c>
      <c r="U29" s="1566">
        <f t="shared" si="13"/>
        <v>100</v>
      </c>
      <c r="V29" s="1565" t="s">
        <v>11</v>
      </c>
      <c r="W29" s="1566">
        <f t="shared" si="14"/>
        <v>100</v>
      </c>
      <c r="X29" s="1559"/>
      <c r="Y29" s="3799"/>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99"/>
      <c r="Q30" s="1564">
        <f t="shared" si="11"/>
        <v>111</v>
      </c>
      <c r="R30" s="1565" t="s">
        <v>11</v>
      </c>
      <c r="S30" s="1566">
        <f t="shared" si="12"/>
        <v>100</v>
      </c>
      <c r="T30" s="1565" t="s">
        <v>11</v>
      </c>
      <c r="U30" s="1566">
        <f t="shared" si="13"/>
        <v>100</v>
      </c>
      <c r="V30" s="1565" t="s">
        <v>11</v>
      </c>
      <c r="W30" s="1566">
        <f t="shared" si="14"/>
        <v>100</v>
      </c>
      <c r="X30" s="1559"/>
      <c r="Y30" s="3799"/>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99"/>
      <c r="Q31" s="1564">
        <f t="shared" si="11"/>
        <v>111</v>
      </c>
      <c r="R31" s="1565" t="s">
        <v>11</v>
      </c>
      <c r="S31" s="1566">
        <f t="shared" si="12"/>
        <v>100</v>
      </c>
      <c r="T31" s="1565" t="s">
        <v>11</v>
      </c>
      <c r="U31" s="1566">
        <f t="shared" si="13"/>
        <v>100</v>
      </c>
      <c r="V31" s="1565" t="s">
        <v>11</v>
      </c>
      <c r="W31" s="1566">
        <f t="shared" si="14"/>
        <v>100</v>
      </c>
      <c r="X31" s="1559"/>
      <c r="Y31" s="3799"/>
      <c r="Z31" s="1567">
        <f t="shared" si="15"/>
        <v>111</v>
      </c>
      <c r="AA31" s="1568">
        <f t="shared" si="3"/>
        <v>1</v>
      </c>
      <c r="AB31" s="1568">
        <f t="shared" si="4"/>
        <v>1</v>
      </c>
      <c r="AC31" s="1568">
        <f t="shared" si="5"/>
        <v>1</v>
      </c>
    </row>
    <row r="32" spans="1:29" ht="15">
      <c r="A32" s="2924" t="s">
        <v>2759</v>
      </c>
      <c r="B32" s="172" t="s">
        <v>726</v>
      </c>
      <c r="C32" s="3510" t="s">
        <v>3349</v>
      </c>
      <c r="D32" s="594">
        <v>100</v>
      </c>
      <c r="E32" s="3519" t="s">
        <v>3349</v>
      </c>
      <c r="F32" s="572">
        <f>SUMIF(100:100,E32,101:101)-SUMIF(100:100,C32,101:101)+100</f>
        <v>100</v>
      </c>
      <c r="G32" s="3510" t="s">
        <v>3349</v>
      </c>
      <c r="H32" s="594">
        <f>SUMIF(100:100,G32,101:101)-SUMIF(100:100,C32,101:101)+100</f>
        <v>100</v>
      </c>
      <c r="I32" s="3519" t="s">
        <v>3349</v>
      </c>
      <c r="J32" s="538">
        <f>SUMIF(100:100,I32,101:101)-SUMIF(100:100,C32,101:101)+100</f>
        <v>100</v>
      </c>
      <c r="K32" s="861">
        <v>2</v>
      </c>
      <c r="L32" s="2134"/>
      <c r="M32" s="2126"/>
      <c r="N32" s="2126"/>
      <c r="O32" s="2133"/>
      <c r="P32" s="3800" t="s">
        <v>551</v>
      </c>
      <c r="Q32" s="1564" t="str">
        <f t="shared" si="11"/>
        <v>建筑类型</v>
      </c>
      <c r="R32" s="1565" t="s">
        <v>11</v>
      </c>
      <c r="S32" s="1566">
        <f t="shared" si="12"/>
        <v>100</v>
      </c>
      <c r="T32" s="1565" t="s">
        <v>11</v>
      </c>
      <c r="U32" s="1566">
        <f t="shared" si="13"/>
        <v>100</v>
      </c>
      <c r="V32" s="1565" t="s">
        <v>11</v>
      </c>
      <c r="W32" s="1566">
        <f t="shared" si="14"/>
        <v>100</v>
      </c>
      <c r="X32" s="1559"/>
      <c r="Y32" s="3801"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801"/>
      <c r="Q33" s="1597" t="str">
        <f t="shared" si="11"/>
        <v>项目建筑规模</v>
      </c>
      <c r="R33" s="1569" t="s">
        <v>11</v>
      </c>
      <c r="S33" s="1570">
        <f t="shared" si="12"/>
        <v>100</v>
      </c>
      <c r="T33" s="1569" t="s">
        <v>11</v>
      </c>
      <c r="U33" s="1570">
        <f t="shared" si="13"/>
        <v>100</v>
      </c>
      <c r="V33" s="1569" t="s">
        <v>11</v>
      </c>
      <c r="W33" s="1570">
        <f t="shared" si="14"/>
        <v>100</v>
      </c>
      <c r="X33" s="1571"/>
      <c r="Y33" s="3801"/>
      <c r="Z33" s="1572" t="str">
        <f t="shared" si="15"/>
        <v>项目建筑规模</v>
      </c>
      <c r="AA33" s="1568">
        <f t="shared" si="3"/>
        <v>1</v>
      </c>
      <c r="AB33" s="1568">
        <f t="shared" si="4"/>
        <v>1</v>
      </c>
      <c r="AC33" s="1568">
        <f t="shared" si="5"/>
        <v>1</v>
      </c>
    </row>
    <row r="34" spans="1:29" ht="15">
      <c r="A34" s="591"/>
      <c r="B34" s="525" t="s">
        <v>728</v>
      </c>
      <c r="C34" s="3511" t="s">
        <v>3350</v>
      </c>
      <c r="D34" s="538">
        <v>100</v>
      </c>
      <c r="E34" s="3512" t="s">
        <v>3350</v>
      </c>
      <c r="F34" s="572">
        <f>SUMIF(105:105,E34,106:106)-SUMIF(105:105,C34,106:106)+100</f>
        <v>100</v>
      </c>
      <c r="G34" s="3511" t="s">
        <v>3350</v>
      </c>
      <c r="H34" s="538">
        <f>SUMIF(105:105,G34,106:106)-SUMIF(105:105,C34,106:106)+100</f>
        <v>100</v>
      </c>
      <c r="I34" s="3512" t="s">
        <v>3350</v>
      </c>
      <c r="J34" s="538">
        <f>SUMIF(105:105,I34,106:106)-SUMIF(105:105,C34,106:106)+100</f>
        <v>100</v>
      </c>
      <c r="K34" s="861">
        <v>2</v>
      </c>
      <c r="L34" s="2134"/>
      <c r="M34" s="2126"/>
      <c r="N34" s="2126"/>
      <c r="O34" s="2133"/>
      <c r="P34" s="3801"/>
      <c r="Q34" s="1564" t="str">
        <f t="shared" si="11"/>
        <v>建筑结构</v>
      </c>
      <c r="R34" s="1565" t="s">
        <v>11</v>
      </c>
      <c r="S34" s="1566">
        <f t="shared" si="12"/>
        <v>100</v>
      </c>
      <c r="T34" s="1565" t="s">
        <v>11</v>
      </c>
      <c r="U34" s="1566">
        <f t="shared" si="13"/>
        <v>100</v>
      </c>
      <c r="V34" s="1565" t="s">
        <v>11</v>
      </c>
      <c r="W34" s="1566">
        <f t="shared" si="14"/>
        <v>100</v>
      </c>
      <c r="X34" s="1559"/>
      <c r="Y34" s="3801"/>
      <c r="Z34" s="1567" t="str">
        <f t="shared" si="15"/>
        <v>建筑结构</v>
      </c>
      <c r="AA34" s="1568">
        <f t="shared" si="3"/>
        <v>1</v>
      </c>
      <c r="AB34" s="1568">
        <f t="shared" si="4"/>
        <v>1</v>
      </c>
      <c r="AC34" s="1568">
        <f t="shared" si="5"/>
        <v>1</v>
      </c>
    </row>
    <row r="35" spans="1:29" ht="15">
      <c r="A35" s="591"/>
      <c r="B35" s="525" t="s">
        <v>729</v>
      </c>
      <c r="C35" s="3495" t="s">
        <v>3346</v>
      </c>
      <c r="D35" s="538">
        <v>100</v>
      </c>
      <c r="E35" s="3520" t="s">
        <v>3346</v>
      </c>
      <c r="F35" s="572">
        <f>SUMIF(107:107,E35,108:108)-SUMIF(107:107,C35,108:108)+100</f>
        <v>100</v>
      </c>
      <c r="G35" s="3495" t="s">
        <v>3346</v>
      </c>
      <c r="H35" s="538">
        <f>SUMIF(107:107,G35,108:108)-SUMIF(107:107,C35,108:108)+100</f>
        <v>100</v>
      </c>
      <c r="I35" s="3520" t="s">
        <v>3346</v>
      </c>
      <c r="J35" s="538">
        <f>SUMIF(107:107,I35,108:108)-SUMIF(107:107,C35,108:108)+100</f>
        <v>100</v>
      </c>
      <c r="K35" s="861">
        <v>2</v>
      </c>
      <c r="L35" s="2134"/>
      <c r="M35" s="2126"/>
      <c r="N35" s="2126"/>
      <c r="O35" s="2133"/>
      <c r="P35" s="3801"/>
      <c r="Q35" s="1564" t="str">
        <f t="shared" si="11"/>
        <v>建筑品质</v>
      </c>
      <c r="R35" s="1565" t="s">
        <v>11</v>
      </c>
      <c r="S35" s="1566">
        <f t="shared" si="12"/>
        <v>100</v>
      </c>
      <c r="T35" s="1565" t="s">
        <v>11</v>
      </c>
      <c r="U35" s="1566">
        <f t="shared" si="13"/>
        <v>100</v>
      </c>
      <c r="V35" s="1565" t="s">
        <v>11</v>
      </c>
      <c r="W35" s="1566">
        <f t="shared" si="14"/>
        <v>100</v>
      </c>
      <c r="X35" s="1559"/>
      <c r="Y35" s="3801"/>
      <c r="Z35" s="1567" t="str">
        <f t="shared" si="15"/>
        <v>建筑品质</v>
      </c>
      <c r="AA35" s="1568">
        <f t="shared" si="3"/>
        <v>1</v>
      </c>
      <c r="AB35" s="1568">
        <f t="shared" si="4"/>
        <v>1</v>
      </c>
      <c r="AC35" s="1568">
        <f t="shared" si="5"/>
        <v>1</v>
      </c>
    </row>
    <row r="36" spans="1:29" ht="15">
      <c r="A36" s="591"/>
      <c r="B36" s="525" t="s">
        <v>730</v>
      </c>
      <c r="C36" s="3495" t="s">
        <v>3351</v>
      </c>
      <c r="D36" s="538">
        <v>100</v>
      </c>
      <c r="E36" s="3520" t="s">
        <v>3351</v>
      </c>
      <c r="F36" s="572">
        <f>SUMIF(109:109,E36,110:110)-SUMIF(109:109,C36,110:110)+100</f>
        <v>100</v>
      </c>
      <c r="G36" s="3495" t="s">
        <v>3351</v>
      </c>
      <c r="H36" s="538">
        <f>SUMIF(109:109,G36,110:110)-SUMIF(109:109,C36,110:110)+100</f>
        <v>100</v>
      </c>
      <c r="I36" s="3520" t="s">
        <v>3351</v>
      </c>
      <c r="J36" s="538">
        <f>SUMIF(109:109,I36,110:110)-SUMIF(109:109,C36,110:110)+100</f>
        <v>100</v>
      </c>
      <c r="K36" s="861">
        <v>2</v>
      </c>
      <c r="L36" s="2134"/>
      <c r="M36" s="2126"/>
      <c r="N36" s="2126"/>
      <c r="O36" s="2133"/>
      <c r="P36" s="3801"/>
      <c r="Q36" s="1564" t="str">
        <f t="shared" si="11"/>
        <v>公共部分装修</v>
      </c>
      <c r="R36" s="1565" t="s">
        <v>11</v>
      </c>
      <c r="S36" s="1566">
        <f t="shared" si="12"/>
        <v>100</v>
      </c>
      <c r="T36" s="1565" t="s">
        <v>11</v>
      </c>
      <c r="U36" s="1566">
        <f t="shared" si="13"/>
        <v>100</v>
      </c>
      <c r="V36" s="1565" t="s">
        <v>11</v>
      </c>
      <c r="W36" s="1566">
        <f t="shared" si="14"/>
        <v>100</v>
      </c>
      <c r="X36" s="1559"/>
      <c r="Y36" s="3801"/>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801"/>
      <c r="Q37" s="1144" t="str">
        <f t="shared" si="11"/>
        <v>成新度</v>
      </c>
      <c r="R37" s="1560" t="s">
        <v>11</v>
      </c>
      <c r="S37" s="1561">
        <f t="shared" si="12"/>
        <v>100</v>
      </c>
      <c r="T37" s="1560" t="s">
        <v>11</v>
      </c>
      <c r="U37" s="1561">
        <f t="shared" si="13"/>
        <v>100</v>
      </c>
      <c r="V37" s="1560" t="s">
        <v>11</v>
      </c>
      <c r="W37" s="1561">
        <f t="shared" si="14"/>
        <v>100</v>
      </c>
      <c r="X37" s="1562"/>
      <c r="Y37" s="3801"/>
      <c r="Z37" s="1143" t="str">
        <f t="shared" si="15"/>
        <v>成新度</v>
      </c>
      <c r="AA37" s="1563">
        <f t="shared" si="3"/>
        <v>1</v>
      </c>
      <c r="AB37" s="1563">
        <f t="shared" si="4"/>
        <v>1</v>
      </c>
      <c r="AC37" s="1563">
        <f t="shared" si="5"/>
        <v>1</v>
      </c>
    </row>
    <row r="38" spans="1:29" ht="15">
      <c r="A38" s="591"/>
      <c r="B38" s="525" t="s">
        <v>732</v>
      </c>
      <c r="C38" s="3495" t="s">
        <v>3352</v>
      </c>
      <c r="D38" s="538">
        <v>100</v>
      </c>
      <c r="E38" s="3520" t="s">
        <v>3352</v>
      </c>
      <c r="F38" s="572">
        <f>SUMIF(114:114,E38,115:115)-SUMIF(114:114,C38,115:115)+100</f>
        <v>100</v>
      </c>
      <c r="G38" s="3495" t="s">
        <v>3352</v>
      </c>
      <c r="H38" s="538">
        <f>SUMIF(114:114,G38,115:115)-SUMIF(114:114,C38,115:115)+100</f>
        <v>100</v>
      </c>
      <c r="I38" s="3520" t="s">
        <v>3352</v>
      </c>
      <c r="J38" s="538">
        <f>SUMIF(114:114,I38,115:115)-SUMIF(114:114,C38,115:115)+100</f>
        <v>100</v>
      </c>
      <c r="K38" s="861">
        <v>2</v>
      </c>
      <c r="L38" s="2134"/>
      <c r="M38" s="2126"/>
      <c r="N38" s="2126"/>
      <c r="O38" s="2133"/>
      <c r="P38" s="3801" t="s">
        <v>551</v>
      </c>
      <c r="Q38" s="1564" t="str">
        <f t="shared" si="11"/>
        <v>物业管理</v>
      </c>
      <c r="R38" s="1565" t="s">
        <v>11</v>
      </c>
      <c r="S38" s="1566">
        <f t="shared" si="12"/>
        <v>100</v>
      </c>
      <c r="T38" s="1565" t="s">
        <v>11</v>
      </c>
      <c r="U38" s="1566">
        <f t="shared" si="13"/>
        <v>100</v>
      </c>
      <c r="V38" s="1565" t="s">
        <v>11</v>
      </c>
      <c r="W38" s="1566">
        <f t="shared" si="14"/>
        <v>100</v>
      </c>
      <c r="X38" s="1559"/>
      <c r="Y38" s="3801" t="s">
        <v>551</v>
      </c>
      <c r="Z38" s="1567" t="str">
        <f t="shared" si="15"/>
        <v>物业管理</v>
      </c>
      <c r="AA38" s="1568">
        <f t="shared" si="3"/>
        <v>1</v>
      </c>
      <c r="AB38" s="1568">
        <f t="shared" si="4"/>
        <v>1</v>
      </c>
      <c r="AC38" s="1568">
        <f t="shared" si="5"/>
        <v>1</v>
      </c>
    </row>
    <row r="39" spans="1:29" ht="15">
      <c r="A39" s="591"/>
      <c r="B39" s="1887" t="s">
        <v>2568</v>
      </c>
      <c r="C39" s="3495" t="s">
        <v>3348</v>
      </c>
      <c r="D39" s="538">
        <v>100</v>
      </c>
      <c r="E39" s="3520" t="s">
        <v>3348</v>
      </c>
      <c r="F39" s="572">
        <f>SUMIF(116:116,E39,117:117)-SUMIF(116:116,C39,117:117)+100</f>
        <v>100</v>
      </c>
      <c r="G39" s="3495" t="s">
        <v>3348</v>
      </c>
      <c r="H39" s="538">
        <f>SUMIF(116:116,G39,117:117)-SUMIF(116:116,C39,117:117)+100</f>
        <v>100</v>
      </c>
      <c r="I39" s="3520" t="s">
        <v>3348</v>
      </c>
      <c r="J39" s="538">
        <f>SUMIF(116:116,I39,117:117)-SUMIF(116:116,C39,117:117)+100</f>
        <v>100</v>
      </c>
      <c r="K39" s="861">
        <v>2</v>
      </c>
      <c r="L39" s="2134"/>
      <c r="M39" s="2126"/>
      <c r="N39" s="2126"/>
      <c r="O39" s="2133"/>
      <c r="P39" s="3801"/>
      <c r="Q39" s="1564" t="str">
        <f t="shared" si="11"/>
        <v>市政基础设施</v>
      </c>
      <c r="R39" s="1565" t="s">
        <v>11</v>
      </c>
      <c r="S39" s="1566">
        <f t="shared" si="12"/>
        <v>100</v>
      </c>
      <c r="T39" s="1565" t="s">
        <v>11</v>
      </c>
      <c r="U39" s="1566">
        <f t="shared" si="13"/>
        <v>100</v>
      </c>
      <c r="V39" s="1565" t="s">
        <v>11</v>
      </c>
      <c r="W39" s="1566">
        <f t="shared" si="14"/>
        <v>100</v>
      </c>
      <c r="X39" s="1559"/>
      <c r="Y39" s="3801"/>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801"/>
      <c r="Q40" s="1564" t="str">
        <f t="shared" si="11"/>
        <v>房型</v>
      </c>
      <c r="R40" s="1565" t="s">
        <v>11</v>
      </c>
      <c r="S40" s="1566">
        <f t="shared" si="12"/>
        <v>100</v>
      </c>
      <c r="T40" s="1565" t="s">
        <v>11</v>
      </c>
      <c r="U40" s="1566">
        <f t="shared" si="13"/>
        <v>100</v>
      </c>
      <c r="V40" s="1565" t="s">
        <v>11</v>
      </c>
      <c r="W40" s="1566">
        <f t="shared" si="14"/>
        <v>100</v>
      </c>
      <c r="X40" s="1559"/>
      <c r="Y40" s="3801"/>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801"/>
      <c r="Q41" s="1597" t="str">
        <f t="shared" si="11"/>
        <v>单套/主力户型建筑面积</v>
      </c>
      <c r="R41" s="1569" t="s">
        <v>11</v>
      </c>
      <c r="S41" s="1570">
        <f t="shared" si="12"/>
        <v>100</v>
      </c>
      <c r="T41" s="1569" t="s">
        <v>11</v>
      </c>
      <c r="U41" s="1570">
        <f t="shared" si="13"/>
        <v>100</v>
      </c>
      <c r="V41" s="1569" t="s">
        <v>11</v>
      </c>
      <c r="W41" s="1570">
        <f t="shared" si="14"/>
        <v>100</v>
      </c>
      <c r="X41" s="1571"/>
      <c r="Y41" s="3801"/>
      <c r="Z41" s="1572" t="str">
        <f t="shared" si="15"/>
        <v>单套/主力户型建筑面积</v>
      </c>
      <c r="AA41" s="1568">
        <f t="shared" si="3"/>
        <v>1</v>
      </c>
      <c r="AB41" s="1568">
        <f t="shared" si="4"/>
        <v>1</v>
      </c>
      <c r="AC41" s="1568">
        <f t="shared" si="5"/>
        <v>1</v>
      </c>
    </row>
    <row r="42" spans="1:29" ht="15">
      <c r="A42" s="591"/>
      <c r="B42" s="525" t="s">
        <v>735</v>
      </c>
      <c r="C42" s="3549" t="s">
        <v>3451</v>
      </c>
      <c r="D42" s="538">
        <v>100</v>
      </c>
      <c r="E42" s="3520" t="s">
        <v>3351</v>
      </c>
      <c r="F42" s="572">
        <f>SUMIF(122:122,E42,123:123)-SUMIF(122:122,C42,123:123)+100</f>
        <v>100</v>
      </c>
      <c r="G42" s="3495" t="s">
        <v>3353</v>
      </c>
      <c r="H42" s="538">
        <f>SUMIF(122:122,G42,123:123)-SUMIF(122:122,C42,123:123)+100</f>
        <v>94</v>
      </c>
      <c r="I42" s="3520" t="s">
        <v>3354</v>
      </c>
      <c r="J42" s="538">
        <f>SUMIF(122:122,I42,123:123)-SUMIF(122:122,C42,123:123)+100</f>
        <v>94</v>
      </c>
      <c r="K42" s="861">
        <v>2</v>
      </c>
      <c r="L42" s="2134"/>
      <c r="M42" s="2126"/>
      <c r="N42" s="2126"/>
      <c r="O42" s="2133"/>
      <c r="P42" s="3801"/>
      <c r="Q42" s="1564" t="str">
        <f t="shared" si="11"/>
        <v>内部装修</v>
      </c>
      <c r="R42" s="1565" t="s">
        <v>11</v>
      </c>
      <c r="S42" s="1566">
        <f t="shared" si="12"/>
        <v>100</v>
      </c>
      <c r="T42" s="1565" t="s">
        <v>11</v>
      </c>
      <c r="U42" s="1566">
        <f t="shared" si="13"/>
        <v>94</v>
      </c>
      <c r="V42" s="1565" t="s">
        <v>11</v>
      </c>
      <c r="W42" s="1566">
        <f t="shared" si="14"/>
        <v>94</v>
      </c>
      <c r="X42" s="1559"/>
      <c r="Y42" s="3801"/>
      <c r="Z42" s="1567" t="str">
        <f t="shared" si="15"/>
        <v>内部装修</v>
      </c>
      <c r="AA42" s="1568">
        <f t="shared" si="3"/>
        <v>1</v>
      </c>
      <c r="AB42" s="1568">
        <f t="shared" si="4"/>
        <v>1.0638297872340425</v>
      </c>
      <c r="AC42" s="1568">
        <f t="shared" si="5"/>
        <v>1.0638297872340425</v>
      </c>
    </row>
    <row r="43" spans="1:29" ht="27">
      <c r="A43" s="591"/>
      <c r="B43" s="525" t="s">
        <v>736</v>
      </c>
      <c r="C43" s="3495" t="s">
        <v>3346</v>
      </c>
      <c r="D43" s="538">
        <v>100</v>
      </c>
      <c r="E43" s="3520" t="s">
        <v>3346</v>
      </c>
      <c r="F43" s="572">
        <f>SUMIF(124:124,E43,125:125)-SUMIF(124:124,C43,125:125)+100</f>
        <v>100</v>
      </c>
      <c r="G43" s="3495" t="s">
        <v>3346</v>
      </c>
      <c r="H43" s="538">
        <f>SUMIF(124:124,G43,125:125)-SUMIF(124:124,C43,125:125)+100</f>
        <v>100</v>
      </c>
      <c r="I43" s="3520" t="s">
        <v>3346</v>
      </c>
      <c r="J43" s="538">
        <f>SUMIF(124:124,I43,125:125)-SUMIF(124:124,C43,125:125)+100</f>
        <v>100</v>
      </c>
      <c r="K43" s="861">
        <v>2</v>
      </c>
      <c r="L43" s="2134"/>
      <c r="M43" s="2126"/>
      <c r="N43" s="2126"/>
      <c r="O43" s="2133"/>
      <c r="P43" s="3801"/>
      <c r="Q43" s="1564" t="str">
        <f t="shared" si="11"/>
        <v>内部装修维护情况</v>
      </c>
      <c r="R43" s="1565" t="s">
        <v>11</v>
      </c>
      <c r="S43" s="1566">
        <f t="shared" si="12"/>
        <v>100</v>
      </c>
      <c r="T43" s="1565" t="s">
        <v>11</v>
      </c>
      <c r="U43" s="1566">
        <f t="shared" si="13"/>
        <v>100</v>
      </c>
      <c r="V43" s="1565" t="s">
        <v>11</v>
      </c>
      <c r="W43" s="1566">
        <f t="shared" si="14"/>
        <v>100</v>
      </c>
      <c r="X43" s="1559"/>
      <c r="Y43" s="3801"/>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801"/>
      <c r="Q44" s="1144">
        <f t="shared" si="11"/>
        <v>111</v>
      </c>
      <c r="R44" s="1560" t="s">
        <v>11</v>
      </c>
      <c r="S44" s="1561">
        <f t="shared" si="12"/>
        <v>100</v>
      </c>
      <c r="T44" s="1560" t="s">
        <v>11</v>
      </c>
      <c r="U44" s="1561">
        <f t="shared" si="13"/>
        <v>100</v>
      </c>
      <c r="V44" s="1560" t="s">
        <v>11</v>
      </c>
      <c r="W44" s="1561">
        <f t="shared" si="14"/>
        <v>100</v>
      </c>
      <c r="X44" s="1562"/>
      <c r="Y44" s="3801"/>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801"/>
      <c r="Q45" s="1564">
        <f t="shared" si="11"/>
        <v>111</v>
      </c>
      <c r="R45" s="1565" t="s">
        <v>11</v>
      </c>
      <c r="S45" s="1566">
        <f t="shared" si="12"/>
        <v>100</v>
      </c>
      <c r="T45" s="1565" t="s">
        <v>11</v>
      </c>
      <c r="U45" s="1566">
        <f t="shared" si="13"/>
        <v>100</v>
      </c>
      <c r="V45" s="1565" t="s">
        <v>11</v>
      </c>
      <c r="W45" s="1566">
        <f t="shared" si="14"/>
        <v>100</v>
      </c>
      <c r="X45" s="1559"/>
      <c r="Y45" s="3801"/>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77"/>
      <c r="Q46" s="1564">
        <f t="shared" si="11"/>
        <v>1</v>
      </c>
      <c r="R46" s="1565" t="s">
        <v>10</v>
      </c>
      <c r="S46" s="1566">
        <f t="shared" si="12"/>
        <v>100</v>
      </c>
      <c r="T46" s="1565" t="s">
        <v>10</v>
      </c>
      <c r="U46" s="1566">
        <f t="shared" si="13"/>
        <v>100</v>
      </c>
      <c r="V46" s="1565" t="s">
        <v>10</v>
      </c>
      <c r="W46" s="1566">
        <f t="shared" si="14"/>
        <v>100</v>
      </c>
      <c r="X46" s="1559"/>
      <c r="Y46" s="3877"/>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64" t="str">
        <f>A47</f>
        <v>成交单价（元/平方米）</v>
      </c>
      <c r="Q47" s="3764"/>
      <c r="R47" s="3876">
        <f>E47</f>
        <v>17000</v>
      </c>
      <c r="S47" s="3876"/>
      <c r="T47" s="3876">
        <f>G47</f>
        <v>14000</v>
      </c>
      <c r="U47" s="3876"/>
      <c r="V47" s="3876">
        <f>I47</f>
        <v>13500</v>
      </c>
      <c r="W47" s="3876"/>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64" t="str">
        <f>A48</f>
        <v>比较价格（元/平方米）</v>
      </c>
      <c r="Q48" s="3764"/>
      <c r="R48" s="3876" t="e">
        <f>IF(F1="售价",ROUND(PRODUCT(R47,AA7:AA46),0),ROUND(PRODUCT(R47,AA7:AA46),1))</f>
        <v>#DIV/0!</v>
      </c>
      <c r="S48" s="3876"/>
      <c r="T48" s="3876" t="e">
        <f>IF(F1="售价",ROUND(PRODUCT(T47,AB7:AB46),0),ROUND(PRODUCT(T47,AB7:AB46),1))</f>
        <v>#DIV/0!</v>
      </c>
      <c r="U48" s="3876"/>
      <c r="V48" s="3876" t="e">
        <f>IF(F1="售价",ROUND(PRODUCT(V47,AC7:AC46),0),ROUND(PRODUCT(V47,AC7:AC46),1))</f>
        <v>#DIV/0!</v>
      </c>
      <c r="W48" s="3876"/>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61" t="str">
        <f>A49</f>
        <v>估价对象XX用房的比较价格（楼面单价，元/平方米）</v>
      </c>
      <c r="Q49" s="3762"/>
      <c r="R49" s="3875" t="e">
        <f>IF(F1="售价",ROUND(AVERAGE(R48:V48),0),ROUND(AVERAGE(R48:V48),1))</f>
        <v>#DIV/0!</v>
      </c>
      <c r="S49" s="3875"/>
      <c r="T49" s="3875"/>
      <c r="U49" s="3875"/>
      <c r="V49" s="3875"/>
      <c r="W49" s="3875"/>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3351</v>
      </c>
      <c r="D122" s="3482" t="s">
        <v>3355</v>
      </c>
      <c r="E122" s="3482" t="s">
        <v>3356</v>
      </c>
      <c r="F122" s="3521" t="s">
        <v>3353</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B47" sqref="B47"/>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3334</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350064</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12806</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70" t="s">
        <v>523</v>
      </c>
      <c r="D4" s="3771"/>
      <c r="E4" s="3805" t="s">
        <v>524</v>
      </c>
      <c r="F4" s="3806"/>
      <c r="G4" s="3770" t="s">
        <v>525</v>
      </c>
      <c r="H4" s="3771"/>
      <c r="I4" s="3770" t="s">
        <v>526</v>
      </c>
      <c r="J4" s="3771"/>
      <c r="K4" s="512" t="s">
        <v>527</v>
      </c>
      <c r="L4" s="2125"/>
      <c r="M4" s="2126"/>
      <c r="N4" s="2126"/>
      <c r="O4" s="2126"/>
      <c r="P4" s="3881" t="s">
        <v>528</v>
      </c>
      <c r="Q4" s="3773"/>
      <c r="R4" s="3778" t="s">
        <v>524</v>
      </c>
      <c r="S4" s="3779"/>
      <c r="T4" s="3778" t="s">
        <v>525</v>
      </c>
      <c r="U4" s="3779"/>
      <c r="V4" s="3765" t="s">
        <v>526</v>
      </c>
      <c r="W4" s="3765"/>
      <c r="X4" s="1559"/>
      <c r="Y4" s="3778" t="s">
        <v>528</v>
      </c>
      <c r="Z4" s="3779"/>
      <c r="AA4" s="3767" t="s">
        <v>524</v>
      </c>
      <c r="AB4" s="3767" t="s">
        <v>525</v>
      </c>
      <c r="AC4" s="3767" t="s">
        <v>526</v>
      </c>
    </row>
    <row r="5" spans="1:29" ht="15">
      <c r="A5" s="513"/>
      <c r="B5" s="514"/>
      <c r="C5" s="3878" t="s">
        <v>3321</v>
      </c>
      <c r="D5" s="3787"/>
      <c r="E5" s="3879" t="s">
        <v>3612</v>
      </c>
      <c r="F5" s="3808"/>
      <c r="G5" s="3878" t="s">
        <v>3611</v>
      </c>
      <c r="H5" s="3787"/>
      <c r="I5" s="3878" t="s">
        <v>3357</v>
      </c>
      <c r="J5" s="3787"/>
      <c r="K5" s="512"/>
      <c r="L5" s="2125"/>
      <c r="M5" s="2126"/>
      <c r="N5" s="2126"/>
      <c r="O5" s="2126"/>
      <c r="P5" s="3882"/>
      <c r="Q5" s="3775"/>
      <c r="R5" s="3780"/>
      <c r="S5" s="3781"/>
      <c r="T5" s="3780"/>
      <c r="U5" s="3781"/>
      <c r="V5" s="3765"/>
      <c r="W5" s="3765"/>
      <c r="X5" s="1559"/>
      <c r="Y5" s="3780"/>
      <c r="Z5" s="3781"/>
      <c r="AA5" s="3768"/>
      <c r="AB5" s="3768"/>
      <c r="AC5" s="3768"/>
    </row>
    <row r="6" spans="1:29" ht="15.75" thickBot="1">
      <c r="A6" s="515"/>
      <c r="B6" s="516"/>
      <c r="C6" s="3784" t="s">
        <v>2933</v>
      </c>
      <c r="D6" s="3785"/>
      <c r="E6" s="3803" t="s">
        <v>2933</v>
      </c>
      <c r="F6" s="3804"/>
      <c r="G6" s="3784" t="s">
        <v>2933</v>
      </c>
      <c r="H6" s="3785"/>
      <c r="I6" s="3784" t="s">
        <v>2933</v>
      </c>
      <c r="J6" s="3785"/>
      <c r="K6" s="512" t="s">
        <v>529</v>
      </c>
      <c r="L6" s="2125"/>
      <c r="M6" s="2126"/>
      <c r="N6" s="2126"/>
      <c r="O6" s="2126"/>
      <c r="P6" s="3883"/>
      <c r="Q6" s="3777"/>
      <c r="R6" s="3780"/>
      <c r="S6" s="3781"/>
      <c r="T6" s="3782"/>
      <c r="U6" s="3783"/>
      <c r="V6" s="3765"/>
      <c r="W6" s="3765"/>
      <c r="X6" s="1559"/>
      <c r="Y6" s="3782"/>
      <c r="Z6" s="3783"/>
      <c r="AA6" s="3769"/>
      <c r="AB6" s="3769"/>
      <c r="AC6" s="3769"/>
    </row>
    <row r="7" spans="1:29" s="1213" customFormat="1" ht="15.75" thickBot="1">
      <c r="A7" s="2928"/>
      <c r="B7" s="2935" t="s">
        <v>530</v>
      </c>
      <c r="C7" s="517">
        <f>'数据-取费表'!B2</f>
        <v>43923</v>
      </c>
      <c r="D7" s="518">
        <v>100</v>
      </c>
      <c r="E7" s="519">
        <v>43922</v>
      </c>
      <c r="F7" s="520">
        <f>SUMIF(59:59,YEAR(E7)&amp;"-"&amp;MONTH(E7),60:60)</f>
        <v>100</v>
      </c>
      <c r="G7" s="519">
        <v>43922</v>
      </c>
      <c r="H7" s="518">
        <f>SUMIF(59:59,YEAR(G7)&amp;"-"&amp;MONTH(G7),60:60)</f>
        <v>100</v>
      </c>
      <c r="I7" s="519">
        <v>43922</v>
      </c>
      <c r="J7" s="518">
        <f>SUMIF(59:59,YEAR(I7)&amp;"-"&amp;MONTH(I7),60:60)</f>
        <v>100</v>
      </c>
      <c r="K7" s="522"/>
      <c r="L7" s="2127"/>
      <c r="M7" s="2128"/>
      <c r="N7" s="2128"/>
      <c r="O7" s="2128"/>
      <c r="P7" s="3797" t="s">
        <v>531</v>
      </c>
      <c r="Q7" s="3797"/>
      <c r="R7" s="1560" t="s">
        <v>8</v>
      </c>
      <c r="S7" s="1561">
        <f t="shared" ref="S7:S15" si="0">F7</f>
        <v>100</v>
      </c>
      <c r="T7" s="1560" t="s">
        <v>8</v>
      </c>
      <c r="U7" s="1561">
        <f t="shared" ref="U7:U15" si="1">H7</f>
        <v>100</v>
      </c>
      <c r="V7" s="1560" t="s">
        <v>8</v>
      </c>
      <c r="W7" s="1561">
        <f t="shared" ref="W7:W15" si="2">J7</f>
        <v>100</v>
      </c>
      <c r="X7" s="1562"/>
      <c r="Y7" s="3795" t="s">
        <v>531</v>
      </c>
      <c r="Z7" s="3796"/>
      <c r="AA7" s="1563">
        <f>D7/F7</f>
        <v>1</v>
      </c>
      <c r="AB7" s="1563">
        <f>D7/H7</f>
        <v>1</v>
      </c>
      <c r="AC7" s="1563">
        <f>D7/J7</f>
        <v>1</v>
      </c>
    </row>
    <row r="8" spans="1:29" s="1213" customFormat="1" ht="15.75" thickBot="1">
      <c r="A8" s="2929"/>
      <c r="B8" s="2936" t="s">
        <v>532</v>
      </c>
      <c r="C8" s="523" t="s">
        <v>577</v>
      </c>
      <c r="D8" s="518">
        <v>100</v>
      </c>
      <c r="E8" s="3502" t="s">
        <v>3358</v>
      </c>
      <c r="F8" s="520">
        <f>SUMIF(62:62,E8,63:63)-SUMIF(62:62,C8,63:63)+100</f>
        <v>100</v>
      </c>
      <c r="G8" s="3502" t="s">
        <v>3358</v>
      </c>
      <c r="H8" s="518">
        <f>SUMIF(62:62,G8,63:63)-SUMIF(62:62,C8,63:63)+100</f>
        <v>100</v>
      </c>
      <c r="I8" s="3502" t="s">
        <v>3358</v>
      </c>
      <c r="J8" s="518">
        <f>SUMIF(62:62,I8,63:63)-SUMIF(62:62,C8,63:63)+100</f>
        <v>100</v>
      </c>
      <c r="K8" s="522"/>
      <c r="L8" s="2127"/>
      <c r="M8" s="2128"/>
      <c r="N8" s="2128"/>
      <c r="O8" s="2128"/>
      <c r="P8" s="3797" t="s">
        <v>534</v>
      </c>
      <c r="Q8" s="3796"/>
      <c r="R8" s="1560" t="s">
        <v>8</v>
      </c>
      <c r="S8" s="1561">
        <f t="shared" si="0"/>
        <v>100</v>
      </c>
      <c r="T8" s="1560" t="s">
        <v>8</v>
      </c>
      <c r="U8" s="1561">
        <f t="shared" si="1"/>
        <v>100</v>
      </c>
      <c r="V8" s="1560" t="s">
        <v>8</v>
      </c>
      <c r="W8" s="1561">
        <f t="shared" si="2"/>
        <v>100</v>
      </c>
      <c r="X8" s="1562"/>
      <c r="Y8" s="3795" t="s">
        <v>534</v>
      </c>
      <c r="Z8" s="3796"/>
      <c r="AA8" s="1563">
        <f t="shared" ref="AA8:AA47" si="3">D8/F8</f>
        <v>1</v>
      </c>
      <c r="AB8" s="1563">
        <f t="shared" ref="AB8:AB47" si="4">D8/H8</f>
        <v>1</v>
      </c>
      <c r="AC8" s="1563">
        <f t="shared" ref="AC8:AC47" si="5">D8/J8</f>
        <v>1</v>
      </c>
    </row>
    <row r="9" spans="1:29" s="1213" customFormat="1" ht="15">
      <c r="A9" s="2930"/>
      <c r="B9" s="2937" t="s">
        <v>2760</v>
      </c>
      <c r="C9" s="3503" t="s">
        <v>3359</v>
      </c>
      <c r="D9" s="252">
        <v>100</v>
      </c>
      <c r="E9" s="3504" t="s">
        <v>3359</v>
      </c>
      <c r="F9" s="252">
        <f>SUMIF(64:64,E9,65:65)-SUMIF(64:64,C9,65:65)+100</f>
        <v>100</v>
      </c>
      <c r="G9" s="3505" t="s">
        <v>3359</v>
      </c>
      <c r="H9" s="252">
        <f>SUMIF(64:64,G9,65:65)-SUMIF(64:64,C9,65:65)+100</f>
        <v>100</v>
      </c>
      <c r="I9" s="3505" t="s">
        <v>3359</v>
      </c>
      <c r="J9" s="252">
        <f>SUMIF(64:64,I9,65:65)-SUMIF(64:64,C9,65:65)+100</f>
        <v>100</v>
      </c>
      <c r="K9" s="522"/>
      <c r="L9" s="2127"/>
      <c r="M9" s="2128"/>
      <c r="N9" s="2128"/>
      <c r="O9" s="2128"/>
      <c r="P9" s="3764" t="s">
        <v>536</v>
      </c>
      <c r="Q9" s="1144" t="str">
        <f t="shared" ref="Q9:Q15" si="6">B9</f>
        <v>用途</v>
      </c>
      <c r="R9" s="1560" t="s">
        <v>8</v>
      </c>
      <c r="S9" s="1561">
        <f t="shared" si="0"/>
        <v>100</v>
      </c>
      <c r="T9" s="1560" t="s">
        <v>8</v>
      </c>
      <c r="U9" s="1561">
        <f t="shared" si="1"/>
        <v>100</v>
      </c>
      <c r="V9" s="1560" t="s">
        <v>8</v>
      </c>
      <c r="W9" s="1561">
        <f t="shared" si="2"/>
        <v>100</v>
      </c>
      <c r="X9" s="1562"/>
      <c r="Y9" s="3710"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3551" t="s">
        <v>3326</v>
      </c>
      <c r="F10" s="253">
        <f>SUMIF(66:66,E10,67:67)-SUMIF(66:66,C10,67:67)+100</f>
        <v>100</v>
      </c>
      <c r="G10" s="859" t="s">
        <v>3326</v>
      </c>
      <c r="H10" s="253">
        <f>SUMIF(66:66,G10,67:67)-SUMIF(66:66,C10,67:67)+100</f>
        <v>100</v>
      </c>
      <c r="I10" s="858" t="s">
        <v>3326</v>
      </c>
      <c r="J10" s="253">
        <f>SUMIF(66:66,I10,67:67)-SUMIF(66:66,C10,67:67)+100</f>
        <v>100</v>
      </c>
      <c r="K10" s="581">
        <v>2</v>
      </c>
      <c r="L10" s="2130"/>
      <c r="M10" s="2170"/>
      <c r="N10" s="2170"/>
      <c r="O10" s="2170"/>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64"/>
      <c r="Q11" s="1144" t="str">
        <f t="shared" si="6"/>
        <v>容积率</v>
      </c>
      <c r="R11" s="1560" t="s">
        <v>8</v>
      </c>
      <c r="S11" s="1561">
        <f t="shared" si="0"/>
        <v>100</v>
      </c>
      <c r="T11" s="1560" t="s">
        <v>8</v>
      </c>
      <c r="U11" s="1561">
        <f t="shared" si="1"/>
        <v>100</v>
      </c>
      <c r="V11" s="1560" t="s">
        <v>8</v>
      </c>
      <c r="W11" s="1561">
        <f t="shared" si="2"/>
        <v>100</v>
      </c>
      <c r="X11" s="1562"/>
      <c r="Y11" s="3710"/>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64"/>
      <c r="Q12" s="1144">
        <f t="shared" si="6"/>
        <v>111</v>
      </c>
      <c r="R12" s="1560" t="s">
        <v>8</v>
      </c>
      <c r="S12" s="1561">
        <f t="shared" si="0"/>
        <v>100</v>
      </c>
      <c r="T12" s="1560" t="s">
        <v>8</v>
      </c>
      <c r="U12" s="1561">
        <f t="shared" si="1"/>
        <v>100</v>
      </c>
      <c r="V12" s="1560" t="s">
        <v>8</v>
      </c>
      <c r="W12" s="1561">
        <f t="shared" si="2"/>
        <v>100</v>
      </c>
      <c r="X12" s="1562"/>
      <c r="Y12" s="3710"/>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64"/>
      <c r="Q13" s="1144">
        <f t="shared" si="6"/>
        <v>111</v>
      </c>
      <c r="R13" s="1560" t="s">
        <v>8</v>
      </c>
      <c r="S13" s="1561">
        <f t="shared" si="0"/>
        <v>100</v>
      </c>
      <c r="T13" s="1560" t="s">
        <v>8</v>
      </c>
      <c r="U13" s="1561">
        <f t="shared" si="1"/>
        <v>100</v>
      </c>
      <c r="V13" s="1560" t="s">
        <v>8</v>
      </c>
      <c r="W13" s="1561">
        <f t="shared" si="2"/>
        <v>100</v>
      </c>
      <c r="X13" s="1562"/>
      <c r="Y13" s="3710"/>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64"/>
      <c r="Q14" s="1144">
        <f t="shared" si="6"/>
        <v>111</v>
      </c>
      <c r="R14" s="1560" t="s">
        <v>8</v>
      </c>
      <c r="S14" s="1561">
        <f t="shared" si="0"/>
        <v>100</v>
      </c>
      <c r="T14" s="1560" t="s">
        <v>8</v>
      </c>
      <c r="U14" s="1561">
        <f t="shared" si="1"/>
        <v>100</v>
      </c>
      <c r="V14" s="1560" t="s">
        <v>8</v>
      </c>
      <c r="W14" s="1561">
        <f t="shared" si="2"/>
        <v>100</v>
      </c>
      <c r="X14" s="1562"/>
      <c r="Y14" s="3710"/>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3403</v>
      </c>
      <c r="F15" s="547">
        <f>SUMIF(77:77,E16,78:78)-SUMIF(77:77,C16,78:78)+100</f>
        <v>100</v>
      </c>
      <c r="G15" s="3522" t="s">
        <v>3403</v>
      </c>
      <c r="H15" s="547">
        <f>SUMIF(77:77,G16,78:78)-SUMIF(77:77,C16,78:78)+100</f>
        <v>100</v>
      </c>
      <c r="I15" s="3522" t="s">
        <v>3404</v>
      </c>
      <c r="J15" s="547">
        <f>SUMIF(77:77,I16,78:78)-SUMIF(77:77,C16,78:78)+100</f>
        <v>100</v>
      </c>
      <c r="K15" s="891"/>
      <c r="L15" s="2134"/>
      <c r="M15" s="2126"/>
      <c r="N15" s="2126"/>
      <c r="O15" s="2126"/>
      <c r="P15" s="3798" t="s">
        <v>541</v>
      </c>
      <c r="Q15" s="1564" t="str">
        <f t="shared" si="6"/>
        <v>办公集聚程度</v>
      </c>
      <c r="R15" s="1565" t="s">
        <v>8</v>
      </c>
      <c r="S15" s="1566">
        <f t="shared" si="0"/>
        <v>100</v>
      </c>
      <c r="T15" s="1565" t="s">
        <v>8</v>
      </c>
      <c r="U15" s="1566">
        <f t="shared" si="1"/>
        <v>100</v>
      </c>
      <c r="V15" s="1565" t="s">
        <v>8</v>
      </c>
      <c r="W15" s="1566">
        <f t="shared" si="2"/>
        <v>100</v>
      </c>
      <c r="X15" s="1559"/>
      <c r="Y15" s="3798" t="s">
        <v>541</v>
      </c>
      <c r="Z15" s="1567" t="str">
        <f t="shared" si="7"/>
        <v>办公集聚程度</v>
      </c>
      <c r="AA15" s="1568">
        <f t="shared" si="3"/>
        <v>1</v>
      </c>
      <c r="AB15" s="1568">
        <f t="shared" si="4"/>
        <v>1</v>
      </c>
      <c r="AC15" s="1568">
        <f t="shared" si="5"/>
        <v>1</v>
      </c>
    </row>
    <row r="16" spans="1:29" ht="15">
      <c r="A16" s="530"/>
      <c r="B16" s="551"/>
      <c r="C16" s="3492" t="s">
        <v>3360</v>
      </c>
      <c r="D16" s="553"/>
      <c r="E16" s="3499" t="s">
        <v>3360</v>
      </c>
      <c r="F16" s="553"/>
      <c r="G16" s="3492" t="s">
        <v>3360</v>
      </c>
      <c r="H16" s="557"/>
      <c r="I16" s="3499" t="s">
        <v>3360</v>
      </c>
      <c r="J16" s="553"/>
      <c r="K16" s="892"/>
      <c r="L16" s="2134"/>
      <c r="M16" s="2126"/>
      <c r="N16" s="2126"/>
      <c r="O16" s="2126"/>
      <c r="P16" s="3799"/>
      <c r="Q16" s="1564"/>
      <c r="R16" s="1565"/>
      <c r="S16" s="1566"/>
      <c r="T16" s="1565"/>
      <c r="U16" s="1566"/>
      <c r="V16" s="1565"/>
      <c r="W16" s="1566"/>
      <c r="X16" s="1559"/>
      <c r="Y16" s="3799"/>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c r="F17" s="557">
        <f>SUMIF(79:79,E18,80:80)-SUMIF(79:79,C18,80:80)+100</f>
        <v>100</v>
      </c>
      <c r="G17" s="560"/>
      <c r="H17" s="563">
        <f>SUMIF(79:79,G18,80:80)-SUMIF(79:79,C18,80:80)+100</f>
        <v>100</v>
      </c>
      <c r="I17" s="560" t="s">
        <v>3405</v>
      </c>
      <c r="J17" s="563">
        <f>SUMIF(79:79,I18,80:80)-SUMIF(79:79,C18,80:80)+100</f>
        <v>100</v>
      </c>
      <c r="K17" s="891"/>
      <c r="L17" s="2134"/>
      <c r="M17" s="2126"/>
      <c r="N17" s="2126"/>
      <c r="O17" s="2126"/>
      <c r="P17" s="3799"/>
      <c r="Q17" s="1564" t="str">
        <f>B17</f>
        <v>交通便捷度</v>
      </c>
      <c r="R17" s="1565" t="s">
        <v>8</v>
      </c>
      <c r="S17" s="1566">
        <f>F17</f>
        <v>100</v>
      </c>
      <c r="T17" s="1565" t="s">
        <v>8</v>
      </c>
      <c r="U17" s="1566">
        <f>H17</f>
        <v>100</v>
      </c>
      <c r="V17" s="1565" t="s">
        <v>8</v>
      </c>
      <c r="W17" s="1566">
        <f>J17</f>
        <v>100</v>
      </c>
      <c r="X17" s="1559"/>
      <c r="Y17" s="3799"/>
      <c r="Z17" s="1567" t="str">
        <f>Q17</f>
        <v>交通便捷度</v>
      </c>
      <c r="AA17" s="1568">
        <f t="shared" si="3"/>
        <v>1</v>
      </c>
      <c r="AB17" s="1568">
        <f t="shared" si="4"/>
        <v>1</v>
      </c>
      <c r="AC17" s="1568">
        <f t="shared" si="5"/>
        <v>1</v>
      </c>
    </row>
    <row r="18" spans="1:29" ht="15">
      <c r="A18" s="530"/>
      <c r="B18" s="564"/>
      <c r="C18" s="3500" t="s">
        <v>3360</v>
      </c>
      <c r="D18" s="557"/>
      <c r="E18" s="3508" t="s">
        <v>3360</v>
      </c>
      <c r="F18" s="557"/>
      <c r="G18" s="3507" t="s">
        <v>3360</v>
      </c>
      <c r="H18" s="553"/>
      <c r="I18" s="3507" t="s">
        <v>3360</v>
      </c>
      <c r="J18" s="553"/>
      <c r="K18" s="892"/>
      <c r="L18" s="2134"/>
      <c r="M18" s="2126"/>
      <c r="N18" s="2126"/>
      <c r="O18" s="2126"/>
      <c r="P18" s="3799"/>
      <c r="Q18" s="1564"/>
      <c r="R18" s="1565"/>
      <c r="S18" s="1566"/>
      <c r="T18" s="1565"/>
      <c r="U18" s="1566"/>
      <c r="V18" s="1565"/>
      <c r="W18" s="1566"/>
      <c r="X18" s="1559"/>
      <c r="Y18" s="3799"/>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c r="F19" s="563">
        <f>SUMIF(81:81,E20,82:82)-SUMIF(81:81,C20,82:82)+100</f>
        <v>100</v>
      </c>
      <c r="G19" s="3524"/>
      <c r="H19" s="557">
        <f>SUMIF(81:81,G20,82:82)-SUMIF(81:81,C20,82:82)+100</f>
        <v>100</v>
      </c>
      <c r="I19" s="3524" t="s">
        <v>3429</v>
      </c>
      <c r="J19" s="557">
        <f>SUMIF(81:81,I20,82:82)-SUMIF(81:81,C20,82:82)+100</f>
        <v>100</v>
      </c>
      <c r="K19" s="891"/>
      <c r="L19" s="2134"/>
      <c r="M19" s="2126"/>
      <c r="N19" s="2126"/>
      <c r="O19" s="2126"/>
      <c r="P19" s="3799"/>
      <c r="Q19" s="1564" t="str">
        <f>B19</f>
        <v>公共配套设施</v>
      </c>
      <c r="R19" s="1565" t="s">
        <v>8</v>
      </c>
      <c r="S19" s="1566">
        <f>F19</f>
        <v>100</v>
      </c>
      <c r="T19" s="1565" t="s">
        <v>8</v>
      </c>
      <c r="U19" s="1566">
        <f>H19</f>
        <v>100</v>
      </c>
      <c r="V19" s="1565" t="s">
        <v>8</v>
      </c>
      <c r="W19" s="1566">
        <f>J19</f>
        <v>100</v>
      </c>
      <c r="X19" s="1559"/>
      <c r="Y19" s="3799"/>
      <c r="Z19" s="1567" t="str">
        <f>Q19</f>
        <v>公共配套设施</v>
      </c>
      <c r="AA19" s="1568">
        <f t="shared" si="3"/>
        <v>1</v>
      </c>
      <c r="AB19" s="1568">
        <f t="shared" si="4"/>
        <v>1</v>
      </c>
      <c r="AC19" s="1568">
        <f t="shared" si="5"/>
        <v>1</v>
      </c>
    </row>
    <row r="20" spans="1:29" ht="15">
      <c r="A20" s="530"/>
      <c r="B20" s="564"/>
      <c r="C20" s="3492" t="s">
        <v>3360</v>
      </c>
      <c r="D20" s="553"/>
      <c r="E20" s="3493" t="s">
        <v>3360</v>
      </c>
      <c r="F20" s="553"/>
      <c r="G20" s="3494" t="s">
        <v>3360</v>
      </c>
      <c r="H20" s="553"/>
      <c r="I20" s="3494" t="s">
        <v>3360</v>
      </c>
      <c r="J20" s="553"/>
      <c r="K20" s="892"/>
      <c r="L20" s="2134"/>
      <c r="M20" s="2126"/>
      <c r="N20" s="2126"/>
      <c r="O20" s="2126"/>
      <c r="P20" s="3799"/>
      <c r="Q20" s="1564"/>
      <c r="R20" s="1565"/>
      <c r="S20" s="1566"/>
      <c r="T20" s="1565"/>
      <c r="U20" s="1566"/>
      <c r="V20" s="1565"/>
      <c r="W20" s="1566"/>
      <c r="X20" s="1559"/>
      <c r="Y20" s="3799"/>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99"/>
      <c r="Q21" s="2595" t="str">
        <f>B21</f>
        <v>基础设施水平</v>
      </c>
      <c r="R21" s="1565" t="s">
        <v>8</v>
      </c>
      <c r="S21" s="1566">
        <f>F21</f>
        <v>100</v>
      </c>
      <c r="T21" s="1565" t="s">
        <v>8</v>
      </c>
      <c r="U21" s="1566">
        <f>H21</f>
        <v>100</v>
      </c>
      <c r="V21" s="1565" t="s">
        <v>8</v>
      </c>
      <c r="W21" s="1566">
        <f>J21</f>
        <v>100</v>
      </c>
      <c r="X21" s="2597"/>
      <c r="Y21" s="3799"/>
      <c r="Z21" s="2596" t="str">
        <f>Q21</f>
        <v>基础设施水平</v>
      </c>
      <c r="AA21" s="1568">
        <f t="shared" ref="AA21" si="8">D21/F21</f>
        <v>1</v>
      </c>
      <c r="AB21" s="1568">
        <f t="shared" ref="AB21" si="9">D21/H21</f>
        <v>1</v>
      </c>
      <c r="AC21" s="1568">
        <f t="shared" ref="AC21" si="10">D21/J21</f>
        <v>1</v>
      </c>
    </row>
    <row r="22" spans="1:29" ht="15">
      <c r="A22" s="530"/>
      <c r="B22" s="575"/>
      <c r="C22" s="3500" t="s">
        <v>3361</v>
      </c>
      <c r="D22" s="553"/>
      <c r="E22" s="3499" t="s">
        <v>3361</v>
      </c>
      <c r="F22" s="553"/>
      <c r="G22" s="3492" t="s">
        <v>3362</v>
      </c>
      <c r="H22" s="553"/>
      <c r="I22" s="3492" t="s">
        <v>3361</v>
      </c>
      <c r="J22" s="553"/>
      <c r="K22" s="2618"/>
      <c r="L22" s="2134"/>
      <c r="M22" s="2126"/>
      <c r="N22" s="2126"/>
      <c r="O22" s="2126"/>
      <c r="P22" s="3799"/>
      <c r="Q22" s="2595"/>
      <c r="R22" s="1565"/>
      <c r="S22" s="1566"/>
      <c r="T22" s="1565"/>
      <c r="U22" s="1566"/>
      <c r="V22" s="1565"/>
      <c r="W22" s="1566"/>
      <c r="X22" s="2597"/>
      <c r="Y22" s="3799"/>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c r="F23" s="557">
        <f>SUMIF(85:85,E24,86:86)-SUMIF(85:85,C24,86:86)+100</f>
        <v>100</v>
      </c>
      <c r="G23" s="3526"/>
      <c r="H23" s="557">
        <f>SUMIF(85:85,G24,86:86)-SUMIF(85:85,C24,86:86)+100</f>
        <v>100</v>
      </c>
      <c r="I23" s="3526" t="s">
        <v>3426</v>
      </c>
      <c r="J23" s="557">
        <f>SUMIF(85:85,I24,86:86)-SUMIF(85:85,C24,86:86)+100</f>
        <v>100</v>
      </c>
      <c r="K23" s="891"/>
      <c r="L23" s="2134"/>
      <c r="M23" s="2126"/>
      <c r="N23" s="2126"/>
      <c r="O23" s="2126"/>
      <c r="P23" s="3799"/>
      <c r="Q23" s="1564" t="str">
        <f>B23</f>
        <v>环境质量</v>
      </c>
      <c r="R23" s="1565" t="s">
        <v>8</v>
      </c>
      <c r="S23" s="1566">
        <f>F23</f>
        <v>100</v>
      </c>
      <c r="T23" s="1565" t="s">
        <v>8</v>
      </c>
      <c r="U23" s="1566">
        <f>H23</f>
        <v>100</v>
      </c>
      <c r="V23" s="1565" t="s">
        <v>8</v>
      </c>
      <c r="W23" s="1566">
        <f>J23</f>
        <v>100</v>
      </c>
      <c r="X23" s="1559"/>
      <c r="Y23" s="3799"/>
      <c r="Z23" s="1567" t="str">
        <f>Q23</f>
        <v>环境质量</v>
      </c>
      <c r="AA23" s="1568">
        <f t="shared" si="3"/>
        <v>1</v>
      </c>
      <c r="AB23" s="1568">
        <f t="shared" si="4"/>
        <v>1</v>
      </c>
      <c r="AC23" s="1568">
        <f t="shared" si="5"/>
        <v>1</v>
      </c>
    </row>
    <row r="24" spans="1:29" ht="15">
      <c r="A24" s="530"/>
      <c r="B24" s="575"/>
      <c r="C24" s="3492" t="s">
        <v>3425</v>
      </c>
      <c r="D24" s="553"/>
      <c r="E24" s="3493" t="s">
        <v>3425</v>
      </c>
      <c r="F24" s="553"/>
      <c r="G24" s="3494" t="s">
        <v>3425</v>
      </c>
      <c r="H24" s="553"/>
      <c r="I24" s="3494" t="s">
        <v>3425</v>
      </c>
      <c r="J24" s="553"/>
      <c r="K24" s="892"/>
      <c r="L24" s="2134"/>
      <c r="M24" s="2126"/>
      <c r="N24" s="2126"/>
      <c r="O24" s="2126"/>
      <c r="P24" s="3799"/>
      <c r="Q24" s="1564"/>
      <c r="R24" s="1565"/>
      <c r="S24" s="1566"/>
      <c r="T24" s="1565"/>
      <c r="U24" s="1566"/>
      <c r="V24" s="1565"/>
      <c r="W24" s="1566"/>
      <c r="X24" s="1559"/>
      <c r="Y24" s="3799"/>
      <c r="Z24" s="1567"/>
      <c r="AA24" s="1568">
        <v>1</v>
      </c>
      <c r="AB24" s="1568">
        <v>1</v>
      </c>
      <c r="AC24" s="1568">
        <v>1</v>
      </c>
    </row>
    <row r="25" spans="1:29" ht="27.75">
      <c r="A25" s="513"/>
      <c r="B25" s="558" t="s">
        <v>549</v>
      </c>
      <c r="C25" s="905" t="s">
        <v>3374</v>
      </c>
      <c r="D25" s="538">
        <v>100</v>
      </c>
      <c r="E25" s="537" t="s">
        <v>3374</v>
      </c>
      <c r="F25" s="538">
        <f>SUMIF(87:87,E26,88:88)-SUMIF(87:87,C26,88:88)+100</f>
        <v>100</v>
      </c>
      <c r="G25" s="905" t="s">
        <v>3374</v>
      </c>
      <c r="H25" s="538">
        <f>SUMIF(87:87,G26,88:88)-SUMIF(87:87,C26,88:88)+100</f>
        <v>100</v>
      </c>
      <c r="I25" s="3541" t="s">
        <v>3430</v>
      </c>
      <c r="J25" s="538">
        <f>SUMIF(87:87,I26,88:88)-SUMIF(87:87,C26,88:88)+100</f>
        <v>102</v>
      </c>
      <c r="K25" s="891">
        <v>2</v>
      </c>
      <c r="L25" s="2134"/>
      <c r="M25" s="2126"/>
      <c r="N25" s="2126"/>
      <c r="O25" s="2126"/>
      <c r="P25" s="3799"/>
      <c r="Q25" s="1564" t="str">
        <f>B25</f>
        <v>毗邻道路的类型与等级</v>
      </c>
      <c r="R25" s="1565" t="s">
        <v>8</v>
      </c>
      <c r="S25" s="1566">
        <f>F25</f>
        <v>100</v>
      </c>
      <c r="T25" s="1565" t="s">
        <v>8</v>
      </c>
      <c r="U25" s="1566">
        <f>H25</f>
        <v>100</v>
      </c>
      <c r="V25" s="1565" t="s">
        <v>8</v>
      </c>
      <c r="W25" s="1566">
        <f>J25</f>
        <v>102</v>
      </c>
      <c r="X25" s="1559"/>
      <c r="Y25" s="3799"/>
      <c r="Z25" s="1567" t="str">
        <f>Q25</f>
        <v>毗邻道路的类型与等级</v>
      </c>
      <c r="AA25" s="1568">
        <f t="shared" si="3"/>
        <v>1</v>
      </c>
      <c r="AB25" s="1568">
        <f t="shared" si="4"/>
        <v>1</v>
      </c>
      <c r="AC25" s="1568">
        <f t="shared" si="5"/>
        <v>0.98039215686274506</v>
      </c>
    </row>
    <row r="26" spans="1:29" ht="15">
      <c r="A26" s="513"/>
      <c r="B26" s="564"/>
      <c r="C26" s="3528" t="s">
        <v>3371</v>
      </c>
      <c r="D26" s="538"/>
      <c r="E26" s="3509" t="s">
        <v>3371</v>
      </c>
      <c r="F26" s="538"/>
      <c r="G26" s="3528" t="s">
        <v>3371</v>
      </c>
      <c r="H26" s="538"/>
      <c r="I26" s="580" t="s">
        <v>3369</v>
      </c>
      <c r="J26" s="538"/>
      <c r="K26" s="892"/>
      <c r="L26" s="2134"/>
      <c r="M26" s="2126"/>
      <c r="N26" s="2126"/>
      <c r="O26" s="2126"/>
      <c r="P26" s="3799"/>
      <c r="Q26" s="1564"/>
      <c r="R26" s="1565"/>
      <c r="S26" s="1566"/>
      <c r="T26" s="1565"/>
      <c r="U26" s="1566"/>
      <c r="V26" s="1565"/>
      <c r="W26" s="1566"/>
      <c r="X26" s="1559"/>
      <c r="Y26" s="3799"/>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99"/>
      <c r="Q27" s="1564" t="str">
        <f t="shared" ref="Q27:Q47" si="11">B27</f>
        <v>楼层</v>
      </c>
      <c r="R27" s="1565" t="s">
        <v>8</v>
      </c>
      <c r="S27" s="1566">
        <f>F27</f>
        <v>100</v>
      </c>
      <c r="T27" s="1565" t="s">
        <v>8</v>
      </c>
      <c r="U27" s="1566">
        <f>H27</f>
        <v>100</v>
      </c>
      <c r="V27" s="1565" t="s">
        <v>8</v>
      </c>
      <c r="W27" s="1566">
        <f>J27</f>
        <v>100</v>
      </c>
      <c r="X27" s="1559"/>
      <c r="Y27" s="3799"/>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99"/>
      <c r="Q28" s="1144" t="str">
        <f t="shared" si="11"/>
        <v>朝向</v>
      </c>
      <c r="R28" s="1560" t="s">
        <v>8</v>
      </c>
      <c r="S28" s="1561">
        <f>F28</f>
        <v>100</v>
      </c>
      <c r="T28" s="1560" t="s">
        <v>8</v>
      </c>
      <c r="U28" s="1561">
        <f>H28</f>
        <v>100</v>
      </c>
      <c r="V28" s="1560" t="s">
        <v>8</v>
      </c>
      <c r="W28" s="1561">
        <f>J28</f>
        <v>100</v>
      </c>
      <c r="X28" s="1562"/>
      <c r="Y28" s="3799"/>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99"/>
      <c r="Q29" s="1564">
        <f t="shared" si="11"/>
        <v>111</v>
      </c>
      <c r="R29" s="1565" t="s">
        <v>8</v>
      </c>
      <c r="S29" s="1566">
        <f t="shared" ref="S29:S47" si="12">F29</f>
        <v>100</v>
      </c>
      <c r="T29" s="1565" t="s">
        <v>8</v>
      </c>
      <c r="U29" s="1566">
        <f t="shared" ref="U29:U47" si="13">H29</f>
        <v>100</v>
      </c>
      <c r="V29" s="1565" t="s">
        <v>8</v>
      </c>
      <c r="W29" s="1566">
        <f t="shared" ref="W29:W47" si="14">J29</f>
        <v>100</v>
      </c>
      <c r="X29" s="1559"/>
      <c r="Y29" s="3799"/>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99"/>
      <c r="Q30" s="1564">
        <f t="shared" si="11"/>
        <v>111</v>
      </c>
      <c r="R30" s="1565" t="s">
        <v>8</v>
      </c>
      <c r="S30" s="1566">
        <f t="shared" si="12"/>
        <v>100</v>
      </c>
      <c r="T30" s="1565" t="s">
        <v>8</v>
      </c>
      <c r="U30" s="1566">
        <f t="shared" si="13"/>
        <v>100</v>
      </c>
      <c r="V30" s="1565" t="s">
        <v>8</v>
      </c>
      <c r="W30" s="1566">
        <f t="shared" si="14"/>
        <v>100</v>
      </c>
      <c r="X30" s="1559"/>
      <c r="Y30" s="3799"/>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99"/>
      <c r="Q31" s="1564">
        <f t="shared" si="11"/>
        <v>111</v>
      </c>
      <c r="R31" s="1565" t="s">
        <v>8</v>
      </c>
      <c r="S31" s="1566">
        <f t="shared" si="12"/>
        <v>100</v>
      </c>
      <c r="T31" s="1565" t="s">
        <v>8</v>
      </c>
      <c r="U31" s="1566">
        <f t="shared" si="13"/>
        <v>100</v>
      </c>
      <c r="V31" s="1565" t="s">
        <v>8</v>
      </c>
      <c r="W31" s="1566">
        <f t="shared" si="14"/>
        <v>100</v>
      </c>
      <c r="X31" s="1559"/>
      <c r="Y31" s="3799"/>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99"/>
      <c r="Q32" s="1564">
        <f t="shared" si="11"/>
        <v>111</v>
      </c>
      <c r="R32" s="1565" t="s">
        <v>8</v>
      </c>
      <c r="S32" s="1566">
        <f t="shared" si="12"/>
        <v>100</v>
      </c>
      <c r="T32" s="1565" t="s">
        <v>8</v>
      </c>
      <c r="U32" s="1566">
        <f t="shared" si="13"/>
        <v>100</v>
      </c>
      <c r="V32" s="1565" t="s">
        <v>8</v>
      </c>
      <c r="W32" s="1566">
        <f t="shared" si="14"/>
        <v>100</v>
      </c>
      <c r="X32" s="1559"/>
      <c r="Y32" s="3799"/>
      <c r="Z32" s="1567">
        <f t="shared" si="15"/>
        <v>111</v>
      </c>
      <c r="AA32" s="1568">
        <f t="shared" si="3"/>
        <v>1</v>
      </c>
      <c r="AB32" s="1568">
        <f t="shared" si="4"/>
        <v>1</v>
      </c>
      <c r="AC32" s="1568">
        <f t="shared" si="5"/>
        <v>1</v>
      </c>
    </row>
    <row r="33" spans="1:29" ht="15">
      <c r="A33" s="2924" t="s">
        <v>2759</v>
      </c>
      <c r="B33" s="172" t="s">
        <v>781</v>
      </c>
      <c r="C33" s="3529" t="s">
        <v>3363</v>
      </c>
      <c r="D33" s="594">
        <v>100</v>
      </c>
      <c r="E33" s="3529" t="s">
        <v>3363</v>
      </c>
      <c r="F33" s="572">
        <f>SUMIF(101:101,E33,102:102)-SUMIF(101:101,C33,102:102)+100</f>
        <v>100</v>
      </c>
      <c r="G33" s="3529" t="s">
        <v>3364</v>
      </c>
      <c r="H33" s="538">
        <f>SUMIF(101:101,G33,102:102)-SUMIF(101:101,C33,102:102)+100</f>
        <v>100</v>
      </c>
      <c r="I33" s="3529" t="s">
        <v>3363</v>
      </c>
      <c r="J33" s="594">
        <f>SUMIF(101:101,I33,102:102)-SUMIF(101:101,C33,102:102)+100</f>
        <v>100</v>
      </c>
      <c r="K33" s="581"/>
      <c r="L33" s="2134"/>
      <c r="M33" s="2126"/>
      <c r="N33" s="2126"/>
      <c r="O33" s="2126"/>
      <c r="P33" s="3800" t="s">
        <v>551</v>
      </c>
      <c r="Q33" s="1564" t="str">
        <f t="shared" si="11"/>
        <v>建筑类型</v>
      </c>
      <c r="R33" s="1565" t="s">
        <v>8</v>
      </c>
      <c r="S33" s="1566">
        <f t="shared" si="12"/>
        <v>100</v>
      </c>
      <c r="T33" s="1565" t="s">
        <v>8</v>
      </c>
      <c r="U33" s="1566">
        <f t="shared" si="13"/>
        <v>100</v>
      </c>
      <c r="V33" s="1565" t="s">
        <v>8</v>
      </c>
      <c r="W33" s="1566">
        <f t="shared" si="14"/>
        <v>100</v>
      </c>
      <c r="X33" s="1559"/>
      <c r="Y33" s="3801"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801"/>
      <c r="Q34" s="1597" t="str">
        <f t="shared" si="11"/>
        <v>项目建筑规模</v>
      </c>
      <c r="R34" s="1569" t="s">
        <v>8</v>
      </c>
      <c r="S34" s="1570">
        <f t="shared" si="12"/>
        <v>100</v>
      </c>
      <c r="T34" s="1569" t="s">
        <v>8</v>
      </c>
      <c r="U34" s="1570">
        <f t="shared" si="13"/>
        <v>100</v>
      </c>
      <c r="V34" s="1569" t="s">
        <v>8</v>
      </c>
      <c r="W34" s="1570">
        <f t="shared" si="14"/>
        <v>100</v>
      </c>
      <c r="X34" s="1571"/>
      <c r="Y34" s="3801"/>
      <c r="Z34" s="1572" t="str">
        <f t="shared" si="15"/>
        <v>项目建筑规模</v>
      </c>
      <c r="AA34" s="1568">
        <f t="shared" si="3"/>
        <v>1</v>
      </c>
      <c r="AB34" s="1568">
        <f t="shared" si="4"/>
        <v>1</v>
      </c>
      <c r="AC34" s="1568">
        <f t="shared" si="5"/>
        <v>1</v>
      </c>
    </row>
    <row r="35" spans="1:29" ht="15">
      <c r="A35" s="591"/>
      <c r="B35" s="525" t="s">
        <v>728</v>
      </c>
      <c r="C35" s="3530" t="s">
        <v>3365</v>
      </c>
      <c r="D35" s="538">
        <v>100</v>
      </c>
      <c r="E35" s="3530" t="s">
        <v>3365</v>
      </c>
      <c r="F35" s="572">
        <f>SUMIF(106:106,E35,107:107)-SUMIF(106:106,C35,107:107)+100</f>
        <v>100</v>
      </c>
      <c r="G35" s="3530" t="s">
        <v>3366</v>
      </c>
      <c r="H35" s="538">
        <f>SUMIF(106:106,G35,107:107)-SUMIF(106:106,C35,107:107)+100</f>
        <v>100</v>
      </c>
      <c r="I35" s="3530" t="s">
        <v>3365</v>
      </c>
      <c r="J35" s="538">
        <f>SUMIF(106:106,I35,107:107)-SUMIF(106:106,C35,107:107)+100</f>
        <v>100</v>
      </c>
      <c r="K35" s="581"/>
      <c r="L35" s="2134"/>
      <c r="M35" s="2126"/>
      <c r="N35" s="2126"/>
      <c r="O35" s="2126"/>
      <c r="P35" s="3801"/>
      <c r="Q35" s="1564" t="str">
        <f t="shared" si="11"/>
        <v>建筑结构</v>
      </c>
      <c r="R35" s="1565" t="s">
        <v>8</v>
      </c>
      <c r="S35" s="1566">
        <f t="shared" si="12"/>
        <v>100</v>
      </c>
      <c r="T35" s="1565" t="s">
        <v>8</v>
      </c>
      <c r="U35" s="1566">
        <f t="shared" si="13"/>
        <v>100</v>
      </c>
      <c r="V35" s="1565" t="s">
        <v>8</v>
      </c>
      <c r="W35" s="1566">
        <f t="shared" si="14"/>
        <v>100</v>
      </c>
      <c r="X35" s="1559"/>
      <c r="Y35" s="3801"/>
      <c r="Z35" s="1567" t="str">
        <f t="shared" si="15"/>
        <v>建筑结构</v>
      </c>
      <c r="AA35" s="1568">
        <f t="shared" si="3"/>
        <v>1</v>
      </c>
      <c r="AB35" s="1568">
        <f t="shared" si="4"/>
        <v>1</v>
      </c>
      <c r="AC35" s="1568">
        <f t="shared" si="5"/>
        <v>1</v>
      </c>
    </row>
    <row r="36" spans="1:29" ht="15">
      <c r="A36" s="591"/>
      <c r="B36" s="525" t="s">
        <v>764</v>
      </c>
      <c r="C36" s="3530" t="s">
        <v>3360</v>
      </c>
      <c r="D36" s="538">
        <v>100</v>
      </c>
      <c r="E36" s="3530" t="s">
        <v>3360</v>
      </c>
      <c r="F36" s="572">
        <f>SUMIF(108:108,E36,109:109)-SUMIF(108:108,C36,109:109)+100</f>
        <v>100</v>
      </c>
      <c r="G36" s="3530" t="s">
        <v>3360</v>
      </c>
      <c r="H36" s="538">
        <f>SUMIF(108:108,G36,109:109)-SUMIF(108:108,C36,109:109)+100</f>
        <v>100</v>
      </c>
      <c r="I36" s="3530" t="s">
        <v>3360</v>
      </c>
      <c r="J36" s="538">
        <f>SUMIF(108:108,I36,109:109)-SUMIF(108:108,C36,109:109)+100</f>
        <v>100</v>
      </c>
      <c r="K36" s="581"/>
      <c r="L36" s="2134"/>
      <c r="M36" s="2126"/>
      <c r="N36" s="2126"/>
      <c r="O36" s="2126"/>
      <c r="P36" s="3801"/>
      <c r="Q36" s="1564" t="str">
        <f t="shared" si="11"/>
        <v>公共部分装修</v>
      </c>
      <c r="R36" s="1565" t="s">
        <v>8</v>
      </c>
      <c r="S36" s="1566">
        <f t="shared" si="12"/>
        <v>100</v>
      </c>
      <c r="T36" s="1565" t="s">
        <v>8</v>
      </c>
      <c r="U36" s="1566">
        <f t="shared" si="13"/>
        <v>100</v>
      </c>
      <c r="V36" s="1565" t="s">
        <v>8</v>
      </c>
      <c r="W36" s="1566">
        <f t="shared" si="14"/>
        <v>100</v>
      </c>
      <c r="X36" s="1559"/>
      <c r="Y36" s="3801"/>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801"/>
      <c r="Q37" s="1564" t="str">
        <f t="shared" si="11"/>
        <v>成新度</v>
      </c>
      <c r="R37" s="1565" t="s">
        <v>8</v>
      </c>
      <c r="S37" s="1566">
        <f t="shared" si="12"/>
        <v>100</v>
      </c>
      <c r="T37" s="1565" t="s">
        <v>8</v>
      </c>
      <c r="U37" s="1566">
        <f t="shared" si="13"/>
        <v>100</v>
      </c>
      <c r="V37" s="1565" t="s">
        <v>8</v>
      </c>
      <c r="W37" s="1566">
        <f t="shared" si="14"/>
        <v>100</v>
      </c>
      <c r="X37" s="1559"/>
      <c r="Y37" s="3801"/>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801"/>
      <c r="Q38" s="1144" t="str">
        <f t="shared" si="11"/>
        <v>写字楼等级</v>
      </c>
      <c r="R38" s="1560" t="s">
        <v>8</v>
      </c>
      <c r="S38" s="1561">
        <f t="shared" si="12"/>
        <v>100</v>
      </c>
      <c r="T38" s="1560" t="s">
        <v>8</v>
      </c>
      <c r="U38" s="1561">
        <f t="shared" si="13"/>
        <v>100</v>
      </c>
      <c r="V38" s="1560" t="s">
        <v>8</v>
      </c>
      <c r="W38" s="1561">
        <f t="shared" si="14"/>
        <v>100</v>
      </c>
      <c r="X38" s="1562"/>
      <c r="Y38" s="3801"/>
      <c r="Z38" s="1143" t="str">
        <f t="shared" si="15"/>
        <v>写字楼等级</v>
      </c>
      <c r="AA38" s="1563">
        <f t="shared" si="3"/>
        <v>1</v>
      </c>
      <c r="AB38" s="1563">
        <f t="shared" si="4"/>
        <v>1</v>
      </c>
      <c r="AC38" s="1563">
        <f t="shared" si="5"/>
        <v>1</v>
      </c>
    </row>
    <row r="39" spans="1:29" ht="15">
      <c r="A39" s="591"/>
      <c r="B39" s="525" t="s">
        <v>783</v>
      </c>
      <c r="C39" s="3530" t="s">
        <v>3367</v>
      </c>
      <c r="D39" s="538">
        <v>100</v>
      </c>
      <c r="E39" s="3530" t="s">
        <v>3367</v>
      </c>
      <c r="F39" s="572">
        <f>SUMIF(115:115,E39,116:116)-SUMIF(115:115,C39,116:116)+100</f>
        <v>100</v>
      </c>
      <c r="G39" s="3530" t="s">
        <v>3367</v>
      </c>
      <c r="H39" s="538">
        <f>SUMIF(115:115,G39,116:116)-SUMIF(115:115,C39,116:116)+100</f>
        <v>100</v>
      </c>
      <c r="I39" s="3530" t="s">
        <v>3367</v>
      </c>
      <c r="J39" s="538">
        <f>SUMIF(115:115,I39,116:116)-SUMIF(115:115,C39,116:116)+100</f>
        <v>100</v>
      </c>
      <c r="K39" s="581"/>
      <c r="L39" s="2134"/>
      <c r="M39" s="2126"/>
      <c r="N39" s="2126"/>
      <c r="O39" s="2126"/>
      <c r="P39" s="3801" t="s">
        <v>551</v>
      </c>
      <c r="Q39" s="1564" t="str">
        <f t="shared" si="11"/>
        <v>物业管理</v>
      </c>
      <c r="R39" s="1565" t="s">
        <v>8</v>
      </c>
      <c r="S39" s="1566">
        <f t="shared" si="12"/>
        <v>100</v>
      </c>
      <c r="T39" s="1565" t="s">
        <v>8</v>
      </c>
      <c r="U39" s="1566">
        <f t="shared" si="13"/>
        <v>100</v>
      </c>
      <c r="V39" s="1565" t="s">
        <v>8</v>
      </c>
      <c r="W39" s="1566">
        <f t="shared" si="14"/>
        <v>100</v>
      </c>
      <c r="X39" s="1559"/>
      <c r="Y39" s="3801" t="s">
        <v>551</v>
      </c>
      <c r="Z39" s="1567" t="str">
        <f t="shared" si="15"/>
        <v>物业管理</v>
      </c>
      <c r="AA39" s="1568">
        <f t="shared" si="3"/>
        <v>1</v>
      </c>
      <c r="AB39" s="1568">
        <f t="shared" si="4"/>
        <v>1</v>
      </c>
      <c r="AC39" s="1568">
        <f t="shared" si="5"/>
        <v>1</v>
      </c>
    </row>
    <row r="40" spans="1:29" ht="15">
      <c r="A40" s="591"/>
      <c r="B40" s="1887" t="s">
        <v>2569</v>
      </c>
      <c r="C40" s="3530" t="s">
        <v>3361</v>
      </c>
      <c r="D40" s="538">
        <v>100</v>
      </c>
      <c r="E40" s="3530" t="s">
        <v>3361</v>
      </c>
      <c r="F40" s="572">
        <f>SUMIF(117:117,E40,118:118)-SUMIF(117:117,C40,118:118)+100</f>
        <v>100</v>
      </c>
      <c r="G40" s="3530" t="s">
        <v>3361</v>
      </c>
      <c r="H40" s="538">
        <f>SUMIF(117:117,G40,118:118)-SUMIF(117:117,C40,118:118)+100</f>
        <v>100</v>
      </c>
      <c r="I40" s="3530" t="s">
        <v>3361</v>
      </c>
      <c r="J40" s="538">
        <f>SUMIF(117:117,I40,118:118)-SUMIF(117:117,C40,118:118)+100</f>
        <v>100</v>
      </c>
      <c r="K40" s="581"/>
      <c r="L40" s="2134"/>
      <c r="M40" s="2126"/>
      <c r="N40" s="2126"/>
      <c r="O40" s="2126"/>
      <c r="P40" s="3801"/>
      <c r="Q40" s="1564" t="str">
        <f t="shared" si="11"/>
        <v>市政基础设施</v>
      </c>
      <c r="R40" s="1565" t="s">
        <v>8</v>
      </c>
      <c r="S40" s="1566">
        <f t="shared" si="12"/>
        <v>100</v>
      </c>
      <c r="T40" s="1565" t="s">
        <v>8</v>
      </c>
      <c r="U40" s="1566">
        <f t="shared" si="13"/>
        <v>100</v>
      </c>
      <c r="V40" s="1565" t="s">
        <v>8</v>
      </c>
      <c r="W40" s="1566">
        <f t="shared" si="14"/>
        <v>100</v>
      </c>
      <c r="X40" s="1559"/>
      <c r="Y40" s="3801"/>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801"/>
      <c r="Q41" s="1564" t="str">
        <f t="shared" si="11"/>
        <v>层高</v>
      </c>
      <c r="R41" s="1565" t="s">
        <v>8</v>
      </c>
      <c r="S41" s="1566">
        <f t="shared" si="12"/>
        <v>100</v>
      </c>
      <c r="T41" s="1565" t="s">
        <v>8</v>
      </c>
      <c r="U41" s="1566">
        <f t="shared" si="13"/>
        <v>100</v>
      </c>
      <c r="V41" s="1565" t="s">
        <v>8</v>
      </c>
      <c r="W41" s="1566">
        <f t="shared" si="14"/>
        <v>100</v>
      </c>
      <c r="X41" s="1559"/>
      <c r="Y41" s="3801"/>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801"/>
      <c r="Q42" s="1597" t="str">
        <f t="shared" si="11"/>
        <v>单套建筑面积</v>
      </c>
      <c r="R42" s="1569" t="s">
        <v>8</v>
      </c>
      <c r="S42" s="1570">
        <f t="shared" si="12"/>
        <v>100</v>
      </c>
      <c r="T42" s="1569" t="s">
        <v>8</v>
      </c>
      <c r="U42" s="1570">
        <f t="shared" si="13"/>
        <v>100</v>
      </c>
      <c r="V42" s="1569" t="s">
        <v>8</v>
      </c>
      <c r="W42" s="1570">
        <f t="shared" si="14"/>
        <v>100</v>
      </c>
      <c r="X42" s="1571"/>
      <c r="Y42" s="3801"/>
      <c r="Z42" s="1572" t="str">
        <f t="shared" si="15"/>
        <v>单套建筑面积</v>
      </c>
      <c r="AA42" s="1568">
        <f t="shared" si="3"/>
        <v>1</v>
      </c>
      <c r="AB42" s="1568">
        <f t="shared" si="4"/>
        <v>1</v>
      </c>
      <c r="AC42" s="1568">
        <f t="shared" si="5"/>
        <v>1</v>
      </c>
    </row>
    <row r="43" spans="1:29" ht="15">
      <c r="A43" s="591"/>
      <c r="B43" s="525" t="s">
        <v>771</v>
      </c>
      <c r="C43" s="3530" t="s">
        <v>3368</v>
      </c>
      <c r="D43" s="538">
        <v>100</v>
      </c>
      <c r="E43" s="3530" t="s">
        <v>3368</v>
      </c>
      <c r="F43" s="572">
        <f>SUMIF(123:123,E43,124:124)-SUMIF(123:123,C43,124:124)+100</f>
        <v>100</v>
      </c>
      <c r="G43" s="3530" t="s">
        <v>3368</v>
      </c>
      <c r="H43" s="538">
        <f>SUMIF(123:123,G43,124:124)-SUMIF(123:123,C43,124:124)+100</f>
        <v>100</v>
      </c>
      <c r="I43" s="3530" t="s">
        <v>3368</v>
      </c>
      <c r="J43" s="538">
        <f>SUMIF(123:123,I43,124:124)-SUMIF(123:123,C43,124:124)+100</f>
        <v>100</v>
      </c>
      <c r="K43" s="581"/>
      <c r="L43" s="2134"/>
      <c r="M43" s="2126"/>
      <c r="N43" s="2126"/>
      <c r="O43" s="2126"/>
      <c r="P43" s="3801"/>
      <c r="Q43" s="1564" t="str">
        <f t="shared" si="11"/>
        <v>内部装修</v>
      </c>
      <c r="R43" s="1565" t="s">
        <v>8</v>
      </c>
      <c r="S43" s="1566">
        <f t="shared" si="12"/>
        <v>100</v>
      </c>
      <c r="T43" s="1565" t="s">
        <v>8</v>
      </c>
      <c r="U43" s="1566">
        <f t="shared" si="13"/>
        <v>100</v>
      </c>
      <c r="V43" s="1565" t="s">
        <v>8</v>
      </c>
      <c r="W43" s="1566">
        <f t="shared" si="14"/>
        <v>100</v>
      </c>
      <c r="X43" s="1559"/>
      <c r="Y43" s="3801"/>
      <c r="Z43" s="1567" t="str">
        <f t="shared" si="15"/>
        <v>内部装修</v>
      </c>
      <c r="AA43" s="1568">
        <f t="shared" si="3"/>
        <v>1</v>
      </c>
      <c r="AB43" s="1568">
        <f t="shared" si="4"/>
        <v>1</v>
      </c>
      <c r="AC43" s="1568">
        <f t="shared" si="5"/>
        <v>1</v>
      </c>
    </row>
    <row r="44" spans="1:29" ht="27">
      <c r="A44" s="591"/>
      <c r="B44" s="525" t="s">
        <v>736</v>
      </c>
      <c r="C44" s="3530" t="s">
        <v>3360</v>
      </c>
      <c r="D44" s="538">
        <v>100</v>
      </c>
      <c r="E44" s="3495" t="s">
        <v>3360</v>
      </c>
      <c r="F44" s="572">
        <f>SUMIF(125:125,E44,126:126)-SUMIF(125:125,C44,126:126)+100</f>
        <v>100</v>
      </c>
      <c r="G44" s="3495" t="s">
        <v>3360</v>
      </c>
      <c r="H44" s="538">
        <f>SUMIF(125:125,G44,126:126)-SUMIF(125:125,C44,126:126)+100</f>
        <v>100</v>
      </c>
      <c r="I44" s="3495" t="s">
        <v>3360</v>
      </c>
      <c r="J44" s="538">
        <f>SUMIF(125:125,I44,126:126)-SUMIF(125:125,C44,126:126)+100</f>
        <v>100</v>
      </c>
      <c r="K44" s="581"/>
      <c r="L44" s="2134"/>
      <c r="M44" s="2126"/>
      <c r="N44" s="2126"/>
      <c r="O44" s="2126"/>
      <c r="P44" s="3801"/>
      <c r="Q44" s="1564" t="str">
        <f t="shared" si="11"/>
        <v>内部装修维护情况</v>
      </c>
      <c r="R44" s="1565" t="s">
        <v>8</v>
      </c>
      <c r="S44" s="1566">
        <f t="shared" si="12"/>
        <v>100</v>
      </c>
      <c r="T44" s="1565" t="s">
        <v>8</v>
      </c>
      <c r="U44" s="1566">
        <f t="shared" si="13"/>
        <v>100</v>
      </c>
      <c r="V44" s="1565" t="s">
        <v>8</v>
      </c>
      <c r="W44" s="1566">
        <f t="shared" si="14"/>
        <v>100</v>
      </c>
      <c r="X44" s="1559"/>
      <c r="Y44" s="3801"/>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801"/>
      <c r="Q45" s="1144">
        <f t="shared" si="11"/>
        <v>111</v>
      </c>
      <c r="R45" s="1560" t="s">
        <v>8</v>
      </c>
      <c r="S45" s="1561">
        <f t="shared" si="12"/>
        <v>100</v>
      </c>
      <c r="T45" s="1560" t="s">
        <v>8</v>
      </c>
      <c r="U45" s="1561">
        <f t="shared" si="13"/>
        <v>100</v>
      </c>
      <c r="V45" s="1560" t="s">
        <v>8</v>
      </c>
      <c r="W45" s="1561">
        <f t="shared" si="14"/>
        <v>100</v>
      </c>
      <c r="X45" s="1562"/>
      <c r="Y45" s="3801"/>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801"/>
      <c r="Q46" s="1564">
        <f t="shared" si="11"/>
        <v>111</v>
      </c>
      <c r="R46" s="1565" t="s">
        <v>8</v>
      </c>
      <c r="S46" s="1566">
        <f t="shared" si="12"/>
        <v>100</v>
      </c>
      <c r="T46" s="1565" t="s">
        <v>8</v>
      </c>
      <c r="U46" s="1566">
        <f t="shared" si="13"/>
        <v>100</v>
      </c>
      <c r="V46" s="1565" t="s">
        <v>8</v>
      </c>
      <c r="W46" s="1566">
        <f t="shared" si="14"/>
        <v>100</v>
      </c>
      <c r="X46" s="1559"/>
      <c r="Y46" s="3801"/>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77"/>
      <c r="Q47" s="1564">
        <f t="shared" si="11"/>
        <v>0.9</v>
      </c>
      <c r="R47" s="1565" t="s">
        <v>8</v>
      </c>
      <c r="S47" s="1566">
        <f t="shared" si="12"/>
        <v>100</v>
      </c>
      <c r="T47" s="1565" t="s">
        <v>8</v>
      </c>
      <c r="U47" s="1566">
        <f t="shared" si="13"/>
        <v>100</v>
      </c>
      <c r="V47" s="1565" t="s">
        <v>8</v>
      </c>
      <c r="W47" s="1566">
        <f t="shared" si="14"/>
        <v>100</v>
      </c>
      <c r="X47" s="1559"/>
      <c r="Y47" s="3877"/>
      <c r="Z47" s="1567">
        <f t="shared" si="15"/>
        <v>0.9</v>
      </c>
      <c r="AA47" s="1568">
        <f t="shared" si="3"/>
        <v>1</v>
      </c>
      <c r="AB47" s="1568">
        <f t="shared" si="4"/>
        <v>1</v>
      </c>
      <c r="AC47" s="1568">
        <f t="shared" si="5"/>
        <v>1</v>
      </c>
    </row>
    <row r="48" spans="1:29" ht="15">
      <c r="A48" s="604" t="s">
        <v>737</v>
      </c>
      <c r="B48" s="880"/>
      <c r="C48" s="2643" t="s">
        <v>1</v>
      </c>
      <c r="D48" s="2644"/>
      <c r="E48" s="2645">
        <f>B47*13000</f>
        <v>11700</v>
      </c>
      <c r="F48" s="2646"/>
      <c r="G48" s="2647">
        <f>B47*14000</f>
        <v>12600</v>
      </c>
      <c r="H48" s="2648"/>
      <c r="I48" s="2645">
        <f>B47*16000</f>
        <v>14400</v>
      </c>
      <c r="J48" s="2648"/>
      <c r="K48" s="1603"/>
      <c r="L48" s="2136"/>
      <c r="M48" s="2126"/>
      <c r="N48" s="2126"/>
      <c r="O48" s="2126"/>
      <c r="P48" s="3762" t="str">
        <f>A48</f>
        <v>成交单价（元/平方米）</v>
      </c>
      <c r="Q48" s="3764"/>
      <c r="R48" s="3876">
        <f>E48</f>
        <v>11700</v>
      </c>
      <c r="S48" s="3876"/>
      <c r="T48" s="3876">
        <f>G48</f>
        <v>12600</v>
      </c>
      <c r="U48" s="3876"/>
      <c r="V48" s="3876">
        <f>I48</f>
        <v>14400</v>
      </c>
      <c r="W48" s="3876"/>
      <c r="X48" s="1551"/>
      <c r="Y48" s="1573"/>
      <c r="Z48" s="1551"/>
      <c r="AA48" s="1551"/>
      <c r="AB48" s="1551"/>
      <c r="AC48" s="1551"/>
    </row>
    <row r="49" spans="1:29" ht="15.75" thickBot="1">
      <c r="A49" s="612" t="s">
        <v>2764</v>
      </c>
      <c r="B49" s="881"/>
      <c r="C49" s="2649">
        <f>R50</f>
        <v>12806</v>
      </c>
      <c r="D49" s="2650"/>
      <c r="E49" s="2651">
        <f>R49</f>
        <v>11700</v>
      </c>
      <c r="F49" s="2651"/>
      <c r="G49" s="2649">
        <f>T49</f>
        <v>12600</v>
      </c>
      <c r="H49" s="2650"/>
      <c r="I49" s="2651">
        <f>V49</f>
        <v>14118</v>
      </c>
      <c r="J49" s="2650"/>
      <c r="K49" s="1604"/>
      <c r="L49" s="2136"/>
      <c r="M49" s="2126"/>
      <c r="N49" s="2126"/>
      <c r="O49" s="2126"/>
      <c r="P49" s="3762" t="str">
        <f>A49</f>
        <v>比较价格（元/平方米）</v>
      </c>
      <c r="Q49" s="3764"/>
      <c r="R49" s="3876">
        <f>IF(F1="售价",ROUND(PRODUCT(R48,AA7:AA47),0),ROUND(PRODUCT(R48,AA7:AA47),1))</f>
        <v>11700</v>
      </c>
      <c r="S49" s="3876"/>
      <c r="T49" s="3876">
        <f>IF(F1="售价",ROUND(PRODUCT(T48,AB7:AB47),0),ROUND(PRODUCT(T48,AB7:AB47),1))</f>
        <v>12600</v>
      </c>
      <c r="U49" s="3876"/>
      <c r="V49" s="3876">
        <f>IF(F1="售价",ROUND(PRODUCT(V48,AC7:AC47),0),ROUND(PRODUCT(V48,AC7:AC47),1))</f>
        <v>14118</v>
      </c>
      <c r="W49" s="3876"/>
      <c r="X49" s="1551"/>
      <c r="Y49" s="1551"/>
      <c r="Z49" s="1551"/>
      <c r="AA49" s="1551"/>
      <c r="AB49" s="1551"/>
      <c r="AC49" s="1551"/>
    </row>
    <row r="50" spans="1:29" ht="15.75" thickBot="1">
      <c r="A50" s="618" t="s">
        <v>2935</v>
      </c>
      <c r="B50" s="619"/>
      <c r="C50" s="2652">
        <f>R50</f>
        <v>12806</v>
      </c>
      <c r="D50" s="2652"/>
      <c r="E50" s="2652"/>
      <c r="F50" s="2652"/>
      <c r="G50" s="2652"/>
      <c r="H50" s="2652"/>
      <c r="I50" s="2652"/>
      <c r="J50" s="2652"/>
      <c r="K50" s="1605"/>
      <c r="L50" s="2136"/>
      <c r="M50" s="2126"/>
      <c r="N50" s="2126"/>
      <c r="O50" s="2126"/>
      <c r="P50" s="3880" t="str">
        <f>A50</f>
        <v>估价对象XX用房的比较价格（楼面单价，元/平方米）</v>
      </c>
      <c r="Q50" s="3762"/>
      <c r="R50" s="3875">
        <f>IF(F1="售价",ROUND(AVERAGE(R49:V49),0),ROUND(AVERAGE(R49:V49),1))</f>
        <v>12806</v>
      </c>
      <c r="S50" s="3875"/>
      <c r="T50" s="3875"/>
      <c r="U50" s="3875"/>
      <c r="V50" s="3875"/>
      <c r="W50" s="3875"/>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0</v>
      </c>
      <c r="F53" s="624" t="str">
        <f>IF(OR(E53&gt;=0.3,E53&lt;=-0.3),"超过30%","")</f>
        <v/>
      </c>
      <c r="G53" s="623">
        <f>IF(G48&lt;G49,G49/G48-1,G48/G49-1)</f>
        <v>0</v>
      </c>
      <c r="H53" s="624" t="str">
        <f>IF(OR(G53&gt;=0.3,G53&lt;=-0.3),"超过30%","")</f>
        <v/>
      </c>
      <c r="I53" s="623">
        <f>IF(I48&lt;I49,I49/I48-1,I48/I49-1)</f>
        <v>1.9974500637484072E-2</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7.6923076923076872E-2</v>
      </c>
      <c r="F54" s="624" t="str">
        <f>IF(OR(E54&gt;=0.2,E54&lt;=-0.2),"超过20%","")</f>
        <v/>
      </c>
      <c r="G54" s="623">
        <f>IF(G49&lt;I49,I49/G49-1,G49/I49-1)</f>
        <v>0.1204761904761904</v>
      </c>
      <c r="H54" s="624" t="str">
        <f>IF(OR(G54&gt;=0.2,G54&lt;=-0.2),"超过20%","")</f>
        <v/>
      </c>
      <c r="I54" s="623">
        <f>IF(I49&lt;E49,E49/I49-1,I49/E49-1)</f>
        <v>0.20666666666666678</v>
      </c>
      <c r="J54" s="624" t="str">
        <f>IF(OR(I54&gt;=0.2,I54&lt;=-0.2),"超过20%","")</f>
        <v>超过20%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7.6923076923076872E-2</v>
      </c>
      <c r="F55" s="624" t="str">
        <f>IF(OR(E55&gt;=0.3,E55&lt;=-0.3),"超过30%","")</f>
        <v/>
      </c>
      <c r="G55" s="623">
        <f>IF(G48&lt;I48,I48/G48-1,G48/I48-1)</f>
        <v>0.14285714285714279</v>
      </c>
      <c r="H55" s="624" t="str">
        <f>IF(OR(G55&gt;=0.3,G55&lt;=-0.3),"超过30%","")</f>
        <v/>
      </c>
      <c r="I55" s="623">
        <f>IF(I48&lt;E48,E48/I48-1,I48/E48-1)</f>
        <v>0.23076923076923084</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2020-4</v>
      </c>
      <c r="D59" s="2821">
        <f>EDATE(C59,-1)</f>
        <v>43891</v>
      </c>
      <c r="E59" s="2821">
        <f t="shared" ref="E59:O59" si="16">EDATE(D59,-1)</f>
        <v>43862</v>
      </c>
      <c r="F59" s="2821">
        <f t="shared" si="16"/>
        <v>43831</v>
      </c>
      <c r="G59" s="2821">
        <f t="shared" si="16"/>
        <v>43800</v>
      </c>
      <c r="H59" s="2821">
        <f t="shared" si="16"/>
        <v>43770</v>
      </c>
      <c r="I59" s="2821">
        <f t="shared" si="16"/>
        <v>43739</v>
      </c>
      <c r="J59" s="2821">
        <f t="shared" si="16"/>
        <v>43709</v>
      </c>
      <c r="K59" s="2821">
        <f t="shared" si="16"/>
        <v>43678</v>
      </c>
      <c r="L59" s="2821">
        <f t="shared" si="16"/>
        <v>43647</v>
      </c>
      <c r="M59" s="2821">
        <f t="shared" si="16"/>
        <v>43617</v>
      </c>
      <c r="N59" s="2821">
        <f t="shared" si="16"/>
        <v>43586</v>
      </c>
      <c r="O59" s="2821">
        <f t="shared" si="16"/>
        <v>43556</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v>99.5</v>
      </c>
      <c r="E60" s="647">
        <v>99</v>
      </c>
      <c r="F60" s="647">
        <v>98.5</v>
      </c>
      <c r="G60" s="647">
        <v>98</v>
      </c>
      <c r="H60" s="647">
        <v>97.5</v>
      </c>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3370</v>
      </c>
      <c r="D87" s="3482" t="s">
        <v>3372</v>
      </c>
      <c r="E87" s="3482" t="s">
        <v>3373</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Normal="100" workbookViewId="0">
      <selection activeCell="B47" sqref="B47"/>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3334</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26534</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70" t="s">
        <v>523</v>
      </c>
      <c r="D4" s="3771"/>
      <c r="E4" s="3805" t="s">
        <v>524</v>
      </c>
      <c r="F4" s="3806"/>
      <c r="G4" s="3770" t="s">
        <v>525</v>
      </c>
      <c r="H4" s="3771"/>
      <c r="I4" s="3770" t="s">
        <v>526</v>
      </c>
      <c r="J4" s="3771"/>
      <c r="K4" s="512" t="s">
        <v>527</v>
      </c>
      <c r="L4" s="2125"/>
      <c r="M4" s="2126"/>
      <c r="N4" s="2126"/>
      <c r="O4" s="2126"/>
      <c r="P4" s="3772" t="s">
        <v>528</v>
      </c>
      <c r="Q4" s="3773"/>
      <c r="R4" s="3778" t="s">
        <v>524</v>
      </c>
      <c r="S4" s="3779"/>
      <c r="T4" s="3778" t="s">
        <v>525</v>
      </c>
      <c r="U4" s="3779"/>
      <c r="V4" s="3765" t="s">
        <v>526</v>
      </c>
      <c r="W4" s="3765"/>
      <c r="X4" s="1559"/>
      <c r="Y4" s="3778" t="s">
        <v>528</v>
      </c>
      <c r="Z4" s="3779"/>
      <c r="AA4" s="3767" t="s">
        <v>524</v>
      </c>
      <c r="AB4" s="3765" t="s">
        <v>525</v>
      </c>
      <c r="AC4" s="3767" t="s">
        <v>526</v>
      </c>
    </row>
    <row r="5" spans="1:29" ht="15">
      <c r="A5" s="513"/>
      <c r="B5" s="514"/>
      <c r="C5" s="3878" t="s">
        <v>3321</v>
      </c>
      <c r="D5" s="3787"/>
      <c r="E5" s="3879" t="str">
        <f>'不动产比较法-办公'!E5:F5</f>
        <v>华宸汇普金融大厦</v>
      </c>
      <c r="F5" s="3808"/>
      <c r="G5" s="3878" t="s">
        <v>3613</v>
      </c>
      <c r="H5" s="3787"/>
      <c r="I5" s="3878" t="s">
        <v>3614</v>
      </c>
      <c r="J5" s="3787"/>
      <c r="K5" s="512"/>
      <c r="L5" s="2125"/>
      <c r="M5" s="2126"/>
      <c r="N5" s="2126"/>
      <c r="O5" s="2126"/>
      <c r="P5" s="3774"/>
      <c r="Q5" s="3775"/>
      <c r="R5" s="3780"/>
      <c r="S5" s="3781"/>
      <c r="T5" s="3780"/>
      <c r="U5" s="3781"/>
      <c r="V5" s="3765"/>
      <c r="W5" s="3765"/>
      <c r="X5" s="1559"/>
      <c r="Y5" s="3780"/>
      <c r="Z5" s="3781"/>
      <c r="AA5" s="3768"/>
      <c r="AB5" s="3765"/>
      <c r="AC5" s="3768"/>
    </row>
    <row r="6" spans="1:29" ht="15.75" thickBot="1">
      <c r="A6" s="515"/>
      <c r="B6" s="516"/>
      <c r="C6" s="3784" t="s">
        <v>2933</v>
      </c>
      <c r="D6" s="3785"/>
      <c r="E6" s="3803" t="s">
        <v>2933</v>
      </c>
      <c r="F6" s="3804"/>
      <c r="G6" s="3784" t="s">
        <v>2933</v>
      </c>
      <c r="H6" s="3785"/>
      <c r="I6" s="3784" t="s">
        <v>2933</v>
      </c>
      <c r="J6" s="3785"/>
      <c r="K6" s="512" t="s">
        <v>529</v>
      </c>
      <c r="L6" s="2125"/>
      <c r="M6" s="2126"/>
      <c r="N6" s="2126"/>
      <c r="O6" s="2126"/>
      <c r="P6" s="3776"/>
      <c r="Q6" s="3777"/>
      <c r="R6" s="3780"/>
      <c r="S6" s="3781"/>
      <c r="T6" s="3782"/>
      <c r="U6" s="3783"/>
      <c r="V6" s="3765"/>
      <c r="W6" s="3765"/>
      <c r="X6" s="1559"/>
      <c r="Y6" s="3782"/>
      <c r="Z6" s="3783"/>
      <c r="AA6" s="3769"/>
      <c r="AB6" s="3765"/>
      <c r="AC6" s="3769"/>
    </row>
    <row r="7" spans="1:29" s="1213" customFormat="1" ht="15.75" thickBot="1">
      <c r="A7" s="2928"/>
      <c r="B7" s="2935" t="s">
        <v>530</v>
      </c>
      <c r="C7" s="517">
        <f>'数据-取费表'!B2</f>
        <v>43923</v>
      </c>
      <c r="D7" s="518">
        <v>100</v>
      </c>
      <c r="E7" s="519">
        <v>43922</v>
      </c>
      <c r="F7" s="520">
        <f>SUMIF(58:58,YEAR(E7)&amp;"-"&amp;MONTH(E7),59:59)</f>
        <v>100</v>
      </c>
      <c r="G7" s="519">
        <v>43922</v>
      </c>
      <c r="H7" s="518">
        <f>SUMIF(58:58,YEAR(G7)&amp;"-"&amp;MONTH(G7),59:59)</f>
        <v>100</v>
      </c>
      <c r="I7" s="519">
        <v>43862</v>
      </c>
      <c r="J7" s="518">
        <f>SUMIF(58:58,YEAR(I7)&amp;"-"&amp;MONTH(I7),59:59)</f>
        <v>99</v>
      </c>
      <c r="K7" s="522"/>
      <c r="L7" s="2127"/>
      <c r="M7" s="2128"/>
      <c r="N7" s="2128"/>
      <c r="O7" s="2128"/>
      <c r="P7" s="3795" t="s">
        <v>531</v>
      </c>
      <c r="Q7" s="3797"/>
      <c r="R7" s="1560" t="s">
        <v>8</v>
      </c>
      <c r="S7" s="1561">
        <f t="shared" ref="S7:S15" si="0">F7</f>
        <v>100</v>
      </c>
      <c r="T7" s="1560" t="s">
        <v>8</v>
      </c>
      <c r="U7" s="1561">
        <f t="shared" ref="U7:U15" si="1">H7</f>
        <v>100</v>
      </c>
      <c r="V7" s="1560" t="s">
        <v>8</v>
      </c>
      <c r="W7" s="1561">
        <f t="shared" ref="W7:W15" si="2">J7</f>
        <v>99</v>
      </c>
      <c r="X7" s="1562"/>
      <c r="Y7" s="3795" t="s">
        <v>531</v>
      </c>
      <c r="Z7" s="3796"/>
      <c r="AA7" s="1563">
        <f>D7/F7</f>
        <v>1</v>
      </c>
      <c r="AB7" s="1563">
        <f>D7/H7</f>
        <v>1</v>
      </c>
      <c r="AC7" s="1563">
        <f>D7/J7</f>
        <v>1.0101010101010102</v>
      </c>
    </row>
    <row r="8" spans="1:29" s="1213" customFormat="1" ht="15.75" thickBot="1">
      <c r="A8" s="2929"/>
      <c r="B8" s="2936" t="s">
        <v>532</v>
      </c>
      <c r="C8" s="523" t="s">
        <v>577</v>
      </c>
      <c r="D8" s="518">
        <v>100</v>
      </c>
      <c r="E8" s="3502" t="s">
        <v>3324</v>
      </c>
      <c r="F8" s="520">
        <f>SUMIF(61:61,E8,62:62)-SUMIF(61:61,C8,62:62)+100</f>
        <v>100</v>
      </c>
      <c r="G8" s="3502" t="s">
        <v>3324</v>
      </c>
      <c r="H8" s="518">
        <f>SUMIF(61:61,G8,62:62)-SUMIF(61:61,C8,62:62)+100</f>
        <v>100</v>
      </c>
      <c r="I8" s="3502" t="s">
        <v>3324</v>
      </c>
      <c r="J8" s="518">
        <f>SUMIF(61:61,I8,62:62)-SUMIF(61:61,C8,62:62)+100</f>
        <v>100</v>
      </c>
      <c r="K8" s="522"/>
      <c r="L8" s="2127"/>
      <c r="M8" s="2128"/>
      <c r="N8" s="2128"/>
      <c r="O8" s="2128"/>
      <c r="P8" s="3795" t="s">
        <v>534</v>
      </c>
      <c r="Q8" s="3796"/>
      <c r="R8" s="1560" t="s">
        <v>8</v>
      </c>
      <c r="S8" s="1561">
        <f t="shared" si="0"/>
        <v>100</v>
      </c>
      <c r="T8" s="1560" t="s">
        <v>8</v>
      </c>
      <c r="U8" s="1561">
        <f t="shared" si="1"/>
        <v>100</v>
      </c>
      <c r="V8" s="1560" t="s">
        <v>8</v>
      </c>
      <c r="W8" s="1561">
        <f t="shared" si="2"/>
        <v>100</v>
      </c>
      <c r="X8" s="1562"/>
      <c r="Y8" s="3795" t="s">
        <v>534</v>
      </c>
      <c r="Z8" s="3796"/>
      <c r="AA8" s="1563">
        <f t="shared" ref="AA8:AA46" si="3">D8/F8</f>
        <v>1</v>
      </c>
      <c r="AB8" s="1563">
        <f t="shared" ref="AB8:AB46" si="4">D8/H8</f>
        <v>1</v>
      </c>
      <c r="AC8" s="1563">
        <f t="shared" ref="AC8:AC46" si="5">D8/J8</f>
        <v>1</v>
      </c>
    </row>
    <row r="9" spans="1:29" s="1213" customFormat="1" ht="15">
      <c r="A9" s="2930"/>
      <c r="B9" s="2937" t="s">
        <v>2760</v>
      </c>
      <c r="C9" s="3503" t="s">
        <v>3325</v>
      </c>
      <c r="D9" s="252">
        <v>100</v>
      </c>
      <c r="E9" s="3504" t="s">
        <v>3325</v>
      </c>
      <c r="F9" s="252">
        <f>SUMIF(63:63,E9,64:64)-SUMIF(63:63,C9,64:64)+100</f>
        <v>100</v>
      </c>
      <c r="G9" s="3505" t="s">
        <v>3325</v>
      </c>
      <c r="H9" s="252">
        <f>SUMIF(63:63,G9,64:64)-SUMIF(63:63,C9,64:64)+100</f>
        <v>100</v>
      </c>
      <c r="I9" s="3505" t="s">
        <v>3325</v>
      </c>
      <c r="J9" s="252">
        <f>SUMIF(63:63,I9,64:64)-SUMIF(63:63,C9,64:64)+100</f>
        <v>100</v>
      </c>
      <c r="K9" s="522"/>
      <c r="L9" s="2127"/>
      <c r="M9" s="2128"/>
      <c r="N9" s="2128"/>
      <c r="O9" s="2129"/>
      <c r="P9" s="3764" t="s">
        <v>536</v>
      </c>
      <c r="Q9" s="1144" t="str">
        <f t="shared" ref="Q9:Q15" si="6">B9</f>
        <v>用途</v>
      </c>
      <c r="R9" s="1560" t="s">
        <v>8</v>
      </c>
      <c r="S9" s="1561">
        <f t="shared" si="0"/>
        <v>100</v>
      </c>
      <c r="T9" s="1560" t="s">
        <v>8</v>
      </c>
      <c r="U9" s="1561">
        <f t="shared" si="1"/>
        <v>100</v>
      </c>
      <c r="V9" s="1560" t="s">
        <v>8</v>
      </c>
      <c r="W9" s="1561">
        <f t="shared" si="2"/>
        <v>100</v>
      </c>
      <c r="X9" s="1562"/>
      <c r="Y9" s="3710" t="s">
        <v>537</v>
      </c>
      <c r="Z9" s="1143" t="str">
        <f t="shared" ref="Z9:Z15" si="7">Q9</f>
        <v>用途</v>
      </c>
      <c r="AA9" s="1563">
        <f t="shared" si="3"/>
        <v>1</v>
      </c>
      <c r="AB9" s="1563">
        <f t="shared" si="4"/>
        <v>1</v>
      </c>
      <c r="AC9" s="1563">
        <f t="shared" si="5"/>
        <v>1</v>
      </c>
    </row>
    <row r="10" spans="1:29" s="1331" customFormat="1" ht="27">
      <c r="A10" s="2931"/>
      <c r="B10" s="2936" t="s">
        <v>2761</v>
      </c>
      <c r="C10" s="858" t="s">
        <v>3326</v>
      </c>
      <c r="D10" s="253">
        <v>100</v>
      </c>
      <c r="E10" s="858" t="s">
        <v>3326</v>
      </c>
      <c r="F10" s="253">
        <f>SUMIF(65:65,E10,66:66)-SUMIF(65:65,C10,66:66)+100</f>
        <v>100</v>
      </c>
      <c r="G10" s="859" t="s">
        <v>3326</v>
      </c>
      <c r="H10" s="253">
        <f>SUMIF(65:65,G10,66:66)-SUMIF(65:65,C10,66:66)+100</f>
        <v>100</v>
      </c>
      <c r="I10" s="858" t="s">
        <v>3326</v>
      </c>
      <c r="J10" s="253">
        <f>SUMIF(65:65,I10,66:66)-SUMIF(65:65,C10,66:66)+100</f>
        <v>100</v>
      </c>
      <c r="K10" s="581">
        <v>2</v>
      </c>
      <c r="L10" s="2130"/>
      <c r="M10" s="2170"/>
      <c r="N10" s="2170"/>
      <c r="O10" s="2131"/>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64"/>
      <c r="Q11" s="1144" t="str">
        <f t="shared" si="6"/>
        <v>容积率</v>
      </c>
      <c r="R11" s="1560" t="s">
        <v>8</v>
      </c>
      <c r="S11" s="1561">
        <f t="shared" si="0"/>
        <v>100</v>
      </c>
      <c r="T11" s="1560" t="s">
        <v>8</v>
      </c>
      <c r="U11" s="1561">
        <f t="shared" si="1"/>
        <v>100</v>
      </c>
      <c r="V11" s="1560" t="s">
        <v>8</v>
      </c>
      <c r="W11" s="1561">
        <f t="shared" si="2"/>
        <v>100</v>
      </c>
      <c r="X11" s="1562"/>
      <c r="Y11" s="3710"/>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64"/>
      <c r="Q12" s="1144">
        <f t="shared" si="6"/>
        <v>111</v>
      </c>
      <c r="R12" s="1560" t="s">
        <v>8</v>
      </c>
      <c r="S12" s="1561">
        <f t="shared" si="0"/>
        <v>100</v>
      </c>
      <c r="T12" s="1560" t="s">
        <v>8</v>
      </c>
      <c r="U12" s="1561">
        <f t="shared" si="1"/>
        <v>100</v>
      </c>
      <c r="V12" s="1560" t="s">
        <v>8</v>
      </c>
      <c r="W12" s="1561">
        <f t="shared" si="2"/>
        <v>100</v>
      </c>
      <c r="X12" s="1562"/>
      <c r="Y12" s="3710"/>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64"/>
      <c r="Q13" s="1144">
        <f t="shared" si="6"/>
        <v>111</v>
      </c>
      <c r="R13" s="1560" t="s">
        <v>8</v>
      </c>
      <c r="S13" s="1561">
        <f t="shared" si="0"/>
        <v>100</v>
      </c>
      <c r="T13" s="1560" t="s">
        <v>8</v>
      </c>
      <c r="U13" s="1561">
        <f t="shared" si="1"/>
        <v>100</v>
      </c>
      <c r="V13" s="1560" t="s">
        <v>8</v>
      </c>
      <c r="W13" s="1561">
        <f t="shared" si="2"/>
        <v>100</v>
      </c>
      <c r="X13" s="1562"/>
      <c r="Y13" s="3710"/>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64"/>
      <c r="Q14" s="1144">
        <f t="shared" si="6"/>
        <v>111</v>
      </c>
      <c r="R14" s="1560" t="s">
        <v>8</v>
      </c>
      <c r="S14" s="1561">
        <f t="shared" si="0"/>
        <v>100</v>
      </c>
      <c r="T14" s="1560" t="s">
        <v>8</v>
      </c>
      <c r="U14" s="1561">
        <f t="shared" si="1"/>
        <v>100</v>
      </c>
      <c r="V14" s="1560" t="s">
        <v>8</v>
      </c>
      <c r="W14" s="1561">
        <f t="shared" si="2"/>
        <v>100</v>
      </c>
      <c r="X14" s="1562"/>
      <c r="Y14" s="3710"/>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c r="F15" s="549">
        <f>SUMIF(76:76,E16,77:77)-SUMIF(76:76,C16,77:77)+100</f>
        <v>100</v>
      </c>
      <c r="G15" s="3523"/>
      <c r="H15" s="547">
        <f>SUMIF(76:76,G16,77:77)-SUMIF(76:76,C16,77:77)+100</f>
        <v>100</v>
      </c>
      <c r="I15" s="3522"/>
      <c r="J15" s="547">
        <f>SUMIF(76:76,I16,77:77)-SUMIF(76:76,C16,77:77)+100</f>
        <v>100</v>
      </c>
      <c r="K15" s="891">
        <v>4</v>
      </c>
      <c r="L15" s="2134"/>
      <c r="M15" s="2126"/>
      <c r="N15" s="2126"/>
      <c r="O15" s="2133"/>
      <c r="P15" s="3798" t="s">
        <v>541</v>
      </c>
      <c r="Q15" s="1564" t="str">
        <f t="shared" si="6"/>
        <v>商业繁华度</v>
      </c>
      <c r="R15" s="1565" t="s">
        <v>8</v>
      </c>
      <c r="S15" s="1566">
        <f t="shared" si="0"/>
        <v>100</v>
      </c>
      <c r="T15" s="1565" t="s">
        <v>8</v>
      </c>
      <c r="U15" s="1566">
        <f t="shared" si="1"/>
        <v>100</v>
      </c>
      <c r="V15" s="1565" t="s">
        <v>8</v>
      </c>
      <c r="W15" s="1566">
        <f t="shared" si="2"/>
        <v>100</v>
      </c>
      <c r="X15" s="1559"/>
      <c r="Y15" s="3798" t="s">
        <v>541</v>
      </c>
      <c r="Z15" s="1567" t="str">
        <f t="shared" si="7"/>
        <v>商业繁华度</v>
      </c>
      <c r="AA15" s="1568">
        <f t="shared" si="3"/>
        <v>1</v>
      </c>
      <c r="AB15" s="1568">
        <f t="shared" si="4"/>
        <v>1</v>
      </c>
      <c r="AC15" s="1568">
        <f t="shared" si="5"/>
        <v>1</v>
      </c>
    </row>
    <row r="16" spans="1:29" ht="15">
      <c r="A16" s="530"/>
      <c r="B16" s="866"/>
      <c r="C16" s="3499" t="s">
        <v>3301</v>
      </c>
      <c r="D16" s="553"/>
      <c r="E16" s="3499" t="s">
        <v>3301</v>
      </c>
      <c r="F16" s="555"/>
      <c r="G16" s="3499" t="s">
        <v>3288</v>
      </c>
      <c r="H16" s="557"/>
      <c r="I16" s="573" t="s">
        <v>3288</v>
      </c>
      <c r="J16" s="553"/>
      <c r="K16" s="892"/>
      <c r="L16" s="2134"/>
      <c r="M16" s="2126"/>
      <c r="N16" s="2126"/>
      <c r="O16" s="2133"/>
      <c r="P16" s="3799"/>
      <c r="Q16" s="1564"/>
      <c r="R16" s="1565"/>
      <c r="S16" s="1566"/>
      <c r="T16" s="1565"/>
      <c r="U16" s="1566"/>
      <c r="V16" s="1565"/>
      <c r="W16" s="1566"/>
      <c r="X16" s="1559"/>
      <c r="Y16" s="3799"/>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c r="F17" s="561">
        <f>SUMIF(78:78,E18,79:79)-SUMIF(78:78,C18,79:79)+100</f>
        <v>100</v>
      </c>
      <c r="G17" s="562"/>
      <c r="H17" s="563">
        <f>SUMIF(78:78,G18,79:79)-SUMIF(78:78,C18,79:79)+100</f>
        <v>100</v>
      </c>
      <c r="I17" s="560"/>
      <c r="J17" s="563">
        <f>SUMIF(78:78,I18,79:79)-SUMIF(78:78,C18,79:79)+100</f>
        <v>100</v>
      </c>
      <c r="K17" s="891"/>
      <c r="L17" s="2134"/>
      <c r="M17" s="2126"/>
      <c r="N17" s="2126"/>
      <c r="O17" s="2133"/>
      <c r="P17" s="3799"/>
      <c r="Q17" s="1564" t="str">
        <f>B17</f>
        <v>交通便捷度</v>
      </c>
      <c r="R17" s="1565" t="s">
        <v>8</v>
      </c>
      <c r="S17" s="1566">
        <f>F17</f>
        <v>100</v>
      </c>
      <c r="T17" s="1565" t="s">
        <v>8</v>
      </c>
      <c r="U17" s="1566">
        <f>H17</f>
        <v>100</v>
      </c>
      <c r="V17" s="1565" t="s">
        <v>8</v>
      </c>
      <c r="W17" s="1566">
        <f>J17</f>
        <v>100</v>
      </c>
      <c r="X17" s="1559"/>
      <c r="Y17" s="3799"/>
      <c r="Z17" s="1567" t="str">
        <f>Q17</f>
        <v>交通便捷度</v>
      </c>
      <c r="AA17" s="1568">
        <f t="shared" si="3"/>
        <v>1</v>
      </c>
      <c r="AB17" s="1568">
        <f t="shared" si="4"/>
        <v>1</v>
      </c>
      <c r="AC17" s="1568">
        <f t="shared" si="5"/>
        <v>1</v>
      </c>
    </row>
    <row r="18" spans="1:29" ht="15">
      <c r="A18" s="530"/>
      <c r="B18" s="592"/>
      <c r="C18" s="3506" t="s">
        <v>3301</v>
      </c>
      <c r="D18" s="557"/>
      <c r="E18" s="3507" t="s">
        <v>3301</v>
      </c>
      <c r="F18" s="561"/>
      <c r="G18" s="3508" t="s">
        <v>3301</v>
      </c>
      <c r="H18" s="553"/>
      <c r="I18" s="3507" t="s">
        <v>3301</v>
      </c>
      <c r="J18" s="553"/>
      <c r="K18" s="892"/>
      <c r="L18" s="2134"/>
      <c r="M18" s="2126"/>
      <c r="N18" s="2126"/>
      <c r="O18" s="2133"/>
      <c r="P18" s="3799"/>
      <c r="Q18" s="1564"/>
      <c r="R18" s="1565"/>
      <c r="S18" s="1566"/>
      <c r="T18" s="1565"/>
      <c r="U18" s="1566"/>
      <c r="V18" s="1565"/>
      <c r="W18" s="1566"/>
      <c r="X18" s="1559"/>
      <c r="Y18" s="3799"/>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c r="F19" s="568">
        <f>SUMIF(80:80,E20,81:81)-SUMIF(80:80,C20,81:81)+100</f>
        <v>100</v>
      </c>
      <c r="G19" s="3525"/>
      <c r="H19" s="557">
        <f>SUMIF(80:80,G20,81:81)-SUMIF(80:80,C20,81:81)+100</f>
        <v>100</v>
      </c>
      <c r="I19" s="3524"/>
      <c r="J19" s="557">
        <f>SUMIF(80:80,I20,81:81)-SUMIF(80:80,C20,81:81)+100</f>
        <v>100</v>
      </c>
      <c r="K19" s="891"/>
      <c r="L19" s="2134"/>
      <c r="M19" s="2126"/>
      <c r="N19" s="2126"/>
      <c r="O19" s="2133"/>
      <c r="P19" s="3799"/>
      <c r="Q19" s="1564" t="str">
        <f>B19</f>
        <v>公共配套设施</v>
      </c>
      <c r="R19" s="1565" t="s">
        <v>8</v>
      </c>
      <c r="S19" s="1566">
        <f>F19</f>
        <v>100</v>
      </c>
      <c r="T19" s="1565" t="s">
        <v>8</v>
      </c>
      <c r="U19" s="1566">
        <f>H19</f>
        <v>100</v>
      </c>
      <c r="V19" s="1565" t="s">
        <v>8</v>
      </c>
      <c r="W19" s="1566">
        <f>J19</f>
        <v>100</v>
      </c>
      <c r="X19" s="1559"/>
      <c r="Y19" s="3799"/>
      <c r="Z19" s="1567" t="str">
        <f>Q19</f>
        <v>公共配套设施</v>
      </c>
      <c r="AA19" s="1568">
        <f t="shared" si="3"/>
        <v>1</v>
      </c>
      <c r="AB19" s="1568">
        <f t="shared" si="4"/>
        <v>1</v>
      </c>
      <c r="AC19" s="1568">
        <f t="shared" si="5"/>
        <v>1</v>
      </c>
    </row>
    <row r="20" spans="1:29" ht="15">
      <c r="A20" s="530"/>
      <c r="B20" s="592"/>
      <c r="C20" s="3499" t="s">
        <v>3301</v>
      </c>
      <c r="D20" s="553"/>
      <c r="E20" s="3494" t="s">
        <v>3301</v>
      </c>
      <c r="F20" s="555"/>
      <c r="G20" s="3493" t="s">
        <v>3301</v>
      </c>
      <c r="H20" s="553"/>
      <c r="I20" s="3494" t="s">
        <v>3301</v>
      </c>
      <c r="J20" s="553"/>
      <c r="K20" s="892"/>
      <c r="L20" s="2134"/>
      <c r="M20" s="2126"/>
      <c r="N20" s="2126"/>
      <c r="O20" s="2133"/>
      <c r="P20" s="3799"/>
      <c r="Q20" s="1564"/>
      <c r="R20" s="1565"/>
      <c r="S20" s="1566"/>
      <c r="T20" s="1565"/>
      <c r="U20" s="1566"/>
      <c r="V20" s="1565"/>
      <c r="W20" s="1566"/>
      <c r="X20" s="1559"/>
      <c r="Y20" s="3799"/>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99"/>
      <c r="Q21" s="2595" t="str">
        <f>B21</f>
        <v>基础设施水平</v>
      </c>
      <c r="R21" s="1565" t="s">
        <v>8</v>
      </c>
      <c r="S21" s="1566">
        <f>F21</f>
        <v>100</v>
      </c>
      <c r="T21" s="1565" t="s">
        <v>8</v>
      </c>
      <c r="U21" s="1566">
        <f>H21</f>
        <v>100</v>
      </c>
      <c r="V21" s="1565" t="s">
        <v>8</v>
      </c>
      <c r="W21" s="1566">
        <f>J21</f>
        <v>100</v>
      </c>
      <c r="X21" s="2597"/>
      <c r="Y21" s="3799"/>
      <c r="Z21" s="2596" t="str">
        <f>Q21</f>
        <v>基础设施水平</v>
      </c>
      <c r="AA21" s="1568">
        <f t="shared" ref="AA21" si="8">D21/F21</f>
        <v>1</v>
      </c>
      <c r="AB21" s="1568">
        <f t="shared" ref="AB21" si="9">D21/H21</f>
        <v>1</v>
      </c>
      <c r="AC21" s="1568">
        <f t="shared" ref="AC21" si="10">D21/J21</f>
        <v>1</v>
      </c>
    </row>
    <row r="22" spans="1:29" ht="15">
      <c r="A22" s="530"/>
      <c r="B22" s="915"/>
      <c r="C22" s="3506" t="s">
        <v>3305</v>
      </c>
      <c r="D22" s="553"/>
      <c r="E22" s="3499" t="s">
        <v>3305</v>
      </c>
      <c r="F22" s="555"/>
      <c r="G22" s="3499" t="s">
        <v>3305</v>
      </c>
      <c r="H22" s="553"/>
      <c r="I22" s="3499" t="s">
        <v>3305</v>
      </c>
      <c r="J22" s="553"/>
      <c r="K22" s="2618"/>
      <c r="L22" s="2134"/>
      <c r="M22" s="2126"/>
      <c r="N22" s="2126"/>
      <c r="O22" s="2133"/>
      <c r="P22" s="3799"/>
      <c r="Q22" s="2595"/>
      <c r="R22" s="1565"/>
      <c r="S22" s="1566"/>
      <c r="T22" s="1565"/>
      <c r="U22" s="1566"/>
      <c r="V22" s="1565"/>
      <c r="W22" s="1566"/>
      <c r="X22" s="2597"/>
      <c r="Y22" s="3799"/>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c r="F23" s="561">
        <f>SUMIF(84:84,E24,85:85)-SUMIF(84:84,C24,85:85)+100</f>
        <v>100</v>
      </c>
      <c r="G23" s="3527"/>
      <c r="H23" s="557">
        <f>SUMIF(84:84,G24,85:85)-SUMIF(84:84,C24,85:85)+100</f>
        <v>100</v>
      </c>
      <c r="I23" s="3526"/>
      <c r="J23" s="557">
        <f>SUMIF(84:84,I24,85:85)-SUMIF(84:84,C24,85:85)+100</f>
        <v>100</v>
      </c>
      <c r="K23" s="891"/>
      <c r="L23" s="2134"/>
      <c r="M23" s="2126"/>
      <c r="N23" s="2126"/>
      <c r="O23" s="2133"/>
      <c r="P23" s="3799"/>
      <c r="Q23" s="1564" t="str">
        <f>B23</f>
        <v>自然及人文环境</v>
      </c>
      <c r="R23" s="1565" t="s">
        <v>8</v>
      </c>
      <c r="S23" s="1566">
        <f>F23</f>
        <v>100</v>
      </c>
      <c r="T23" s="1565" t="s">
        <v>8</v>
      </c>
      <c r="U23" s="1566">
        <f>H23</f>
        <v>100</v>
      </c>
      <c r="V23" s="1565" t="s">
        <v>8</v>
      </c>
      <c r="W23" s="1566">
        <f>J23</f>
        <v>100</v>
      </c>
      <c r="X23" s="1559"/>
      <c r="Y23" s="3799"/>
      <c r="Z23" s="1567" t="str">
        <f>Q23</f>
        <v>自然及人文环境</v>
      </c>
      <c r="AA23" s="1568">
        <f t="shared" si="3"/>
        <v>1</v>
      </c>
      <c r="AB23" s="1568">
        <f t="shared" si="4"/>
        <v>1</v>
      </c>
      <c r="AC23" s="1568">
        <f t="shared" si="5"/>
        <v>1</v>
      </c>
    </row>
    <row r="24" spans="1:29" ht="15">
      <c r="A24" s="530"/>
      <c r="B24" s="592"/>
      <c r="C24" s="3499" t="s">
        <v>3306</v>
      </c>
      <c r="D24" s="553"/>
      <c r="E24" s="3494" t="s">
        <v>3306</v>
      </c>
      <c r="F24" s="555"/>
      <c r="G24" s="3493" t="s">
        <v>3306</v>
      </c>
      <c r="H24" s="553"/>
      <c r="I24" s="3494" t="s">
        <v>3427</v>
      </c>
      <c r="J24" s="553"/>
      <c r="K24" s="892"/>
      <c r="L24" s="2134"/>
      <c r="M24" s="2126"/>
      <c r="N24" s="2126"/>
      <c r="O24" s="2133"/>
      <c r="P24" s="3799"/>
      <c r="Q24" s="1564"/>
      <c r="R24" s="1565"/>
      <c r="S24" s="1566"/>
      <c r="T24" s="1565"/>
      <c r="U24" s="1566"/>
      <c r="V24" s="1565"/>
      <c r="W24" s="1566"/>
      <c r="X24" s="1559"/>
      <c r="Y24" s="3799"/>
      <c r="Z24" s="1567"/>
      <c r="AA24" s="1568">
        <v>1</v>
      </c>
      <c r="AB24" s="1568">
        <v>1</v>
      </c>
      <c r="AC24" s="1568">
        <v>1</v>
      </c>
    </row>
    <row r="25" spans="1:29" ht="15">
      <c r="A25" s="530"/>
      <c r="B25" s="525" t="s">
        <v>548</v>
      </c>
      <c r="C25" s="3509" t="s">
        <v>3327</v>
      </c>
      <c r="D25" s="538">
        <v>100</v>
      </c>
      <c r="E25" s="3509" t="s">
        <v>3327</v>
      </c>
      <c r="F25" s="572">
        <f>SUMIF(86:86,E25,87:87)-SUMIF(86:86,C25,87:87)+100</f>
        <v>100</v>
      </c>
      <c r="G25" s="3509" t="s">
        <v>3327</v>
      </c>
      <c r="H25" s="538">
        <f>SUMIF(86:86,G25,87:87)-SUMIF(86:86,C25,87:87)+100</f>
        <v>100</v>
      </c>
      <c r="I25" s="3509" t="s">
        <v>3327</v>
      </c>
      <c r="J25" s="538">
        <f>SUMIF(86:86,I25,87:87)-SUMIF(86:86,C25,87:87)+100</f>
        <v>100</v>
      </c>
      <c r="K25" s="581"/>
      <c r="L25" s="2134"/>
      <c r="M25" s="2126"/>
      <c r="N25" s="2126"/>
      <c r="O25" s="2133"/>
      <c r="P25" s="3799"/>
      <c r="Q25" s="1564" t="str">
        <f t="shared" ref="Q25:Q46" si="11">B25</f>
        <v>临街状况</v>
      </c>
      <c r="R25" s="1565" t="s">
        <v>8</v>
      </c>
      <c r="S25" s="1566">
        <f>F25</f>
        <v>100</v>
      </c>
      <c r="T25" s="1565" t="s">
        <v>8</v>
      </c>
      <c r="U25" s="1566">
        <f>H25</f>
        <v>100</v>
      </c>
      <c r="V25" s="1565" t="s">
        <v>8</v>
      </c>
      <c r="W25" s="1566">
        <f>J25</f>
        <v>100</v>
      </c>
      <c r="X25" s="1559"/>
      <c r="Y25" s="3799"/>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99"/>
      <c r="Q26" s="1564" t="str">
        <f t="shared" si="11"/>
        <v>平面位置/可视性</v>
      </c>
      <c r="R26" s="1565" t="s">
        <v>8</v>
      </c>
      <c r="S26" s="1566">
        <f>F26</f>
        <v>100</v>
      </c>
      <c r="T26" s="1565" t="s">
        <v>8</v>
      </c>
      <c r="U26" s="1566">
        <f>H26</f>
        <v>100</v>
      </c>
      <c r="V26" s="1565" t="s">
        <v>8</v>
      </c>
      <c r="W26" s="1566">
        <f>J26</f>
        <v>100</v>
      </c>
      <c r="X26" s="1559"/>
      <c r="Y26" s="3799"/>
      <c r="Z26" s="1567" t="str">
        <f>Q26</f>
        <v>平面位置/可视性</v>
      </c>
      <c r="AA26" s="1568">
        <f t="shared" si="3"/>
        <v>1</v>
      </c>
      <c r="AB26" s="1568">
        <f t="shared" si="4"/>
        <v>1</v>
      </c>
      <c r="AC26" s="1568">
        <f t="shared" si="5"/>
        <v>1</v>
      </c>
    </row>
    <row r="27" spans="1:29" s="1213" customFormat="1" ht="15">
      <c r="A27" s="534"/>
      <c r="B27" s="868" t="s">
        <v>760</v>
      </c>
      <c r="C27" s="3540" t="s">
        <v>3428</v>
      </c>
      <c r="D27" s="872">
        <v>100</v>
      </c>
      <c r="E27" s="3540" t="s">
        <v>3428</v>
      </c>
      <c r="F27" s="873">
        <f>SUMIF(90:90,E27,91:91)-SUMIF(90:90,C27,91:91)+100</f>
        <v>100</v>
      </c>
      <c r="G27" s="3540" t="s">
        <v>3428</v>
      </c>
      <c r="H27" s="872">
        <f>SUMIF(90:90,G27,91:91)-SUMIF(90:90,C27,91:91)+100</f>
        <v>100</v>
      </c>
      <c r="I27" s="3540" t="s">
        <v>3428</v>
      </c>
      <c r="J27" s="872">
        <f>SUMIF(90:90,I27,91:91)-SUMIF(90:90,C27,91:91)+100</f>
        <v>100</v>
      </c>
      <c r="K27" s="581"/>
      <c r="L27" s="2127"/>
      <c r="M27" s="2128"/>
      <c r="N27" s="2128"/>
      <c r="O27" s="2129"/>
      <c r="P27" s="3799"/>
      <c r="Q27" s="1144" t="str">
        <f t="shared" si="11"/>
        <v>人流量</v>
      </c>
      <c r="R27" s="1560" t="s">
        <v>8</v>
      </c>
      <c r="S27" s="1561">
        <f>F27</f>
        <v>100</v>
      </c>
      <c r="T27" s="1560" t="s">
        <v>8</v>
      </c>
      <c r="U27" s="1561">
        <f>H27</f>
        <v>100</v>
      </c>
      <c r="V27" s="1560" t="s">
        <v>8</v>
      </c>
      <c r="W27" s="1561">
        <f>J27</f>
        <v>100</v>
      </c>
      <c r="X27" s="1562"/>
      <c r="Y27" s="3799"/>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99"/>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99"/>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99"/>
      <c r="Q29" s="1564">
        <f t="shared" si="11"/>
        <v>111</v>
      </c>
      <c r="R29" s="1565" t="s">
        <v>8</v>
      </c>
      <c r="S29" s="1566">
        <f t="shared" si="12"/>
        <v>100</v>
      </c>
      <c r="T29" s="1565" t="s">
        <v>8</v>
      </c>
      <c r="U29" s="1566">
        <f t="shared" si="13"/>
        <v>100</v>
      </c>
      <c r="V29" s="1565" t="s">
        <v>8</v>
      </c>
      <c r="W29" s="1566">
        <f t="shared" si="14"/>
        <v>100</v>
      </c>
      <c r="X29" s="1559"/>
      <c r="Y29" s="3799"/>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99"/>
      <c r="Q30" s="1564">
        <f t="shared" si="11"/>
        <v>111</v>
      </c>
      <c r="R30" s="1565" t="s">
        <v>8</v>
      </c>
      <c r="S30" s="1566">
        <f t="shared" si="12"/>
        <v>100</v>
      </c>
      <c r="T30" s="1565" t="s">
        <v>8</v>
      </c>
      <c r="U30" s="1566">
        <f t="shared" si="13"/>
        <v>100</v>
      </c>
      <c r="V30" s="1565" t="s">
        <v>8</v>
      </c>
      <c r="W30" s="1566">
        <f t="shared" si="14"/>
        <v>100</v>
      </c>
      <c r="X30" s="1559"/>
      <c r="Y30" s="3799"/>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99"/>
      <c r="Q31" s="1564">
        <f t="shared" si="11"/>
        <v>111</v>
      </c>
      <c r="R31" s="1565" t="s">
        <v>8</v>
      </c>
      <c r="S31" s="1566">
        <f t="shared" si="12"/>
        <v>100</v>
      </c>
      <c r="T31" s="1565" t="s">
        <v>8</v>
      </c>
      <c r="U31" s="1566">
        <f t="shared" si="13"/>
        <v>100</v>
      </c>
      <c r="V31" s="1565" t="s">
        <v>8</v>
      </c>
      <c r="W31" s="1566">
        <f t="shared" si="14"/>
        <v>100</v>
      </c>
      <c r="X31" s="1559"/>
      <c r="Y31" s="3799"/>
      <c r="Z31" s="1567">
        <f t="shared" si="15"/>
        <v>111</v>
      </c>
      <c r="AA31" s="1568">
        <f t="shared" si="3"/>
        <v>1</v>
      </c>
      <c r="AB31" s="1568">
        <f t="shared" si="4"/>
        <v>1</v>
      </c>
      <c r="AC31" s="1568">
        <f t="shared" si="5"/>
        <v>1</v>
      </c>
    </row>
    <row r="32" spans="1:29" ht="15">
      <c r="A32" s="2924" t="s">
        <v>2759</v>
      </c>
      <c r="B32" s="172" t="s">
        <v>763</v>
      </c>
      <c r="C32" s="3546" t="s">
        <v>3328</v>
      </c>
      <c r="D32" s="594">
        <v>100</v>
      </c>
      <c r="E32" s="3510" t="s">
        <v>3329</v>
      </c>
      <c r="F32" s="572">
        <f>SUMIF(100:100,E32,101:101)-SUMIF(100:100,C32,101:101)+100</f>
        <v>98</v>
      </c>
      <c r="G32" s="3510" t="s">
        <v>3472</v>
      </c>
      <c r="H32" s="538">
        <f>SUMIF(100:100,G32,101:101)-SUMIF(100:100,C32,101:101)+100</f>
        <v>98</v>
      </c>
      <c r="I32" s="3510" t="s">
        <v>3328</v>
      </c>
      <c r="J32" s="594">
        <f>SUMIF(100:100,I32,101:101)-SUMIF(100:100,C32,101:101)+100</f>
        <v>100</v>
      </c>
      <c r="K32" s="581">
        <v>2</v>
      </c>
      <c r="L32" s="2134"/>
      <c r="M32" s="2126"/>
      <c r="N32" s="2126"/>
      <c r="O32" s="2133"/>
      <c r="P32" s="3800" t="s">
        <v>551</v>
      </c>
      <c r="Q32" s="1564" t="str">
        <f t="shared" si="11"/>
        <v>商业类型</v>
      </c>
      <c r="R32" s="1565" t="s">
        <v>8</v>
      </c>
      <c r="S32" s="1566">
        <f t="shared" si="12"/>
        <v>98</v>
      </c>
      <c r="T32" s="1565" t="s">
        <v>8</v>
      </c>
      <c r="U32" s="1566">
        <f t="shared" si="13"/>
        <v>98</v>
      </c>
      <c r="V32" s="1565" t="s">
        <v>8</v>
      </c>
      <c r="W32" s="1566">
        <f t="shared" si="14"/>
        <v>100</v>
      </c>
      <c r="X32" s="1559"/>
      <c r="Y32" s="3801" t="s">
        <v>551</v>
      </c>
      <c r="Z32" s="1567" t="str">
        <f t="shared" si="15"/>
        <v>商业类型</v>
      </c>
      <c r="AA32" s="1568">
        <f t="shared" si="3"/>
        <v>1.0204081632653061</v>
      </c>
      <c r="AB32" s="1568">
        <f t="shared" si="4"/>
        <v>1.0204081632653061</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801"/>
      <c r="Q33" s="1597" t="str">
        <f t="shared" si="11"/>
        <v>项目建筑规模</v>
      </c>
      <c r="R33" s="1569" t="s">
        <v>8</v>
      </c>
      <c r="S33" s="1570">
        <f t="shared" si="12"/>
        <v>100</v>
      </c>
      <c r="T33" s="1569" t="s">
        <v>8</v>
      </c>
      <c r="U33" s="1570">
        <f t="shared" si="13"/>
        <v>100</v>
      </c>
      <c r="V33" s="1569" t="s">
        <v>8</v>
      </c>
      <c r="W33" s="1570">
        <f t="shared" si="14"/>
        <v>100</v>
      </c>
      <c r="X33" s="1571"/>
      <c r="Y33" s="3801"/>
      <c r="Z33" s="1572" t="str">
        <f t="shared" si="15"/>
        <v>项目建筑规模</v>
      </c>
      <c r="AA33" s="1568">
        <f t="shared" si="3"/>
        <v>1</v>
      </c>
      <c r="AB33" s="1568">
        <f t="shared" si="4"/>
        <v>1</v>
      </c>
      <c r="AC33" s="1568">
        <f t="shared" si="5"/>
        <v>1</v>
      </c>
    </row>
    <row r="34" spans="1:29" ht="15">
      <c r="A34" s="591"/>
      <c r="B34" s="525" t="s">
        <v>728</v>
      </c>
      <c r="C34" s="3511" t="s">
        <v>3331</v>
      </c>
      <c r="D34" s="538">
        <v>100</v>
      </c>
      <c r="E34" s="3512" t="s">
        <v>3332</v>
      </c>
      <c r="F34" s="572">
        <f>SUMIF(105:105,E34,106:106)-SUMIF(105:105,C34,106:106)+100</f>
        <v>100</v>
      </c>
      <c r="G34" s="3511" t="s">
        <v>3332</v>
      </c>
      <c r="H34" s="538">
        <f>SUMIF(105:105,G34,106:106)-SUMIF(105:105,C34,106:106)+100</f>
        <v>100</v>
      </c>
      <c r="I34" s="3511" t="s">
        <v>3332</v>
      </c>
      <c r="J34" s="538">
        <f>SUMIF(105:105,I34,106:106)-SUMIF(105:105,C34,106:106)+100</f>
        <v>100</v>
      </c>
      <c r="K34" s="581"/>
      <c r="L34" s="2134"/>
      <c r="M34" s="2126"/>
      <c r="N34" s="2126"/>
      <c r="O34" s="2133"/>
      <c r="P34" s="3801"/>
      <c r="Q34" s="1564" t="str">
        <f t="shared" si="11"/>
        <v>建筑结构</v>
      </c>
      <c r="R34" s="1565" t="s">
        <v>8</v>
      </c>
      <c r="S34" s="1566">
        <f t="shared" si="12"/>
        <v>100</v>
      </c>
      <c r="T34" s="1565" t="s">
        <v>8</v>
      </c>
      <c r="U34" s="1566">
        <f t="shared" si="13"/>
        <v>100</v>
      </c>
      <c r="V34" s="1565" t="s">
        <v>8</v>
      </c>
      <c r="W34" s="1566">
        <f t="shared" si="14"/>
        <v>100</v>
      </c>
      <c r="X34" s="1559"/>
      <c r="Y34" s="3801"/>
      <c r="Z34" s="1567" t="str">
        <f t="shared" si="15"/>
        <v>建筑结构</v>
      </c>
      <c r="AA34" s="1568">
        <f t="shared" si="3"/>
        <v>1</v>
      </c>
      <c r="AB34" s="1568">
        <f t="shared" si="4"/>
        <v>1</v>
      </c>
      <c r="AC34" s="1568">
        <f t="shared" si="5"/>
        <v>1</v>
      </c>
    </row>
    <row r="35" spans="1:29" ht="15">
      <c r="A35" s="591"/>
      <c r="B35" s="525" t="s">
        <v>764</v>
      </c>
      <c r="C35" s="3495" t="s">
        <v>3301</v>
      </c>
      <c r="D35" s="538">
        <v>100</v>
      </c>
      <c r="E35" s="3495" t="s">
        <v>3301</v>
      </c>
      <c r="F35" s="572">
        <f>SUMIF(107:107,E35,108:108)-SUMIF(107:107,C35,108:108)+100</f>
        <v>100</v>
      </c>
      <c r="G35" s="3495" t="s">
        <v>3301</v>
      </c>
      <c r="H35" s="538">
        <f>SUMIF(107:107,G35,108:108)-SUMIF(107:107,C35,108:108)+100</f>
        <v>100</v>
      </c>
      <c r="I35" s="3495" t="s">
        <v>3301</v>
      </c>
      <c r="J35" s="538">
        <f>SUMIF(107:107,I35,108:108)-SUMIF(107:107,C35,108:108)+100</f>
        <v>100</v>
      </c>
      <c r="K35" s="581"/>
      <c r="L35" s="2134"/>
      <c r="M35" s="2126"/>
      <c r="N35" s="2126"/>
      <c r="O35" s="2133"/>
      <c r="P35" s="3801"/>
      <c r="Q35" s="1564" t="str">
        <f t="shared" si="11"/>
        <v>公共部分装修</v>
      </c>
      <c r="R35" s="1565" t="s">
        <v>8</v>
      </c>
      <c r="S35" s="1566">
        <f t="shared" si="12"/>
        <v>100</v>
      </c>
      <c r="T35" s="1565" t="s">
        <v>8</v>
      </c>
      <c r="U35" s="1566">
        <f t="shared" si="13"/>
        <v>100</v>
      </c>
      <c r="V35" s="1565" t="s">
        <v>8</v>
      </c>
      <c r="W35" s="1566">
        <f t="shared" si="14"/>
        <v>100</v>
      </c>
      <c r="X35" s="1559"/>
      <c r="Y35" s="3801"/>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801"/>
      <c r="Q36" s="1564" t="str">
        <f t="shared" si="11"/>
        <v>成新度</v>
      </c>
      <c r="R36" s="1565" t="s">
        <v>8</v>
      </c>
      <c r="S36" s="1566">
        <f t="shared" si="12"/>
        <v>100</v>
      </c>
      <c r="T36" s="1565" t="s">
        <v>8</v>
      </c>
      <c r="U36" s="1566">
        <f t="shared" si="13"/>
        <v>100</v>
      </c>
      <c r="V36" s="1565" t="s">
        <v>8</v>
      </c>
      <c r="W36" s="1566">
        <f t="shared" si="14"/>
        <v>100</v>
      </c>
      <c r="X36" s="1559"/>
      <c r="Y36" s="3801"/>
      <c r="Z36" s="1567" t="str">
        <f t="shared" si="15"/>
        <v>成新度</v>
      </c>
      <c r="AA36" s="1568">
        <f t="shared" si="3"/>
        <v>1</v>
      </c>
      <c r="AB36" s="1568">
        <f t="shared" si="4"/>
        <v>1</v>
      </c>
      <c r="AC36" s="1568">
        <f t="shared" si="5"/>
        <v>1</v>
      </c>
    </row>
    <row r="37" spans="1:29" s="1213" customFormat="1" ht="15">
      <c r="A37" s="597"/>
      <c r="B37" s="1887" t="s">
        <v>2569</v>
      </c>
      <c r="C37" s="3495" t="s">
        <v>3305</v>
      </c>
      <c r="D37" s="253">
        <v>100</v>
      </c>
      <c r="E37" s="3495" t="s">
        <v>3305</v>
      </c>
      <c r="F37" s="572">
        <f>SUMIF(112:112,E37,113:113)-SUMIF(112:112,C37,113:113)+100</f>
        <v>100</v>
      </c>
      <c r="G37" s="3495" t="s">
        <v>3305</v>
      </c>
      <c r="H37" s="538">
        <f>SUMIF(112:112,G37,113:113)-SUMIF(112:112,C37,113:113)+100</f>
        <v>100</v>
      </c>
      <c r="I37" s="3495" t="s">
        <v>3397</v>
      </c>
      <c r="J37" s="538">
        <f>SUMIF(112:112,I37,113:113)-SUMIF(112:112,C37,113:113)+100</f>
        <v>100</v>
      </c>
      <c r="K37" s="581"/>
      <c r="L37" s="2127"/>
      <c r="M37" s="2128"/>
      <c r="N37" s="2128"/>
      <c r="O37" s="2129"/>
      <c r="P37" s="3801"/>
      <c r="Q37" s="1144" t="str">
        <f t="shared" si="11"/>
        <v>市政基础设施</v>
      </c>
      <c r="R37" s="1560" t="s">
        <v>8</v>
      </c>
      <c r="S37" s="1561">
        <f t="shared" si="12"/>
        <v>100</v>
      </c>
      <c r="T37" s="1560" t="s">
        <v>8</v>
      </c>
      <c r="U37" s="1561">
        <f t="shared" si="13"/>
        <v>100</v>
      </c>
      <c r="V37" s="1560" t="s">
        <v>8</v>
      </c>
      <c r="W37" s="1561">
        <f t="shared" si="14"/>
        <v>100</v>
      </c>
      <c r="X37" s="1562"/>
      <c r="Y37" s="3801"/>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801" t="s">
        <v>767</v>
      </c>
      <c r="Q38" s="1564" t="str">
        <f t="shared" si="11"/>
        <v>业态</v>
      </c>
      <c r="R38" s="1565" t="s">
        <v>8</v>
      </c>
      <c r="S38" s="1566">
        <f t="shared" si="12"/>
        <v>100</v>
      </c>
      <c r="T38" s="1565" t="s">
        <v>8</v>
      </c>
      <c r="U38" s="1566">
        <f t="shared" si="13"/>
        <v>100</v>
      </c>
      <c r="V38" s="1565" t="s">
        <v>8</v>
      </c>
      <c r="W38" s="1566">
        <f t="shared" si="14"/>
        <v>100</v>
      </c>
      <c r="X38" s="1559"/>
      <c r="Y38" s="3801"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801"/>
      <c r="Q39" s="1564" t="str">
        <f t="shared" si="11"/>
        <v>层高</v>
      </c>
      <c r="R39" s="1565" t="s">
        <v>8</v>
      </c>
      <c r="S39" s="1566">
        <f t="shared" si="12"/>
        <v>100</v>
      </c>
      <c r="T39" s="1565" t="s">
        <v>8</v>
      </c>
      <c r="U39" s="1566">
        <f t="shared" si="13"/>
        <v>100</v>
      </c>
      <c r="V39" s="1565" t="s">
        <v>8</v>
      </c>
      <c r="W39" s="1566">
        <f t="shared" si="14"/>
        <v>100</v>
      </c>
      <c r="X39" s="1559"/>
      <c r="Y39" s="3801"/>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801"/>
      <c r="Q40" s="1564" t="str">
        <f t="shared" si="11"/>
        <v>单套建筑面积</v>
      </c>
      <c r="R40" s="1565" t="s">
        <v>8</v>
      </c>
      <c r="S40" s="1566">
        <f t="shared" si="12"/>
        <v>100</v>
      </c>
      <c r="T40" s="1565" t="s">
        <v>8</v>
      </c>
      <c r="U40" s="1566">
        <f t="shared" si="13"/>
        <v>100</v>
      </c>
      <c r="V40" s="1565" t="s">
        <v>8</v>
      </c>
      <c r="W40" s="1566">
        <f t="shared" si="14"/>
        <v>100</v>
      </c>
      <c r="X40" s="1559"/>
      <c r="Y40" s="3801"/>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801"/>
      <c r="Q41" s="1597" t="str">
        <f t="shared" si="11"/>
        <v>进深比</v>
      </c>
      <c r="R41" s="1569" t="s">
        <v>8</v>
      </c>
      <c r="S41" s="1570">
        <f t="shared" si="12"/>
        <v>100</v>
      </c>
      <c r="T41" s="1569" t="s">
        <v>8</v>
      </c>
      <c r="U41" s="1570">
        <f t="shared" si="13"/>
        <v>100</v>
      </c>
      <c r="V41" s="1569" t="s">
        <v>8</v>
      </c>
      <c r="W41" s="1570">
        <f t="shared" si="14"/>
        <v>100</v>
      </c>
      <c r="X41" s="1571"/>
      <c r="Y41" s="3801"/>
      <c r="Z41" s="1572" t="str">
        <f t="shared" si="15"/>
        <v>进深比</v>
      </c>
      <c r="AA41" s="1568">
        <f t="shared" si="3"/>
        <v>1</v>
      </c>
      <c r="AB41" s="1568">
        <f t="shared" si="4"/>
        <v>1</v>
      </c>
      <c r="AC41" s="1568">
        <f t="shared" si="5"/>
        <v>1</v>
      </c>
    </row>
    <row r="42" spans="1:29" ht="15">
      <c r="A42" s="591"/>
      <c r="B42" s="525" t="s">
        <v>771</v>
      </c>
      <c r="C42" s="3495" t="s">
        <v>3333</v>
      </c>
      <c r="D42" s="538">
        <v>100</v>
      </c>
      <c r="E42" s="3495" t="s">
        <v>3333</v>
      </c>
      <c r="F42" s="572">
        <f>SUMIF(122:122,E42,123:123)-SUMIF(122:122,C42,123:123)+100</f>
        <v>100</v>
      </c>
      <c r="G42" s="3495" t="s">
        <v>3333</v>
      </c>
      <c r="H42" s="538">
        <f>SUMIF(122:122,G42,123:123)-SUMIF(122:122,C42,123:123)+100</f>
        <v>100</v>
      </c>
      <c r="I42" s="3495" t="s">
        <v>3333</v>
      </c>
      <c r="J42" s="538">
        <f>SUMIF(122:122,I42,123:123)-SUMIF(122:122,C42,123:123)+100</f>
        <v>100</v>
      </c>
      <c r="K42" s="581"/>
      <c r="L42" s="2134"/>
      <c r="M42" s="2126"/>
      <c r="N42" s="2126"/>
      <c r="O42" s="2133"/>
      <c r="P42" s="3801"/>
      <c r="Q42" s="1564" t="str">
        <f t="shared" si="11"/>
        <v>内部装修</v>
      </c>
      <c r="R42" s="1565" t="s">
        <v>8</v>
      </c>
      <c r="S42" s="1566">
        <f t="shared" si="12"/>
        <v>100</v>
      </c>
      <c r="T42" s="1565" t="s">
        <v>8</v>
      </c>
      <c r="U42" s="1566">
        <f t="shared" si="13"/>
        <v>100</v>
      </c>
      <c r="V42" s="1565" t="s">
        <v>8</v>
      </c>
      <c r="W42" s="1566">
        <f t="shared" si="14"/>
        <v>100</v>
      </c>
      <c r="X42" s="1559"/>
      <c r="Y42" s="3801"/>
      <c r="Z42" s="1567" t="str">
        <f t="shared" si="15"/>
        <v>内部装修</v>
      </c>
      <c r="AA42" s="1568">
        <f t="shared" si="3"/>
        <v>1</v>
      </c>
      <c r="AB42" s="1568">
        <f t="shared" si="4"/>
        <v>1</v>
      </c>
      <c r="AC42" s="1568">
        <f t="shared" si="5"/>
        <v>1</v>
      </c>
    </row>
    <row r="43" spans="1:29" ht="27">
      <c r="A43" s="591"/>
      <c r="B43" s="525" t="s">
        <v>736</v>
      </c>
      <c r="C43" s="3495" t="s">
        <v>3301</v>
      </c>
      <c r="D43" s="538">
        <v>100</v>
      </c>
      <c r="E43" s="3495" t="s">
        <v>3301</v>
      </c>
      <c r="F43" s="572">
        <f>SUMIF(124:124,E43,125:125)-SUMIF(124:124,C43,125:125)+100</f>
        <v>100</v>
      </c>
      <c r="G43" s="3495" t="s">
        <v>3301</v>
      </c>
      <c r="H43" s="538">
        <f>SUMIF(124:124,G43,125:125)-SUMIF(124:124,C43,125:125)+100</f>
        <v>100</v>
      </c>
      <c r="I43" s="3495" t="s">
        <v>3301</v>
      </c>
      <c r="J43" s="538">
        <f>SUMIF(124:124,I43,125:125)-SUMIF(124:124,C43,125:125)+100</f>
        <v>100</v>
      </c>
      <c r="K43" s="581"/>
      <c r="L43" s="2134"/>
      <c r="M43" s="2126"/>
      <c r="N43" s="2126"/>
      <c r="O43" s="2133"/>
      <c r="P43" s="3801"/>
      <c r="Q43" s="1564" t="str">
        <f t="shared" si="11"/>
        <v>内部装修维护情况</v>
      </c>
      <c r="R43" s="1565" t="s">
        <v>8</v>
      </c>
      <c r="S43" s="1566">
        <f t="shared" si="12"/>
        <v>100</v>
      </c>
      <c r="T43" s="1565" t="s">
        <v>8</v>
      </c>
      <c r="U43" s="1566">
        <f t="shared" si="13"/>
        <v>100</v>
      </c>
      <c r="V43" s="1565" t="s">
        <v>8</v>
      </c>
      <c r="W43" s="1566">
        <f t="shared" si="14"/>
        <v>100</v>
      </c>
      <c r="X43" s="1559"/>
      <c r="Y43" s="3801"/>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801"/>
      <c r="Q44" s="1144">
        <f t="shared" si="11"/>
        <v>111</v>
      </c>
      <c r="R44" s="1560" t="s">
        <v>8</v>
      </c>
      <c r="S44" s="1561">
        <f t="shared" si="12"/>
        <v>100</v>
      </c>
      <c r="T44" s="1560" t="s">
        <v>8</v>
      </c>
      <c r="U44" s="1561">
        <f t="shared" si="13"/>
        <v>100</v>
      </c>
      <c r="V44" s="1560" t="s">
        <v>8</v>
      </c>
      <c r="W44" s="1561">
        <f t="shared" si="14"/>
        <v>100</v>
      </c>
      <c r="X44" s="1562"/>
      <c r="Y44" s="3801"/>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801"/>
      <c r="Q45" s="1564">
        <f t="shared" si="11"/>
        <v>111</v>
      </c>
      <c r="R45" s="1565" t="s">
        <v>8</v>
      </c>
      <c r="S45" s="1566">
        <f t="shared" si="12"/>
        <v>100</v>
      </c>
      <c r="T45" s="1565" t="s">
        <v>8</v>
      </c>
      <c r="U45" s="1566">
        <f t="shared" si="13"/>
        <v>100</v>
      </c>
      <c r="V45" s="1565" t="s">
        <v>8</v>
      </c>
      <c r="W45" s="1566">
        <f t="shared" si="14"/>
        <v>100</v>
      </c>
      <c r="X45" s="1559"/>
      <c r="Y45" s="3801"/>
      <c r="Z45" s="1567">
        <f t="shared" si="15"/>
        <v>111</v>
      </c>
      <c r="AA45" s="1568">
        <f t="shared" si="3"/>
        <v>1</v>
      </c>
      <c r="AB45" s="1568">
        <f t="shared" si="4"/>
        <v>1</v>
      </c>
      <c r="AC45" s="1568">
        <f t="shared" si="5"/>
        <v>1</v>
      </c>
    </row>
    <row r="46" spans="1:29" ht="15.75" thickBot="1">
      <c r="A46" s="879"/>
      <c r="B46" s="542">
        <v>0.9</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77"/>
      <c r="Q46" s="1564">
        <f t="shared" si="11"/>
        <v>0.9</v>
      </c>
      <c r="R46" s="1565" t="s">
        <v>8</v>
      </c>
      <c r="S46" s="1566">
        <f t="shared" si="12"/>
        <v>100</v>
      </c>
      <c r="T46" s="1565" t="s">
        <v>8</v>
      </c>
      <c r="U46" s="1566">
        <f t="shared" si="13"/>
        <v>100</v>
      </c>
      <c r="V46" s="1565" t="s">
        <v>8</v>
      </c>
      <c r="W46" s="1566">
        <f t="shared" si="14"/>
        <v>100</v>
      </c>
      <c r="X46" s="1559"/>
      <c r="Y46" s="3877"/>
      <c r="Z46" s="1567">
        <f t="shared" si="15"/>
        <v>0.9</v>
      </c>
      <c r="AA46" s="1568">
        <f t="shared" si="3"/>
        <v>1</v>
      </c>
      <c r="AB46" s="1568">
        <f t="shared" si="4"/>
        <v>1</v>
      </c>
      <c r="AC46" s="1568">
        <f t="shared" si="5"/>
        <v>1</v>
      </c>
    </row>
    <row r="47" spans="1:29" ht="15">
      <c r="A47" s="604" t="s">
        <v>737</v>
      </c>
      <c r="B47" s="880"/>
      <c r="C47" s="2643" t="s">
        <v>1</v>
      </c>
      <c r="D47" s="2644"/>
      <c r="E47" s="2645">
        <f>B46*30000</f>
        <v>27000</v>
      </c>
      <c r="F47" s="2646"/>
      <c r="G47" s="2647">
        <f>B46*25000</f>
        <v>22500</v>
      </c>
      <c r="H47" s="2648"/>
      <c r="I47" s="2645">
        <f>B46*32000</f>
        <v>28800</v>
      </c>
      <c r="J47" s="2648"/>
      <c r="K47" s="1603"/>
      <c r="L47" s="2136"/>
      <c r="M47" s="2137"/>
      <c r="N47" s="2126"/>
      <c r="O47" s="2137"/>
      <c r="P47" s="3764" t="str">
        <f>A47</f>
        <v>成交单价（元/平方米）</v>
      </c>
      <c r="Q47" s="3764"/>
      <c r="R47" s="3876">
        <f>E47</f>
        <v>27000</v>
      </c>
      <c r="S47" s="3876"/>
      <c r="T47" s="3876">
        <f>G47</f>
        <v>22500</v>
      </c>
      <c r="U47" s="3876"/>
      <c r="V47" s="3876">
        <f>I47</f>
        <v>28800</v>
      </c>
      <c r="W47" s="3876"/>
      <c r="X47" s="1551"/>
      <c r="Y47" s="1573"/>
      <c r="Z47" s="1551"/>
      <c r="AA47" s="1551"/>
      <c r="AB47" s="1551"/>
      <c r="AC47" s="1551"/>
    </row>
    <row r="48" spans="1:29" ht="15.75" thickBot="1">
      <c r="A48" s="612" t="s">
        <v>2764</v>
      </c>
      <c r="B48" s="881"/>
      <c r="C48" s="2649">
        <f>R49</f>
        <v>26534</v>
      </c>
      <c r="D48" s="2650"/>
      <c r="E48" s="2651">
        <f>R48</f>
        <v>27551</v>
      </c>
      <c r="F48" s="2651"/>
      <c r="G48" s="2649">
        <f>T48</f>
        <v>22959</v>
      </c>
      <c r="H48" s="2650"/>
      <c r="I48" s="2651">
        <f>V48</f>
        <v>29091</v>
      </c>
      <c r="J48" s="2650"/>
      <c r="K48" s="1604"/>
      <c r="L48" s="2136"/>
      <c r="M48" s="2137"/>
      <c r="N48" s="2126"/>
      <c r="O48" s="2137"/>
      <c r="P48" s="3764" t="str">
        <f>A48</f>
        <v>比较价格（元/平方米）</v>
      </c>
      <c r="Q48" s="3764"/>
      <c r="R48" s="3876">
        <f>IF(F1="售价",ROUND(PRODUCT(R47,AA7:AA46),0),ROUND(PRODUCT(R47,AA7:AA46),1))</f>
        <v>27551</v>
      </c>
      <c r="S48" s="3876"/>
      <c r="T48" s="3876">
        <f>IF(F1="售价",ROUND(PRODUCT(T47,AB7:AB46),0),ROUND(PRODUCT(T47,AB7:AB46),1))</f>
        <v>22959</v>
      </c>
      <c r="U48" s="3876"/>
      <c r="V48" s="3876">
        <f>IF(F1="售价",ROUND(PRODUCT(V47,AC7:AC46),0),ROUND(PRODUCT(V47,AC7:AC46),1))</f>
        <v>29091</v>
      </c>
      <c r="W48" s="3876"/>
      <c r="X48" s="1551"/>
      <c r="Y48" s="1551"/>
      <c r="Z48" s="1551"/>
      <c r="AA48" s="1551"/>
      <c r="AB48" s="1551"/>
      <c r="AC48" s="1551"/>
    </row>
    <row r="49" spans="1:29" ht="15.75" thickBot="1">
      <c r="A49" s="618" t="s">
        <v>2935</v>
      </c>
      <c r="B49" s="619"/>
      <c r="C49" s="2652">
        <f>R49</f>
        <v>26534</v>
      </c>
      <c r="D49" s="2652"/>
      <c r="E49" s="2652"/>
      <c r="F49" s="2652"/>
      <c r="G49" s="2652"/>
      <c r="H49" s="2652"/>
      <c r="I49" s="2652"/>
      <c r="J49" s="2652"/>
      <c r="K49" s="1605"/>
      <c r="L49" s="2136"/>
      <c r="M49" s="2137"/>
      <c r="N49" s="2126"/>
      <c r="O49" s="2137"/>
      <c r="P49" s="3761" t="str">
        <f>A49</f>
        <v>估价对象XX用房的比较价格（楼面单价，元/平方米）</v>
      </c>
      <c r="Q49" s="3762"/>
      <c r="R49" s="3875">
        <f>IF(F1="售价",ROUND(AVERAGE(R48:V48),0),ROUND(AVERAGE(R48:V48),1))</f>
        <v>26534</v>
      </c>
      <c r="S49" s="3875"/>
      <c r="T49" s="3875"/>
      <c r="U49" s="3875"/>
      <c r="V49" s="3875"/>
      <c r="W49" s="3875"/>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2.040740740740743E-2</v>
      </c>
      <c r="F52" s="624" t="str">
        <f>IF(OR(E52&gt;=0.3,E52&lt;=-0.3),"超过30%","")</f>
        <v/>
      </c>
      <c r="G52" s="623">
        <f>IF(G47&lt;G48,G48/G47-1,G47/G48-1)</f>
        <v>2.0399999999999974E-2</v>
      </c>
      <c r="H52" s="624" t="str">
        <f>IF(OR(G52&gt;=0.3,G52&lt;=-0.3),"超过30%","")</f>
        <v/>
      </c>
      <c r="I52" s="623">
        <f>IF(I47&lt;I48,I48/I47-1,I47/I48-1)</f>
        <v>1.0104166666666581E-2</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0.20000871118080066</v>
      </c>
      <c r="F53" s="624" t="str">
        <f>IF(OR(E53&gt;=0.2,E53&lt;=-0.2),"超过20%","")</f>
        <v>超过20%</v>
      </c>
      <c r="G53" s="623">
        <f>IF(G48&lt;I48,I48/G48-1,G48/I48-1)</f>
        <v>0.26708480334509344</v>
      </c>
      <c r="H53" s="624" t="str">
        <f>IF(OR(G53&gt;=0.2,G53&lt;=-0.2),"超过20%","")</f>
        <v>超过20%</v>
      </c>
      <c r="I53" s="623">
        <f>IF(I48&lt;E48,E48/I48-1,I48/E48-1)</f>
        <v>5.5896337700990895E-2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0.28000000000000003</v>
      </c>
      <c r="H54" s="624" t="str">
        <f>IF(OR(G54&gt;=0.3,G54&lt;=-0.3),"超过30%","")</f>
        <v/>
      </c>
      <c r="I54" s="623">
        <f>IF(I47&lt;E47,E47/I47-1,I47/E47-1)</f>
        <v>6.6666666666666652E-2</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2020-4</v>
      </c>
      <c r="D58" s="2821">
        <f>EDATE(C58,-1)</f>
        <v>43891</v>
      </c>
      <c r="E58" s="2821">
        <f t="shared" ref="E58:O58" si="16">EDATE(D58,-1)</f>
        <v>43862</v>
      </c>
      <c r="F58" s="2821">
        <f t="shared" si="16"/>
        <v>43831</v>
      </c>
      <c r="G58" s="2821">
        <f t="shared" si="16"/>
        <v>43800</v>
      </c>
      <c r="H58" s="2821">
        <f t="shared" si="16"/>
        <v>43770</v>
      </c>
      <c r="I58" s="2821">
        <f t="shared" si="16"/>
        <v>43739</v>
      </c>
      <c r="J58" s="2821">
        <f t="shared" si="16"/>
        <v>43709</v>
      </c>
      <c r="K58" s="2821">
        <f t="shared" si="16"/>
        <v>43678</v>
      </c>
      <c r="L58" s="2821">
        <f t="shared" si="16"/>
        <v>43647</v>
      </c>
      <c r="M58" s="2821">
        <f t="shared" si="16"/>
        <v>43617</v>
      </c>
      <c r="N58" s="2821">
        <f t="shared" si="16"/>
        <v>43586</v>
      </c>
      <c r="O58" s="2821">
        <f t="shared" si="16"/>
        <v>43556</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v>99.5</v>
      </c>
      <c r="E59" s="647">
        <v>99</v>
      </c>
      <c r="F59" s="647">
        <v>98.5</v>
      </c>
      <c r="G59" s="647">
        <v>97.5</v>
      </c>
      <c r="H59" s="647">
        <v>97</v>
      </c>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96</v>
      </c>
      <c r="E77" s="676">
        <f>D77-$K15</f>
        <v>92</v>
      </c>
      <c r="F77" s="676">
        <f>E77-$K15</f>
        <v>88</v>
      </c>
      <c r="G77" s="676">
        <f>F77-$K15</f>
        <v>84</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3328</v>
      </c>
      <c r="D100" s="3513" t="s">
        <v>3330</v>
      </c>
      <c r="E100" s="3513" t="s">
        <v>3336</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0.9</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31" sqref="A31"/>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87" t="s">
        <v>2305</v>
      </c>
      <c r="D1" s="3888"/>
      <c r="E1" s="3888"/>
      <c r="F1" s="3888"/>
      <c r="G1" s="3888"/>
      <c r="H1" s="3888"/>
      <c r="I1" s="3888"/>
      <c r="J1" s="3888"/>
      <c r="K1" s="3888"/>
      <c r="L1" s="3888"/>
      <c r="M1" s="3888"/>
      <c r="N1" s="3888"/>
      <c r="O1" s="3888"/>
      <c r="P1" s="3888"/>
      <c r="Q1" s="3888"/>
      <c r="R1" s="3888"/>
      <c r="S1" s="3889"/>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3393</v>
      </c>
      <c r="C5" s="3513" t="s">
        <v>3475</v>
      </c>
      <c r="D5" s="3513" t="s">
        <v>3329</v>
      </c>
      <c r="E5" s="3513" t="s">
        <v>3335</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143059</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16049</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84" t="s">
        <v>20</v>
      </c>
      <c r="D22" s="3885"/>
      <c r="E22" s="3885"/>
      <c r="F22" s="3885"/>
      <c r="G22" s="3885"/>
      <c r="H22" s="3885"/>
      <c r="I22" s="3885"/>
      <c r="J22" s="3885"/>
      <c r="K22" s="3885"/>
      <c r="L22" s="3885"/>
      <c r="M22" s="3885"/>
      <c r="N22" s="3885"/>
      <c r="O22" s="3885"/>
      <c r="P22" s="3885"/>
      <c r="Q22" s="3886"/>
      <c r="R22" s="488">
        <f>ROUND(S22*10000/B22,0)</f>
        <v>16049</v>
      </c>
      <c r="S22" s="53">
        <f>SUM(S24:S10000)</f>
        <v>143059</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'数据-基础表'!M13/4</f>
        <v>18138</v>
      </c>
      <c r="C24" s="955">
        <v>1</v>
      </c>
      <c r="D24" s="3539" t="s">
        <v>3474</v>
      </c>
      <c r="E24" s="955">
        <v>1</v>
      </c>
      <c r="F24" s="956"/>
      <c r="G24" s="955">
        <v>1</v>
      </c>
      <c r="H24" s="956"/>
      <c r="I24" s="955">
        <v>1</v>
      </c>
      <c r="J24" s="956"/>
      <c r="K24" s="955">
        <v>1</v>
      </c>
      <c r="L24" s="956"/>
      <c r="M24" s="955">
        <v>1</v>
      </c>
      <c r="N24" s="956"/>
      <c r="O24" s="955">
        <v>1</v>
      </c>
      <c r="P24" s="956">
        <v>1</v>
      </c>
      <c r="Q24" s="955">
        <v>1</v>
      </c>
      <c r="R24" s="957">
        <f>'不动产比较法-商业'!B3</f>
        <v>26534</v>
      </c>
      <c r="S24" s="955">
        <f t="shared" ref="S24:S54" si="11">ROUND(R24*B24/10000,0)</f>
        <v>48127</v>
      </c>
      <c r="T24" s="1965">
        <f>S24+S25+S26+S27+S29</f>
        <v>140835</v>
      </c>
      <c r="U24" s="1965">
        <f>B24+B25+B26+B27+B29</f>
        <v>88331</v>
      </c>
      <c r="V24" s="1965">
        <f>ROUND(T24/U24*10000,0)</f>
        <v>15944</v>
      </c>
      <c r="W24" s="1965"/>
      <c r="X24" s="1965"/>
      <c r="Y24" s="1965"/>
      <c r="Z24" s="1965"/>
      <c r="AA24" s="1965"/>
      <c r="AB24" s="1965"/>
      <c r="AC24" s="1965"/>
      <c r="AD24" s="1965"/>
      <c r="AE24" s="1965"/>
      <c r="AF24" s="1965"/>
      <c r="AG24" s="1965"/>
      <c r="AH24" s="1965"/>
      <c r="AI24" s="1965"/>
    </row>
    <row r="25" spans="1:45">
      <c r="A25" s="958" t="s">
        <v>3388</v>
      </c>
      <c r="B25" s="137">
        <f>B24</f>
        <v>18138</v>
      </c>
      <c r="C25" s="53">
        <f>IF(B25="",1,(LOOKUP(B25,$3:$3,$4:$4)-LOOKUP($B$24,$3:$3,$4:$4)+100)/100)</f>
        <v>1</v>
      </c>
      <c r="D25" s="3539" t="s">
        <v>3474</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15920</v>
      </c>
      <c r="S25" s="796">
        <f t="shared" si="11"/>
        <v>28876</v>
      </c>
    </row>
    <row r="26" spans="1:45">
      <c r="A26" s="958" t="s">
        <v>3389</v>
      </c>
      <c r="B26" s="137">
        <f>B24</f>
        <v>18138</v>
      </c>
      <c r="C26" s="53">
        <f t="shared" ref="C26:C89" si="12">IF(B26="",1,(LOOKUP(B26,$3:$3,$4:$4)-LOOKUP($B$24,$3:$3,$4:$4)+100)/100)</f>
        <v>1</v>
      </c>
      <c r="D26" s="3539" t="s">
        <v>3474</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13267</v>
      </c>
      <c r="S26" s="796">
        <f t="shared" si="11"/>
        <v>24064</v>
      </c>
    </row>
    <row r="27" spans="1:45">
      <c r="A27" s="958" t="s">
        <v>3390</v>
      </c>
      <c r="B27" s="137">
        <f>B24</f>
        <v>18138</v>
      </c>
      <c r="C27" s="53">
        <f t="shared" si="12"/>
        <v>1</v>
      </c>
      <c r="D27" s="3539" t="s">
        <v>3474</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10614</v>
      </c>
      <c r="S27" s="796">
        <f t="shared" si="11"/>
        <v>19252</v>
      </c>
    </row>
    <row r="28" spans="1:45">
      <c r="A28" s="3534" t="s">
        <v>3459</v>
      </c>
      <c r="B28" s="137">
        <f>'数据-基础表'!I13</f>
        <v>807</v>
      </c>
      <c r="C28" s="53">
        <f t="shared" si="12"/>
        <v>1.06</v>
      </c>
      <c r="D28" s="3539" t="s">
        <v>3472</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27564</v>
      </c>
      <c r="S28" s="796">
        <f t="shared" si="11"/>
        <v>2224</v>
      </c>
    </row>
    <row r="29" spans="1:45">
      <c r="A29" s="3535" t="s">
        <v>3460</v>
      </c>
      <c r="B29" s="137">
        <f>'数据-基础表'!Q17</f>
        <v>15779</v>
      </c>
      <c r="C29" s="53">
        <f t="shared" si="12"/>
        <v>1</v>
      </c>
      <c r="D29" s="3539" t="s">
        <v>3472</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13002</v>
      </c>
      <c r="S29" s="796">
        <f t="shared" si="11"/>
        <v>20516</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2020年4月2日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2日，在规划利用条件下、设定土地开发程度为红线外“七通”、宗地内场地，设定用途为，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87" t="s">
        <v>2305</v>
      </c>
      <c r="D1" s="3888"/>
      <c r="E1" s="3888"/>
      <c r="F1" s="3888"/>
      <c r="G1" s="3888"/>
      <c r="H1" s="3888"/>
      <c r="I1" s="3888"/>
      <c r="J1" s="3888"/>
      <c r="K1" s="3888"/>
      <c r="L1" s="3888"/>
      <c r="M1" s="3888"/>
      <c r="N1" s="3888"/>
      <c r="O1" s="3888"/>
      <c r="P1" s="3888"/>
      <c r="Q1" s="3888"/>
      <c r="R1" s="3888"/>
      <c r="S1" s="3889"/>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3393</v>
      </c>
      <c r="C5" s="3537" t="s">
        <v>3394</v>
      </c>
      <c r="D5" s="3538" t="s">
        <v>3395</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184193</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17819</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84" t="s">
        <v>20</v>
      </c>
      <c r="D22" s="3885"/>
      <c r="E22" s="3885"/>
      <c r="F22" s="3885"/>
      <c r="G22" s="3885"/>
      <c r="H22" s="3885"/>
      <c r="I22" s="3885"/>
      <c r="J22" s="3885"/>
      <c r="K22" s="3885"/>
      <c r="L22" s="3885"/>
      <c r="M22" s="3885"/>
      <c r="N22" s="3885"/>
      <c r="O22" s="3885"/>
      <c r="P22" s="3885"/>
      <c r="Q22" s="3886"/>
      <c r="R22" s="488">
        <f>ROUND(S22*10000/B22,0)</f>
        <v>17819</v>
      </c>
      <c r="S22" s="53">
        <f>SUM(S24:S10000)</f>
        <v>184193</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3387</v>
      </c>
      <c r="B24" s="954">
        <f>面积!B20</f>
        <v>30731.75</v>
      </c>
      <c r="C24" s="955">
        <v>1</v>
      </c>
      <c r="D24" s="3539" t="s">
        <v>3396</v>
      </c>
      <c r="E24" s="955">
        <v>1</v>
      </c>
      <c r="F24" s="956"/>
      <c r="G24" s="955">
        <v>1</v>
      </c>
      <c r="H24" s="956"/>
      <c r="I24" s="955">
        <v>1</v>
      </c>
      <c r="J24" s="956"/>
      <c r="K24" s="955">
        <v>1</v>
      </c>
      <c r="L24" s="956"/>
      <c r="M24" s="955">
        <v>1</v>
      </c>
      <c r="N24" s="956"/>
      <c r="O24" s="955">
        <v>1</v>
      </c>
      <c r="P24" s="956">
        <v>1</v>
      </c>
      <c r="Q24" s="955">
        <v>1</v>
      </c>
      <c r="R24" s="957">
        <f>'不动产比较法-商业'!B3</f>
        <v>26534</v>
      </c>
      <c r="S24" s="955">
        <f t="shared" ref="S24:S87" si="5">ROUND(R24*B24/10000,0)</f>
        <v>81544</v>
      </c>
      <c r="T24" s="1965"/>
      <c r="U24" s="1965"/>
      <c r="V24" s="1965"/>
      <c r="W24" s="1965"/>
      <c r="X24" s="1965"/>
      <c r="Y24" s="1965"/>
      <c r="Z24" s="1965"/>
      <c r="AA24" s="1965"/>
      <c r="AB24" s="1965"/>
      <c r="AC24" s="1965"/>
      <c r="AD24" s="1965"/>
      <c r="AE24" s="1965"/>
      <c r="AF24" s="1965"/>
      <c r="AG24" s="1965"/>
      <c r="AH24" s="1965"/>
      <c r="AI24" s="1965"/>
    </row>
    <row r="25" spans="1:45">
      <c r="A25" s="958" t="s">
        <v>3388</v>
      </c>
      <c r="B25" s="137">
        <f>面积!C20</f>
        <v>30419.75</v>
      </c>
      <c r="C25" s="53">
        <f>IF(B25="",1,(LOOKUP(B25,$3:$3,$4:$4)-LOOKUP($B$24,$3:$3,$4:$4)+100)/100)</f>
        <v>1</v>
      </c>
      <c r="D25" s="3539" t="s">
        <v>3396</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15920</v>
      </c>
      <c r="S25" s="796">
        <f t="shared" si="5"/>
        <v>48428</v>
      </c>
    </row>
    <row r="26" spans="1:45">
      <c r="A26" s="958" t="s">
        <v>3389</v>
      </c>
      <c r="B26" s="137">
        <f>面积!D20</f>
        <v>19094.25</v>
      </c>
      <c r="C26" s="53">
        <f t="shared" ref="C26:C89" si="6">IF(B26="",1,(LOOKUP(B26,$3:$3,$4:$4)-LOOKUP($B$24,$3:$3,$4:$4)+100)/100)</f>
        <v>1.04</v>
      </c>
      <c r="D26" s="3539" t="s">
        <v>3394</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13798</v>
      </c>
      <c r="S26" s="796">
        <f t="shared" si="5"/>
        <v>26346</v>
      </c>
    </row>
    <row r="27" spans="1:45">
      <c r="A27" s="958" t="s">
        <v>3390</v>
      </c>
      <c r="B27" s="137">
        <f>面积!E20</f>
        <v>19094.25</v>
      </c>
      <c r="C27" s="53">
        <f t="shared" si="6"/>
        <v>1.04</v>
      </c>
      <c r="D27" s="3539" t="s">
        <v>3394</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11038</v>
      </c>
      <c r="S27" s="796">
        <f t="shared" si="5"/>
        <v>21076</v>
      </c>
    </row>
    <row r="28" spans="1:45">
      <c r="A28" s="3534" t="s">
        <v>3391</v>
      </c>
      <c r="B28" s="137">
        <f>面积!B21</f>
        <v>4029</v>
      </c>
      <c r="C28" s="53">
        <f t="shared" si="6"/>
        <v>1.06</v>
      </c>
      <c r="D28" s="3539" t="s">
        <v>3395</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16876</v>
      </c>
      <c r="S28" s="796">
        <f t="shared" si="5"/>
        <v>6799</v>
      </c>
    </row>
    <row r="29" spans="1:45">
      <c r="A29" s="3535" t="s">
        <v>3392</v>
      </c>
      <c r="B29" s="137">
        <f>'数据-基础表'!M17</f>
        <v>0</v>
      </c>
      <c r="C29" s="53">
        <f t="shared" si="6"/>
        <v>1.06</v>
      </c>
      <c r="D29" s="3539" t="s">
        <v>3394</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14063</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5" zoomScaleNormal="85" workbookViewId="0">
      <selection activeCell="H32" sqref="H3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3457</v>
      </c>
      <c r="D1" s="3144" t="s">
        <v>3297</v>
      </c>
      <c r="E1" s="2403" t="s">
        <v>2376</v>
      </c>
      <c r="F1" s="2404">
        <f ca="1">J53</f>
        <v>40.99</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22340</v>
      </c>
      <c r="C2" s="2049"/>
      <c r="D2" s="2047"/>
      <c r="E2" s="2048"/>
      <c r="F2" s="2048"/>
      <c r="G2" s="1582"/>
      <c r="H2" s="2049"/>
      <c r="I2" s="2049"/>
      <c r="J2" s="2049"/>
      <c r="K2" s="2050"/>
      <c r="L2" s="2049"/>
      <c r="M2" s="2049"/>
    </row>
    <row r="3" spans="1:33" ht="18" customHeight="1" thickBot="1">
      <c r="A3" s="830" t="s">
        <v>1726</v>
      </c>
      <c r="B3" s="831">
        <f ca="1">IF(ISERROR(B2*10000/F43),0,ROUND(B2*10000/F43,0))</f>
        <v>2280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1931</v>
      </c>
      <c r="D5" s="2512" t="s">
        <v>2464</v>
      </c>
      <c r="E5" s="2506"/>
      <c r="F5" s="2507"/>
      <c r="G5" s="1584"/>
      <c r="H5" s="778">
        <v>1</v>
      </c>
      <c r="I5" s="779" t="s">
        <v>2461</v>
      </c>
      <c r="J5" s="55">
        <f ca="1">J6+J10+J12</f>
        <v>0</v>
      </c>
      <c r="K5" s="2512" t="s">
        <v>2464</v>
      </c>
      <c r="L5" s="2506"/>
      <c r="M5" s="2507"/>
    </row>
    <row r="6" spans="1:33" ht="18" customHeight="1">
      <c r="A6" s="1823" t="s">
        <v>1823</v>
      </c>
      <c r="B6" s="3838" t="s">
        <v>2466</v>
      </c>
      <c r="C6" s="780">
        <f ca="1">ROUND(F6*F8*F7*(1-F9)/10000,0)</f>
        <v>1931</v>
      </c>
      <c r="D6" s="2513" t="s">
        <v>2465</v>
      </c>
      <c r="E6" s="781" t="s">
        <v>1737</v>
      </c>
      <c r="F6" s="782">
        <f ca="1">INDIRECT("'数据-取费表'!u"&amp;$G$1)</f>
        <v>0.6</v>
      </c>
      <c r="G6" s="1584"/>
      <c r="H6" s="2520" t="s">
        <v>2472</v>
      </c>
      <c r="I6" s="3838" t="s">
        <v>2466</v>
      </c>
      <c r="J6" s="780">
        <f ca="1">ROUND(M6*M8*M7*(1-M9)/10000,0)</f>
        <v>0</v>
      </c>
      <c r="K6" s="339" t="s">
        <v>1736</v>
      </c>
      <c r="L6" s="781" t="s">
        <v>1737</v>
      </c>
      <c r="M6" s="782">
        <f ca="1">INDIRECT("'数据-取费表'!z"&amp;$G$1)</f>
        <v>0</v>
      </c>
    </row>
    <row r="7" spans="1:33" ht="18" customHeight="1">
      <c r="A7" s="2516"/>
      <c r="B7" s="3839"/>
      <c r="C7" s="785"/>
      <c r="D7" s="786"/>
      <c r="E7" s="781" t="s">
        <v>1738</v>
      </c>
      <c r="F7" s="782">
        <f ca="1">IF(INDIRECT("'数据-取费表'!ah"&amp;$G$1)="",INDIRECT("'数据-取费表'!k"&amp;$G$1),INDIRECT("'数据-取费表'!ah"&amp;$G$1))</f>
        <v>97995</v>
      </c>
      <c r="G7" s="1584"/>
      <c r="H7" s="2505"/>
      <c r="I7" s="3839"/>
      <c r="J7" s="785"/>
      <c r="K7" s="786"/>
      <c r="L7" s="781" t="s">
        <v>1738</v>
      </c>
      <c r="M7" s="782">
        <f ca="1">F7</f>
        <v>97995</v>
      </c>
    </row>
    <row r="8" spans="1:33" ht="18" customHeight="1">
      <c r="A8" s="2509"/>
      <c r="B8" s="3840"/>
      <c r="C8" s="785"/>
      <c r="D8" s="786"/>
      <c r="E8" s="781" t="s">
        <v>1739</v>
      </c>
      <c r="F8" s="782">
        <f ca="1">INDIRECT("'数据-取费表'!ai"&amp;$G$1)</f>
        <v>365</v>
      </c>
      <c r="G8" s="1584"/>
      <c r="H8" s="2505"/>
      <c r="I8" s="3840"/>
      <c r="J8" s="785"/>
      <c r="K8" s="786"/>
      <c r="L8" s="781" t="s">
        <v>1739</v>
      </c>
      <c r="M8" s="782">
        <f ca="1">INDIRECT("'数据-取费表'!ai"&amp;$G$1)</f>
        <v>365</v>
      </c>
    </row>
    <row r="9" spans="1:33" ht="18" customHeight="1">
      <c r="A9" s="783"/>
      <c r="B9" s="3841"/>
      <c r="C9" s="785"/>
      <c r="D9" s="786"/>
      <c r="E9" s="781" t="s">
        <v>1740</v>
      </c>
      <c r="F9" s="791">
        <f ca="1">INDIRECT("'数据-取费表'!w"&amp;$G$1)</f>
        <v>0.1</v>
      </c>
      <c r="G9" s="1584"/>
      <c r="H9" s="2521"/>
      <c r="I9" s="3840"/>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3432</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34645</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25308</v>
      </c>
      <c r="D14" s="1971" t="s">
        <v>1744</v>
      </c>
      <c r="E14" s="1972"/>
      <c r="F14" s="802"/>
      <c r="G14" s="1584"/>
      <c r="H14" s="1641" t="s">
        <v>1829</v>
      </c>
      <c r="I14" s="2223" t="s">
        <v>2830</v>
      </c>
      <c r="J14" s="53">
        <f ca="1">C29</f>
        <v>34645</v>
      </c>
      <c r="K14" s="26"/>
      <c r="L14" s="798"/>
      <c r="M14" s="799"/>
    </row>
    <row r="15" spans="1:33" s="2056" customFormat="1" ht="18" customHeight="1" thickBot="1">
      <c r="A15" s="1640" t="s">
        <v>1884</v>
      </c>
      <c r="B15" s="781" t="s">
        <v>648</v>
      </c>
      <c r="C15" s="53">
        <f ca="1">ROUND(C14*F15,0)</f>
        <v>759</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3452</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2932</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380</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27978</v>
      </c>
      <c r="D19" s="259" t="s">
        <v>1756</v>
      </c>
      <c r="E19" s="1974"/>
      <c r="F19" s="56"/>
      <c r="G19" s="1584"/>
      <c r="H19" s="1640" t="s">
        <v>1884</v>
      </c>
      <c r="I19" s="781" t="s">
        <v>1757</v>
      </c>
      <c r="J19" s="53">
        <f ca="1">IF(K19="按租金收入计税",ROUND(J5*M19,1),ROUND(C29*F33*0.7,1))</f>
        <v>2910.2</v>
      </c>
      <c r="K19" s="808" t="s">
        <v>666</v>
      </c>
      <c r="L19" s="781" t="s">
        <v>1746</v>
      </c>
      <c r="M19" s="806">
        <f>IF(K19="按租金收入计税",'数据-取费表'!B51,'数据-取费表'!B50)</f>
        <v>1.2E-2</v>
      </c>
    </row>
    <row r="20" spans="1:33" s="2056" customFormat="1" ht="18" customHeight="1">
      <c r="A20" s="1641" t="s">
        <v>1888</v>
      </c>
      <c r="B20" s="781" t="s">
        <v>667</v>
      </c>
      <c r="C20" s="53">
        <f ca="1">ROUND(C19*F20,0)</f>
        <v>560</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520</v>
      </c>
      <c r="K22" s="2500" t="s">
        <v>1768</v>
      </c>
      <c r="L22" s="781" t="s">
        <v>1746</v>
      </c>
      <c r="M22" s="814">
        <f ca="1">INDIRECT("'数据-取费表'!Ak"&amp;$G$1)</f>
        <v>1.4999999999999999E-2</v>
      </c>
    </row>
    <row r="23" spans="1:33" s="2056" customFormat="1" ht="18" customHeight="1">
      <c r="A23" s="1640" t="s">
        <v>1830</v>
      </c>
      <c r="B23" s="781" t="s">
        <v>2539</v>
      </c>
      <c r="C23" s="53">
        <f ca="1">ROUND(IF('数据-取费表'!B22&lt;=1,(C19+C20)*F24*F23/2,(C19+C20)*(POWER((1+F24),F23/2)-1)),0)</f>
        <v>2057</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-3452</v>
      </c>
      <c r="K25" s="2564" t="s">
        <v>1776</v>
      </c>
      <c r="L25" s="2565"/>
      <c r="M25" s="2566"/>
    </row>
    <row r="26" spans="1:33" ht="18" customHeight="1">
      <c r="A26" s="1640" t="s">
        <v>1830</v>
      </c>
      <c r="B26" s="781" t="s">
        <v>2440</v>
      </c>
      <c r="C26" s="53">
        <f ca="1">ROUND((C19+C20)*F26,0)</f>
        <v>1427</v>
      </c>
      <c r="D26" s="809" t="s">
        <v>1777</v>
      </c>
      <c r="E26" s="792" t="s">
        <v>1778</v>
      </c>
      <c r="F26" s="791">
        <f ca="1">INDIRECT("'数据-取费表'!q"&amp;$G$1)</f>
        <v>0.05</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34645</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967</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356.9</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103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231.7</v>
      </c>
      <c r="D33" s="808" t="s">
        <v>3473</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2945</v>
      </c>
      <c r="K35" s="2070"/>
      <c r="L35" s="2069"/>
      <c r="M35" s="2069"/>
    </row>
    <row r="36" spans="1:18" ht="18" customHeight="1">
      <c r="A36" s="1641" t="s">
        <v>1888</v>
      </c>
      <c r="B36" s="781" t="s">
        <v>1801</v>
      </c>
      <c r="C36" s="53">
        <f ca="1">ROUND(C29*F36,1)</f>
        <v>519.70000000000005</v>
      </c>
      <c r="D36" s="1969" t="s">
        <v>1802</v>
      </c>
      <c r="E36" s="781" t="s">
        <v>1795</v>
      </c>
      <c r="F36" s="814">
        <f ca="1">INDIRECT("'数据-取费表'!Ak"&amp;$G$1)</f>
        <v>1.4999999999999999E-2</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52</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38.6</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964</v>
      </c>
      <c r="D39" s="2564" t="s">
        <v>1805</v>
      </c>
      <c r="E39" s="2565"/>
      <c r="F39" s="2566"/>
      <c r="G39" s="2054"/>
      <c r="H39" s="2069"/>
      <c r="I39" s="834" t="s">
        <v>1817</v>
      </c>
      <c r="J39" s="842">
        <f ca="1">ROUND(J35/C39,3)</f>
        <v>3.0550000000000002</v>
      </c>
      <c r="K39" s="2075"/>
      <c r="L39" s="2069"/>
      <c r="M39" s="2069"/>
    </row>
    <row r="40" spans="1:18" ht="18" customHeight="1">
      <c r="A40" s="778" t="s">
        <v>1894</v>
      </c>
      <c r="B40" s="2224" t="s">
        <v>2302</v>
      </c>
      <c r="C40" s="780">
        <f ca="1">ROUND(C39*(1-((1+F42)/(1+F40))^F41)/(F40-F42),0)</f>
        <v>22340</v>
      </c>
      <c r="D40" s="811" t="s">
        <v>1806</v>
      </c>
      <c r="E40" s="781" t="s">
        <v>2421</v>
      </c>
      <c r="F40" s="791">
        <f ca="1">INDIRECT("'数据-取费表'!I"&amp;$G$1)</f>
        <v>0.05</v>
      </c>
      <c r="G40" s="2054"/>
      <c r="H40" s="2054"/>
      <c r="I40" s="834" t="s">
        <v>1818</v>
      </c>
      <c r="J40" s="842">
        <f ca="1">1-J39</f>
        <v>-2.0550000000000002</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40.99</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1.5509999999999999</v>
      </c>
      <c r="K42" s="2074"/>
      <c r="L42" s="1980"/>
      <c r="M42" s="1980"/>
    </row>
    <row r="43" spans="1:18" ht="18" customHeight="1" thickBot="1">
      <c r="A43" s="820" t="s">
        <v>1786</v>
      </c>
      <c r="B43" s="821" t="s">
        <v>1809</v>
      </c>
      <c r="C43" s="822">
        <f ca="1">ROUND(C40*10000/F43,0)</f>
        <v>2280</v>
      </c>
      <c r="D43" s="823" t="s">
        <v>1810</v>
      </c>
      <c r="E43" s="824" t="s">
        <v>1811</v>
      </c>
      <c r="F43" s="825">
        <f ca="1">INDIRECT("'数据-取费表'!k"&amp;$G$1)</f>
        <v>97995</v>
      </c>
      <c r="G43" s="2054"/>
      <c r="H43" s="1980"/>
      <c r="I43" s="844" t="s">
        <v>1821</v>
      </c>
      <c r="J43" s="845">
        <f ca="1">1-J42</f>
        <v>-0.55099999999999993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-32612</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50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43.99</v>
      </c>
      <c r="O48" s="2414" t="s">
        <v>2381</v>
      </c>
      <c r="P48" s="2415" t="s">
        <v>2407</v>
      </c>
      <c r="Q48" s="2416">
        <f ca="1">C40+J29</f>
        <v>22340</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34645</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-37669</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40.99</v>
      </c>
      <c r="K53" s="3890" t="s">
        <v>2969</v>
      </c>
      <c r="L53" s="3891"/>
      <c r="O53" s="2417" t="s">
        <v>2390</v>
      </c>
      <c r="P53" s="2415" t="s">
        <v>2391</v>
      </c>
      <c r="Q53" s="2416">
        <f ca="1">J53</f>
        <v>40.99</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22340</v>
      </c>
      <c r="R54" s="2419" t="s">
        <v>2394</v>
      </c>
    </row>
    <row r="55" spans="1:18" s="2051" customFormat="1" ht="18" customHeight="1" thickTop="1" thickBot="1">
      <c r="A55" s="794">
        <v>2</v>
      </c>
      <c r="B55" s="795" t="s">
        <v>645</v>
      </c>
      <c r="C55" s="796">
        <f ca="1">C13</f>
        <v>34645</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34645</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594</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22340</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519.70000000000005</v>
      </c>
      <c r="D63" s="2656" t="s">
        <v>1802</v>
      </c>
      <c r="E63" s="781" t="s">
        <v>1746</v>
      </c>
      <c r="F63" s="814">
        <f t="shared" ca="1" si="0"/>
        <v>1.4999999999999999E-2</v>
      </c>
      <c r="I63" s="2401" t="s">
        <v>2372</v>
      </c>
      <c r="J63" s="2402">
        <v>70</v>
      </c>
      <c r="K63" s="2402">
        <v>50</v>
      </c>
      <c r="L63" s="2402">
        <v>80</v>
      </c>
      <c r="M63" s="3118">
        <v>0.02</v>
      </c>
      <c r="O63" s="2414" t="s">
        <v>2393</v>
      </c>
      <c r="P63" s="2415" t="s">
        <v>2410</v>
      </c>
      <c r="Q63" s="2416">
        <f ca="1">Q57+Q58</f>
        <v>22340</v>
      </c>
      <c r="R63" s="2419" t="s">
        <v>2394</v>
      </c>
    </row>
    <row r="64" spans="1:18" s="2051" customFormat="1" ht="16.5" thickBot="1">
      <c r="A64" s="1641" t="s">
        <v>1889</v>
      </c>
      <c r="B64" s="781" t="s">
        <v>680</v>
      </c>
      <c r="C64" s="53">
        <f ca="1">ROUND(C55*F64,1)</f>
        <v>52</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-594</v>
      </c>
      <c r="D66" s="2655" t="s">
        <v>701</v>
      </c>
      <c r="E66" s="2654"/>
      <c r="F66" s="817"/>
      <c r="K66" s="2078"/>
      <c r="O66" s="2414" t="s">
        <v>2381</v>
      </c>
      <c r="P66" s="2415" t="s">
        <v>2411</v>
      </c>
      <c r="Q66" s="2416">
        <f ca="1">C40+J29</f>
        <v>22340</v>
      </c>
      <c r="R66" s="2415" t="s">
        <v>2382</v>
      </c>
    </row>
    <row r="67" spans="1:18" s="2051" customFormat="1" ht="20.25" thickBot="1">
      <c r="A67" s="778" t="s">
        <v>1779</v>
      </c>
      <c r="B67" s="2224" t="s">
        <v>2302</v>
      </c>
      <c r="C67" s="780">
        <f ca="1">ROUND(C66*(1-((1+F69)/(1+F67))^F68)/(F67-F69),0)</f>
        <v>-10272</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40.99</v>
      </c>
      <c r="O68" s="2417" t="s">
        <v>2385</v>
      </c>
      <c r="P68" s="2415" t="s">
        <v>2415</v>
      </c>
      <c r="Q68" s="2421">
        <f ca="1">L51</f>
        <v>-37669</v>
      </c>
      <c r="R68" s="2422" t="s">
        <v>2418</v>
      </c>
    </row>
    <row r="69" spans="1:18" ht="20.25" thickBot="1">
      <c r="A69" s="787"/>
      <c r="B69" s="788"/>
      <c r="C69" s="789"/>
      <c r="D69" s="813"/>
      <c r="E69" s="781" t="s">
        <v>711</v>
      </c>
      <c r="F69" s="2363"/>
      <c r="O69" s="2417" t="s">
        <v>2386</v>
      </c>
      <c r="P69" s="2423" t="s">
        <v>2400</v>
      </c>
      <c r="Q69" s="2416">
        <f ca="1">ROUND(Q70-Q71*Q72,0)</f>
        <v>-1981</v>
      </c>
      <c r="R69" s="2419"/>
    </row>
    <row r="70" spans="1:18" ht="15.75" thickBot="1">
      <c r="A70" s="820" t="s">
        <v>1786</v>
      </c>
      <c r="B70" s="821" t="s">
        <v>1809</v>
      </c>
      <c r="C70" s="822">
        <f ca="1">ROUND(C67*10000/F70,0)</f>
        <v>-1048</v>
      </c>
      <c r="D70" s="823" t="s">
        <v>1810</v>
      </c>
      <c r="E70" s="824" t="s">
        <v>1811</v>
      </c>
      <c r="F70" s="825">
        <f ca="1">F43</f>
        <v>97995</v>
      </c>
      <c r="O70" s="2417" t="s">
        <v>2401</v>
      </c>
      <c r="P70" s="2423" t="s">
        <v>2402</v>
      </c>
      <c r="Q70" s="2416">
        <f ca="1">C39</f>
        <v>964</v>
      </c>
      <c r="R70" s="2415" t="s">
        <v>2382</v>
      </c>
    </row>
    <row r="71" spans="1:18" ht="15.75" thickBot="1">
      <c r="O71" s="2417" t="s">
        <v>2403</v>
      </c>
      <c r="P71" s="2423" t="s">
        <v>2404</v>
      </c>
      <c r="Q71" s="2416">
        <f ca="1">C13</f>
        <v>34645</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22340</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3297</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38" t="s">
        <v>2466</v>
      </c>
      <c r="C6" s="780" t="e">
        <f ca="1">ROUND(F6*F8*F7*(1-F9)/10000,0)</f>
        <v>#N/A</v>
      </c>
      <c r="D6" s="2513" t="s">
        <v>2465</v>
      </c>
      <c r="E6" s="781" t="s">
        <v>1737</v>
      </c>
      <c r="F6" s="782" t="e">
        <f ca="1">INDIRECT("'数据-取费表'!u"&amp;$G$1)</f>
        <v>#N/A</v>
      </c>
      <c r="G6" s="1584"/>
      <c r="H6" s="2520" t="s">
        <v>1823</v>
      </c>
      <c r="I6" s="3838" t="s">
        <v>2466</v>
      </c>
      <c r="J6" s="780" t="e">
        <f ca="1">ROUND(M6*M8*M7*(1-M9)/10000,0)</f>
        <v>#N/A</v>
      </c>
      <c r="K6" s="339" t="s">
        <v>1736</v>
      </c>
      <c r="L6" s="781" t="s">
        <v>1737</v>
      </c>
      <c r="M6" s="782" t="e">
        <f ca="1">INDIRECT("'数据-取费表'!z"&amp;$G$1)</f>
        <v>#N/A</v>
      </c>
    </row>
    <row r="7" spans="1:33" ht="18" customHeight="1">
      <c r="A7" s="2516"/>
      <c r="B7" s="3839"/>
      <c r="C7" s="785"/>
      <c r="D7" s="786"/>
      <c r="E7" s="781" t="s">
        <v>1738</v>
      </c>
      <c r="F7" s="782" t="e">
        <f ca="1">IF(INDIRECT("'数据-取费表'!ah"&amp;$G$1)="",INDIRECT("'数据-取费表'!k"&amp;$G$1),INDIRECT("'数据-取费表'!ah"&amp;$G$1))</f>
        <v>#N/A</v>
      </c>
      <c r="G7" s="1584"/>
      <c r="H7" s="2505"/>
      <c r="I7" s="3839"/>
      <c r="J7" s="785"/>
      <c r="K7" s="786"/>
      <c r="L7" s="781" t="s">
        <v>1738</v>
      </c>
      <c r="M7" s="782" t="e">
        <f ca="1">F7</f>
        <v>#N/A</v>
      </c>
    </row>
    <row r="8" spans="1:33" ht="18" customHeight="1">
      <c r="A8" s="2509"/>
      <c r="B8" s="3840"/>
      <c r="C8" s="785"/>
      <c r="D8" s="786"/>
      <c r="E8" s="781" t="s">
        <v>1739</v>
      </c>
      <c r="F8" s="782" t="e">
        <f ca="1">INDIRECT("'数据-取费表'!ai"&amp;$G$1)</f>
        <v>#N/A</v>
      </c>
      <c r="G8" s="1584"/>
      <c r="H8" s="2505"/>
      <c r="I8" s="3840"/>
      <c r="J8" s="785"/>
      <c r="K8" s="786"/>
      <c r="L8" s="781" t="s">
        <v>1739</v>
      </c>
      <c r="M8" s="782" t="e">
        <f ca="1">INDIRECT("'数据-取费表'!ai"&amp;$G$1)</f>
        <v>#N/A</v>
      </c>
    </row>
    <row r="9" spans="1:33" ht="18" customHeight="1">
      <c r="A9" s="783"/>
      <c r="B9" s="3841"/>
      <c r="C9" s="785"/>
      <c r="D9" s="786"/>
      <c r="E9" s="781" t="s">
        <v>1740</v>
      </c>
      <c r="F9" s="791" t="e">
        <f ca="1">INDIRECT("'数据-取费表'!w"&amp;$G$1)</f>
        <v>#N/A</v>
      </c>
      <c r="G9" s="1584"/>
      <c r="H9" s="2521"/>
      <c r="I9" s="3840"/>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3298</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90" t="s">
        <v>2969</v>
      </c>
      <c r="L53" s="3891"/>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3297</v>
      </c>
      <c r="E1" s="2403" t="s">
        <v>2376</v>
      </c>
      <c r="F1" s="2404">
        <f ca="1">J53</f>
        <v>30.979999999999997</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38" t="s">
        <v>2466</v>
      </c>
      <c r="C6" s="780">
        <f ca="1">ROUND(F6*F8*F7*(1-F9)/10000,0)</f>
        <v>0</v>
      </c>
      <c r="D6" s="2513" t="s">
        <v>2465</v>
      </c>
      <c r="E6" s="781" t="s">
        <v>1737</v>
      </c>
      <c r="F6" s="782">
        <f ca="1">INDIRECT("'数据-取费表'!u"&amp;$G$1)</f>
        <v>0</v>
      </c>
      <c r="G6" s="1584"/>
      <c r="H6" s="2520" t="s">
        <v>1823</v>
      </c>
      <c r="I6" s="3838" t="s">
        <v>2466</v>
      </c>
      <c r="J6" s="780">
        <f ca="1">ROUND(M6*M8*M7*(1-M9)/10000,0)</f>
        <v>0</v>
      </c>
      <c r="K6" s="339" t="s">
        <v>1736</v>
      </c>
      <c r="L6" s="781" t="s">
        <v>1737</v>
      </c>
      <c r="M6" s="782">
        <f ca="1">INDIRECT("'数据-取费表'!z"&amp;$G$1)</f>
        <v>0</v>
      </c>
    </row>
    <row r="7" spans="1:33" ht="18" customHeight="1">
      <c r="A7" s="2516"/>
      <c r="B7" s="3839"/>
      <c r="C7" s="785"/>
      <c r="D7" s="786"/>
      <c r="E7" s="781" t="s">
        <v>1738</v>
      </c>
      <c r="F7" s="782">
        <f ca="1">IF(INDIRECT("'数据-取费表'!ah"&amp;$G$1)="",INDIRECT("'数据-取费表'!k"&amp;$G$1),INDIRECT("'数据-取费表'!ah"&amp;$G$1))</f>
        <v>273359</v>
      </c>
      <c r="G7" s="1584"/>
      <c r="H7" s="2505"/>
      <c r="I7" s="3839"/>
      <c r="J7" s="785"/>
      <c r="K7" s="786"/>
      <c r="L7" s="781" t="s">
        <v>1738</v>
      </c>
      <c r="M7" s="782">
        <f ca="1">F7</f>
        <v>273359</v>
      </c>
    </row>
    <row r="8" spans="1:33" ht="18" customHeight="1">
      <c r="A8" s="2509"/>
      <c r="B8" s="3840"/>
      <c r="C8" s="785"/>
      <c r="D8" s="786"/>
      <c r="E8" s="781" t="s">
        <v>1739</v>
      </c>
      <c r="F8" s="782">
        <f ca="1">INDIRECT("'数据-取费表'!ai"&amp;$G$1)</f>
        <v>0</v>
      </c>
      <c r="G8" s="1584"/>
      <c r="H8" s="2505"/>
      <c r="I8" s="3840"/>
      <c r="J8" s="785"/>
      <c r="K8" s="786"/>
      <c r="L8" s="781" t="s">
        <v>1739</v>
      </c>
      <c r="M8" s="782">
        <f ca="1">INDIRECT("'数据-取费表'!ai"&amp;$G$1)</f>
        <v>0</v>
      </c>
    </row>
    <row r="9" spans="1:33" ht="18" customHeight="1">
      <c r="A9" s="783"/>
      <c r="B9" s="3841"/>
      <c r="C9" s="785"/>
      <c r="D9" s="786"/>
      <c r="E9" s="781" t="s">
        <v>1740</v>
      </c>
      <c r="F9" s="791">
        <f ca="1">INDIRECT("'数据-取费表'!w"&amp;$G$1)</f>
        <v>0</v>
      </c>
      <c r="G9" s="1584"/>
      <c r="H9" s="2521"/>
      <c r="I9" s="3840"/>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3295</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130033</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84266</v>
      </c>
      <c r="D14" s="3484" t="s">
        <v>1744</v>
      </c>
      <c r="E14" s="3485"/>
      <c r="F14" s="802"/>
      <c r="G14" s="1584"/>
      <c r="H14" s="1641" t="s">
        <v>1823</v>
      </c>
      <c r="I14" s="2223" t="s">
        <v>2829</v>
      </c>
      <c r="J14" s="53">
        <f ca="1">C29</f>
        <v>130033</v>
      </c>
      <c r="K14" s="26"/>
      <c r="L14" s="798"/>
      <c r="M14" s="799"/>
    </row>
    <row r="15" spans="1:33" s="2056" customFormat="1" ht="18" customHeight="1" thickBot="1">
      <c r="A15" s="1640" t="s">
        <v>1831</v>
      </c>
      <c r="B15" s="781" t="s">
        <v>648</v>
      </c>
      <c r="C15" s="53">
        <f ca="1">ROUND(C14*F15,0)</f>
        <v>2528</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1154</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1154</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1264</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92328</v>
      </c>
      <c r="D19" s="259" t="s">
        <v>1756</v>
      </c>
      <c r="E19" s="3489"/>
      <c r="F19" s="56"/>
      <c r="G19" s="1584"/>
      <c r="H19" s="1640" t="s">
        <v>1831</v>
      </c>
      <c r="I19" s="781" t="s">
        <v>1757</v>
      </c>
      <c r="J19" s="53">
        <f ca="1">IF(K19="按租金收入计税",ROUND(J5*M19,1),ROUND(C29*F33*0.7,1))</f>
        <v>1092.3</v>
      </c>
      <c r="K19" s="808" t="s">
        <v>666</v>
      </c>
      <c r="L19" s="781" t="s">
        <v>1746</v>
      </c>
      <c r="M19" s="806">
        <f>IF(K19="按租金收入计税",'数据-取费表'!B51,'数据-取费表'!B50)</f>
        <v>1.2E-2</v>
      </c>
    </row>
    <row r="20" spans="1:33" s="2056" customFormat="1" ht="18" customHeight="1">
      <c r="A20" s="1641" t="s">
        <v>1888</v>
      </c>
      <c r="B20" s="781" t="s">
        <v>667</v>
      </c>
      <c r="C20" s="53">
        <f ca="1">ROUND(C19*F20,0)</f>
        <v>1847</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6789</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-1154</v>
      </c>
      <c r="K25" s="2564" t="s">
        <v>1776</v>
      </c>
      <c r="L25" s="2565"/>
      <c r="M25" s="2566"/>
    </row>
    <row r="26" spans="1:33" ht="18" customHeight="1">
      <c r="A26" s="1640" t="s">
        <v>1830</v>
      </c>
      <c r="B26" s="781" t="s">
        <v>2440</v>
      </c>
      <c r="C26" s="53">
        <f ca="1">ROUND((C19+C20)*F26,0)</f>
        <v>18835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130033</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1154</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1154.4000000000001</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1092.3</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11053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-1154</v>
      </c>
      <c r="D39" s="2564" t="s">
        <v>1776</v>
      </c>
      <c r="E39" s="2565"/>
      <c r="F39" s="2566"/>
      <c r="G39" s="2054"/>
      <c r="H39" s="2069"/>
      <c r="I39" s="834" t="s">
        <v>1817</v>
      </c>
      <c r="J39" s="842">
        <f ca="1">ROUND(J35/C39,3)</f>
        <v>-9.5779999999999994</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10.577999999999999</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3298</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33.979999999999997</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130033</v>
      </c>
      <c r="R50" s="2415" t="s">
        <v>2382</v>
      </c>
    </row>
    <row r="51" spans="1:18" s="2051" customFormat="1" ht="18" customHeight="1" thickBot="1">
      <c r="A51" s="783"/>
      <c r="B51" s="784"/>
      <c r="C51" s="785"/>
      <c r="D51" s="786"/>
      <c r="E51" s="781" t="s">
        <v>641</v>
      </c>
      <c r="F51" s="2363"/>
      <c r="H51" s="2085"/>
      <c r="I51" s="2376" t="s">
        <v>2349</v>
      </c>
      <c r="J51" s="2389">
        <f>IF(J49="",J50,J49+J50-YEAR('数据-取费表'!B2))</f>
        <v>58</v>
      </c>
      <c r="K51" s="2375" t="s">
        <v>2356</v>
      </c>
      <c r="L51" s="2390">
        <f ca="1">ROUND(-PV(INDIRECT("'数据-取费表'!h"&amp;$G$1),L48,(C39-C13*J36),0),0)</f>
        <v>-197618</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30.979999999999997</v>
      </c>
      <c r="K53" s="3890" t="s">
        <v>2969</v>
      </c>
      <c r="L53" s="3891"/>
      <c r="O53" s="2417" t="s">
        <v>2390</v>
      </c>
      <c r="P53" s="2415" t="s">
        <v>2391</v>
      </c>
      <c r="Q53" s="2416">
        <f ca="1">J53</f>
        <v>30.979999999999997</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130033</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130033</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1154</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1154.4000000000001</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1092.3</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-1154</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-197618</v>
      </c>
      <c r="R68" s="2422" t="s">
        <v>2418</v>
      </c>
    </row>
    <row r="69" spans="1:18" ht="20.25" thickBot="1">
      <c r="A69" s="787"/>
      <c r="B69" s="788"/>
      <c r="C69" s="789"/>
      <c r="D69" s="813"/>
      <c r="E69" s="781" t="s">
        <v>711</v>
      </c>
      <c r="F69" s="2363"/>
      <c r="O69" s="2417" t="s">
        <v>2386</v>
      </c>
      <c r="P69" s="2423" t="s">
        <v>2400</v>
      </c>
      <c r="Q69" s="2416">
        <f ca="1">ROUND(Q70-Q71*Q72,0)</f>
        <v>-12207</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-1154</v>
      </c>
      <c r="R70" s="2415" t="s">
        <v>2382</v>
      </c>
    </row>
    <row r="71" spans="1:18" ht="15.75" thickBot="1">
      <c r="O71" s="2417" t="s">
        <v>2403</v>
      </c>
      <c r="P71" s="2423" t="s">
        <v>2404</v>
      </c>
      <c r="Q71" s="2416">
        <f ca="1">C13</f>
        <v>130033</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70" t="s">
        <v>523</v>
      </c>
      <c r="D4" s="3771"/>
      <c r="E4" s="3805" t="s">
        <v>524</v>
      </c>
      <c r="F4" s="3806"/>
      <c r="G4" s="3770" t="s">
        <v>525</v>
      </c>
      <c r="H4" s="3771"/>
      <c r="I4" s="3770" t="s">
        <v>526</v>
      </c>
      <c r="J4" s="3771"/>
      <c r="K4" s="512" t="s">
        <v>527</v>
      </c>
      <c r="L4" s="2125"/>
      <c r="M4" s="2126"/>
      <c r="N4" s="2126"/>
      <c r="O4" s="2126"/>
      <c r="P4" s="3772" t="s">
        <v>528</v>
      </c>
      <c r="Q4" s="3773"/>
      <c r="R4" s="3778" t="s">
        <v>524</v>
      </c>
      <c r="S4" s="3779"/>
      <c r="T4" s="3778" t="s">
        <v>525</v>
      </c>
      <c r="U4" s="3779"/>
      <c r="V4" s="3765" t="s">
        <v>526</v>
      </c>
      <c r="W4" s="3765"/>
      <c r="X4" s="1559"/>
      <c r="Y4" s="3778" t="s">
        <v>528</v>
      </c>
      <c r="Z4" s="3779"/>
      <c r="AA4" s="3767" t="s">
        <v>524</v>
      </c>
      <c r="AB4" s="3768" t="s">
        <v>525</v>
      </c>
      <c r="AC4" s="3767" t="s">
        <v>526</v>
      </c>
    </row>
    <row r="5" spans="1:29" ht="15">
      <c r="A5" s="513"/>
      <c r="B5" s="514"/>
      <c r="C5" s="3786" t="s">
        <v>2929</v>
      </c>
      <c r="D5" s="3787"/>
      <c r="E5" s="3807" t="s">
        <v>2930</v>
      </c>
      <c r="F5" s="3808"/>
      <c r="G5" s="3786" t="s">
        <v>2931</v>
      </c>
      <c r="H5" s="3787"/>
      <c r="I5" s="3786" t="s">
        <v>2932</v>
      </c>
      <c r="J5" s="3787"/>
      <c r="K5" s="512"/>
      <c r="L5" s="2125"/>
      <c r="M5" s="2126"/>
      <c r="N5" s="2126"/>
      <c r="O5" s="2126"/>
      <c r="P5" s="3774"/>
      <c r="Q5" s="3775"/>
      <c r="R5" s="3780"/>
      <c r="S5" s="3781"/>
      <c r="T5" s="3780"/>
      <c r="U5" s="3781"/>
      <c r="V5" s="3765"/>
      <c r="W5" s="3765"/>
      <c r="X5" s="1559"/>
      <c r="Y5" s="3780"/>
      <c r="Z5" s="3781"/>
      <c r="AA5" s="3768"/>
      <c r="AB5" s="3768"/>
      <c r="AC5" s="3768"/>
    </row>
    <row r="6" spans="1:29" ht="15.75" thickBot="1">
      <c r="A6" s="515"/>
      <c r="B6" s="516"/>
      <c r="C6" s="3784" t="s">
        <v>2933</v>
      </c>
      <c r="D6" s="3785"/>
      <c r="E6" s="3803" t="s">
        <v>2933</v>
      </c>
      <c r="F6" s="3804"/>
      <c r="G6" s="3784" t="s">
        <v>2933</v>
      </c>
      <c r="H6" s="3785"/>
      <c r="I6" s="3784" t="s">
        <v>2933</v>
      </c>
      <c r="J6" s="3785"/>
      <c r="K6" s="512" t="s">
        <v>529</v>
      </c>
      <c r="L6" s="2125"/>
      <c r="M6" s="2126"/>
      <c r="N6" s="2126"/>
      <c r="O6" s="2126"/>
      <c r="P6" s="3776"/>
      <c r="Q6" s="3777"/>
      <c r="R6" s="3780"/>
      <c r="S6" s="3781"/>
      <c r="T6" s="3782"/>
      <c r="U6" s="3783"/>
      <c r="V6" s="3765"/>
      <c r="W6" s="3765"/>
      <c r="X6" s="1559"/>
      <c r="Y6" s="3782"/>
      <c r="Z6" s="3783"/>
      <c r="AA6" s="3769"/>
      <c r="AB6" s="3769"/>
      <c r="AC6" s="3769"/>
    </row>
    <row r="7" spans="1:29" s="1213" customFormat="1" ht="15.75" thickBot="1">
      <c r="A7" s="2928"/>
      <c r="B7" s="2935" t="s">
        <v>530</v>
      </c>
      <c r="C7" s="517">
        <f>'数据-取费表'!B2</f>
        <v>43923</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95" t="s">
        <v>531</v>
      </c>
      <c r="Q7" s="3797"/>
      <c r="R7" s="1560" t="s">
        <v>8</v>
      </c>
      <c r="S7" s="1561">
        <f t="shared" ref="S7:S15" si="0">F7</f>
        <v>0</v>
      </c>
      <c r="T7" s="1560" t="s">
        <v>8</v>
      </c>
      <c r="U7" s="1561">
        <f t="shared" ref="U7:U15" si="1">H7</f>
        <v>0</v>
      </c>
      <c r="V7" s="1560" t="s">
        <v>8</v>
      </c>
      <c r="W7" s="1561">
        <f t="shared" ref="W7:W15" si="2">J7</f>
        <v>0</v>
      </c>
      <c r="X7" s="1562"/>
      <c r="Y7" s="3795" t="s">
        <v>531</v>
      </c>
      <c r="Z7" s="3796"/>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95" t="s">
        <v>534</v>
      </c>
      <c r="Q8" s="3796"/>
      <c r="R8" s="1560" t="s">
        <v>8</v>
      </c>
      <c r="S8" s="1561">
        <f t="shared" si="0"/>
        <v>0</v>
      </c>
      <c r="T8" s="1560" t="s">
        <v>8</v>
      </c>
      <c r="U8" s="1561">
        <f t="shared" si="1"/>
        <v>0</v>
      </c>
      <c r="V8" s="1560" t="s">
        <v>8</v>
      </c>
      <c r="W8" s="1561">
        <f t="shared" si="2"/>
        <v>0</v>
      </c>
      <c r="X8" s="1562"/>
      <c r="Y8" s="3795" t="s">
        <v>534</v>
      </c>
      <c r="Z8" s="3796"/>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64" t="s">
        <v>536</v>
      </c>
      <c r="Q9" s="1144" t="str">
        <f t="shared" ref="Q9:Q15" si="6">B9</f>
        <v>用途</v>
      </c>
      <c r="R9" s="1560" t="s">
        <v>8</v>
      </c>
      <c r="S9" s="1561">
        <f t="shared" si="0"/>
        <v>100</v>
      </c>
      <c r="T9" s="1560" t="s">
        <v>8</v>
      </c>
      <c r="U9" s="1561">
        <f t="shared" si="1"/>
        <v>100</v>
      </c>
      <c r="V9" s="1560" t="s">
        <v>8</v>
      </c>
      <c r="W9" s="1561">
        <f t="shared" si="2"/>
        <v>100</v>
      </c>
      <c r="X9" s="1562"/>
      <c r="Y9" s="3710"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64"/>
      <c r="Q11" s="1144" t="str">
        <f t="shared" si="6"/>
        <v>容积率</v>
      </c>
      <c r="R11" s="1560" t="s">
        <v>8</v>
      </c>
      <c r="S11" s="1561" t="e">
        <f t="shared" si="0"/>
        <v>#N/A</v>
      </c>
      <c r="T11" s="1560" t="s">
        <v>8</v>
      </c>
      <c r="U11" s="1561" t="e">
        <f t="shared" si="1"/>
        <v>#N/A</v>
      </c>
      <c r="V11" s="1560" t="s">
        <v>8</v>
      </c>
      <c r="W11" s="1561" t="e">
        <f t="shared" si="2"/>
        <v>#N/A</v>
      </c>
      <c r="X11" s="1562"/>
      <c r="Y11" s="3710"/>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64"/>
      <c r="Q12" s="1144">
        <f t="shared" si="6"/>
        <v>111</v>
      </c>
      <c r="R12" s="1560" t="s">
        <v>8</v>
      </c>
      <c r="S12" s="1561">
        <f t="shared" si="0"/>
        <v>100</v>
      </c>
      <c r="T12" s="1560" t="s">
        <v>8</v>
      </c>
      <c r="U12" s="1561">
        <f t="shared" si="1"/>
        <v>100</v>
      </c>
      <c r="V12" s="1560" t="s">
        <v>8</v>
      </c>
      <c r="W12" s="1561">
        <f t="shared" si="2"/>
        <v>100</v>
      </c>
      <c r="X12" s="1562"/>
      <c r="Y12" s="3710"/>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64"/>
      <c r="Q13" s="1144">
        <f t="shared" si="6"/>
        <v>111</v>
      </c>
      <c r="R13" s="1560" t="s">
        <v>8</v>
      </c>
      <c r="S13" s="1561">
        <f t="shared" si="0"/>
        <v>100</v>
      </c>
      <c r="T13" s="1560" t="s">
        <v>8</v>
      </c>
      <c r="U13" s="1561">
        <f t="shared" si="1"/>
        <v>100</v>
      </c>
      <c r="V13" s="1560" t="s">
        <v>8</v>
      </c>
      <c r="W13" s="1561">
        <f t="shared" si="2"/>
        <v>100</v>
      </c>
      <c r="X13" s="1562"/>
      <c r="Y13" s="3710"/>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64"/>
      <c r="Q14" s="1144">
        <f t="shared" si="6"/>
        <v>111</v>
      </c>
      <c r="R14" s="1560" t="s">
        <v>8</v>
      </c>
      <c r="S14" s="1561">
        <f t="shared" si="0"/>
        <v>100</v>
      </c>
      <c r="T14" s="1560" t="s">
        <v>8</v>
      </c>
      <c r="U14" s="1561">
        <f t="shared" si="1"/>
        <v>100</v>
      </c>
      <c r="V14" s="1560" t="s">
        <v>8</v>
      </c>
      <c r="W14" s="1561">
        <f t="shared" si="2"/>
        <v>100</v>
      </c>
      <c r="X14" s="1562"/>
      <c r="Y14" s="3710"/>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98" t="s">
        <v>541</v>
      </c>
      <c r="Q15" s="1564" t="str">
        <f t="shared" si="6"/>
        <v>产业集聚程度</v>
      </c>
      <c r="R15" s="1565" t="s">
        <v>8</v>
      </c>
      <c r="S15" s="1566">
        <f t="shared" si="0"/>
        <v>100</v>
      </c>
      <c r="T15" s="1565" t="s">
        <v>8</v>
      </c>
      <c r="U15" s="1566">
        <f t="shared" si="1"/>
        <v>100</v>
      </c>
      <c r="V15" s="1565" t="s">
        <v>8</v>
      </c>
      <c r="W15" s="1566">
        <f t="shared" si="2"/>
        <v>100</v>
      </c>
      <c r="X15" s="1559"/>
      <c r="Y15" s="3798"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99"/>
      <c r="Q16" s="1564"/>
      <c r="R16" s="1565"/>
      <c r="S16" s="1566"/>
      <c r="T16" s="1565"/>
      <c r="U16" s="1566"/>
      <c r="V16" s="1565"/>
      <c r="W16" s="1566"/>
      <c r="X16" s="1559"/>
      <c r="Y16" s="3799"/>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99"/>
      <c r="Q17" s="1564" t="str">
        <f>B17</f>
        <v>交通便捷度</v>
      </c>
      <c r="R17" s="1565" t="s">
        <v>8</v>
      </c>
      <c r="S17" s="1566">
        <f>F17</f>
        <v>100</v>
      </c>
      <c r="T17" s="1565" t="s">
        <v>8</v>
      </c>
      <c r="U17" s="1566">
        <f>H17</f>
        <v>100</v>
      </c>
      <c r="V17" s="1565" t="s">
        <v>8</v>
      </c>
      <c r="W17" s="1566">
        <f>J17</f>
        <v>100</v>
      </c>
      <c r="X17" s="1559"/>
      <c r="Y17" s="3799"/>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99"/>
      <c r="Q18" s="1564"/>
      <c r="R18" s="1565"/>
      <c r="S18" s="1566"/>
      <c r="T18" s="1565"/>
      <c r="U18" s="1566"/>
      <c r="V18" s="1565"/>
      <c r="W18" s="1566"/>
      <c r="X18" s="1559"/>
      <c r="Y18" s="3799"/>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99"/>
      <c r="Q19" s="1564" t="str">
        <f>B19</f>
        <v>公共配套设施</v>
      </c>
      <c r="R19" s="1565" t="s">
        <v>8</v>
      </c>
      <c r="S19" s="1566">
        <f>F19</f>
        <v>100</v>
      </c>
      <c r="T19" s="1565" t="s">
        <v>8</v>
      </c>
      <c r="U19" s="1566">
        <f>H19</f>
        <v>100</v>
      </c>
      <c r="V19" s="1565" t="s">
        <v>8</v>
      </c>
      <c r="W19" s="1566">
        <f>J19</f>
        <v>100</v>
      </c>
      <c r="X19" s="1559"/>
      <c r="Y19" s="3799"/>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99"/>
      <c r="Q20" s="1564"/>
      <c r="R20" s="1565"/>
      <c r="S20" s="1566"/>
      <c r="T20" s="1565"/>
      <c r="U20" s="1566"/>
      <c r="V20" s="1565"/>
      <c r="W20" s="1566"/>
      <c r="X20" s="1559"/>
      <c r="Y20" s="3799"/>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99"/>
      <c r="Q21" s="2595" t="str">
        <f>B21</f>
        <v>基础设施水平</v>
      </c>
      <c r="R21" s="1565" t="s">
        <v>8</v>
      </c>
      <c r="S21" s="1566">
        <f>F21</f>
        <v>100</v>
      </c>
      <c r="T21" s="1565" t="s">
        <v>8</v>
      </c>
      <c r="U21" s="1566">
        <f>H21</f>
        <v>100</v>
      </c>
      <c r="V21" s="1565" t="s">
        <v>8</v>
      </c>
      <c r="W21" s="1566">
        <f>J21</f>
        <v>100</v>
      </c>
      <c r="X21" s="2597"/>
      <c r="Y21" s="3799"/>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99"/>
      <c r="Q22" s="2595"/>
      <c r="R22" s="1565"/>
      <c r="S22" s="1566"/>
      <c r="T22" s="1565"/>
      <c r="U22" s="1566"/>
      <c r="V22" s="1565"/>
      <c r="W22" s="1566"/>
      <c r="X22" s="2597"/>
      <c r="Y22" s="3799"/>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99"/>
      <c r="Q23" s="1564" t="str">
        <f>B23</f>
        <v>环境质量</v>
      </c>
      <c r="R23" s="1565" t="s">
        <v>8</v>
      </c>
      <c r="S23" s="1566">
        <f>F23</f>
        <v>100</v>
      </c>
      <c r="T23" s="1565" t="s">
        <v>8</v>
      </c>
      <c r="U23" s="1566">
        <f>H23</f>
        <v>100</v>
      </c>
      <c r="V23" s="1565" t="s">
        <v>8</v>
      </c>
      <c r="W23" s="1566">
        <f>J23</f>
        <v>100</v>
      </c>
      <c r="X23" s="1559"/>
      <c r="Y23" s="3799"/>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99"/>
      <c r="Q24" s="1564"/>
      <c r="R24" s="1565"/>
      <c r="S24" s="1566"/>
      <c r="T24" s="1565"/>
      <c r="U24" s="1566"/>
      <c r="V24" s="1565"/>
      <c r="W24" s="1566"/>
      <c r="X24" s="1559"/>
      <c r="Y24" s="3799"/>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99"/>
      <c r="Q25" s="1564">
        <f>B25</f>
        <v>111</v>
      </c>
      <c r="R25" s="1565" t="s">
        <v>8</v>
      </c>
      <c r="S25" s="1566">
        <f>F25</f>
        <v>100</v>
      </c>
      <c r="T25" s="1565" t="s">
        <v>8</v>
      </c>
      <c r="U25" s="1566">
        <f>H25</f>
        <v>100</v>
      </c>
      <c r="V25" s="1565" t="s">
        <v>8</v>
      </c>
      <c r="W25" s="1566">
        <f>J25</f>
        <v>100</v>
      </c>
      <c r="X25" s="1559"/>
      <c r="Y25" s="3799"/>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99"/>
      <c r="Q26" s="1564">
        <f t="shared" ref="Q26:Q40" si="11">B26</f>
        <v>111</v>
      </c>
      <c r="R26" s="1565" t="s">
        <v>8</v>
      </c>
      <c r="S26" s="1566">
        <f>F26</f>
        <v>100</v>
      </c>
      <c r="T26" s="1565" t="s">
        <v>8</v>
      </c>
      <c r="U26" s="1566">
        <f>H26</f>
        <v>100</v>
      </c>
      <c r="V26" s="1565" t="s">
        <v>8</v>
      </c>
      <c r="W26" s="1566">
        <f>J26</f>
        <v>100</v>
      </c>
      <c r="X26" s="1559"/>
      <c r="Y26" s="3799"/>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99"/>
      <c r="Q27" s="1144">
        <f t="shared" si="11"/>
        <v>111</v>
      </c>
      <c r="R27" s="1560" t="s">
        <v>8</v>
      </c>
      <c r="S27" s="1561">
        <f>F27</f>
        <v>100</v>
      </c>
      <c r="T27" s="1560" t="s">
        <v>8</v>
      </c>
      <c r="U27" s="1561">
        <f>H27</f>
        <v>100</v>
      </c>
      <c r="V27" s="1560" t="s">
        <v>8</v>
      </c>
      <c r="W27" s="1561">
        <f>J27</f>
        <v>100</v>
      </c>
      <c r="X27" s="1562"/>
      <c r="Y27" s="3799"/>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99"/>
      <c r="Q28" s="1564">
        <f t="shared" si="11"/>
        <v>111</v>
      </c>
      <c r="R28" s="1565" t="s">
        <v>8</v>
      </c>
      <c r="S28" s="1566">
        <f t="shared" ref="S28:S40" si="12">F28</f>
        <v>100</v>
      </c>
      <c r="T28" s="1565" t="s">
        <v>8</v>
      </c>
      <c r="U28" s="1566">
        <f t="shared" ref="U28:U40" si="13">H28</f>
        <v>100</v>
      </c>
      <c r="V28" s="1565" t="s">
        <v>8</v>
      </c>
      <c r="W28" s="1566">
        <f t="shared" ref="W28:W40" si="14">J28</f>
        <v>100</v>
      </c>
      <c r="X28" s="1559"/>
      <c r="Y28" s="3799"/>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800" t="s">
        <v>551</v>
      </c>
      <c r="Q29" s="1564" t="str">
        <f t="shared" si="11"/>
        <v>建筑类型</v>
      </c>
      <c r="R29" s="1565" t="s">
        <v>8</v>
      </c>
      <c r="S29" s="1566">
        <f t="shared" si="12"/>
        <v>100</v>
      </c>
      <c r="T29" s="1565" t="s">
        <v>8</v>
      </c>
      <c r="U29" s="1566">
        <f t="shared" si="13"/>
        <v>100</v>
      </c>
      <c r="V29" s="1565" t="s">
        <v>8</v>
      </c>
      <c r="W29" s="1566">
        <f t="shared" si="14"/>
        <v>100</v>
      </c>
      <c r="X29" s="1559"/>
      <c r="Y29" s="3801"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801"/>
      <c r="Q30" s="1597" t="str">
        <f t="shared" si="11"/>
        <v>项目建筑规模</v>
      </c>
      <c r="R30" s="1569" t="s">
        <v>8</v>
      </c>
      <c r="S30" s="1570" t="e">
        <f t="shared" si="12"/>
        <v>#N/A</v>
      </c>
      <c r="T30" s="1569" t="s">
        <v>8</v>
      </c>
      <c r="U30" s="1570" t="e">
        <f t="shared" si="13"/>
        <v>#N/A</v>
      </c>
      <c r="V30" s="1569" t="s">
        <v>8</v>
      </c>
      <c r="W30" s="1570" t="e">
        <f t="shared" si="14"/>
        <v>#N/A</v>
      </c>
      <c r="X30" s="1571"/>
      <c r="Y30" s="3801"/>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801"/>
      <c r="Q31" s="1564" t="str">
        <f t="shared" si="11"/>
        <v>建筑结构</v>
      </c>
      <c r="R31" s="1565" t="s">
        <v>8</v>
      </c>
      <c r="S31" s="1566">
        <f t="shared" si="12"/>
        <v>100</v>
      </c>
      <c r="T31" s="1565" t="s">
        <v>8</v>
      </c>
      <c r="U31" s="1566">
        <f t="shared" si="13"/>
        <v>100</v>
      </c>
      <c r="V31" s="1565" t="s">
        <v>8</v>
      </c>
      <c r="W31" s="1566">
        <f t="shared" si="14"/>
        <v>100</v>
      </c>
      <c r="X31" s="1559"/>
      <c r="Y31" s="3801"/>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801"/>
      <c r="Q32" s="1564" t="str">
        <f t="shared" si="11"/>
        <v>公共部分装修</v>
      </c>
      <c r="R32" s="1565" t="s">
        <v>8</v>
      </c>
      <c r="S32" s="1566">
        <f t="shared" si="12"/>
        <v>100</v>
      </c>
      <c r="T32" s="1565" t="s">
        <v>8</v>
      </c>
      <c r="U32" s="1566">
        <f t="shared" si="13"/>
        <v>100</v>
      </c>
      <c r="V32" s="1565" t="s">
        <v>8</v>
      </c>
      <c r="W32" s="1566">
        <f t="shared" si="14"/>
        <v>100</v>
      </c>
      <c r="X32" s="1559"/>
      <c r="Y32" s="3801"/>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801"/>
      <c r="Q33" s="1564" t="str">
        <f t="shared" si="11"/>
        <v>成新度</v>
      </c>
      <c r="R33" s="1565" t="s">
        <v>8</v>
      </c>
      <c r="S33" s="1566" t="e">
        <f t="shared" si="12"/>
        <v>#N/A</v>
      </c>
      <c r="T33" s="1565" t="s">
        <v>8</v>
      </c>
      <c r="U33" s="1566" t="e">
        <f t="shared" si="13"/>
        <v>#N/A</v>
      </c>
      <c r="V33" s="1565" t="s">
        <v>8</v>
      </c>
      <c r="W33" s="1566" t="e">
        <f t="shared" si="14"/>
        <v>#N/A</v>
      </c>
      <c r="X33" s="1559"/>
      <c r="Y33" s="3801"/>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801"/>
      <c r="Q34" s="1144" t="str">
        <f t="shared" si="11"/>
        <v>物业管理</v>
      </c>
      <c r="R34" s="1560" t="s">
        <v>8</v>
      </c>
      <c r="S34" s="1561">
        <f t="shared" si="12"/>
        <v>100</v>
      </c>
      <c r="T34" s="1560" t="s">
        <v>8</v>
      </c>
      <c r="U34" s="1561">
        <f t="shared" si="13"/>
        <v>100</v>
      </c>
      <c r="V34" s="1560" t="s">
        <v>8</v>
      </c>
      <c r="W34" s="1561">
        <f t="shared" si="14"/>
        <v>100</v>
      </c>
      <c r="X34" s="1562"/>
      <c r="Y34" s="3801"/>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801" t="s">
        <v>551</v>
      </c>
      <c r="Q35" s="1564" t="str">
        <f t="shared" si="11"/>
        <v>市政基础设施</v>
      </c>
      <c r="R35" s="1565" t="s">
        <v>8</v>
      </c>
      <c r="S35" s="1566">
        <f t="shared" si="12"/>
        <v>100</v>
      </c>
      <c r="T35" s="1565" t="s">
        <v>8</v>
      </c>
      <c r="U35" s="1566">
        <f t="shared" si="13"/>
        <v>100</v>
      </c>
      <c r="V35" s="1565" t="s">
        <v>8</v>
      </c>
      <c r="W35" s="1566">
        <f t="shared" si="14"/>
        <v>100</v>
      </c>
      <c r="X35" s="1559"/>
      <c r="Y35" s="3801"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801"/>
      <c r="Q36" s="1564" t="str">
        <f t="shared" si="11"/>
        <v>内部装修</v>
      </c>
      <c r="R36" s="1565" t="s">
        <v>8</v>
      </c>
      <c r="S36" s="1566">
        <f t="shared" si="12"/>
        <v>100</v>
      </c>
      <c r="T36" s="1565" t="s">
        <v>8</v>
      </c>
      <c r="U36" s="1566">
        <f t="shared" si="13"/>
        <v>100</v>
      </c>
      <c r="V36" s="1565" t="s">
        <v>8</v>
      </c>
      <c r="W36" s="1566">
        <f t="shared" si="14"/>
        <v>100</v>
      </c>
      <c r="X36" s="1559"/>
      <c r="Y36" s="3801"/>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801"/>
      <c r="Q37" s="1564" t="str">
        <f t="shared" si="11"/>
        <v>内部装修状况</v>
      </c>
      <c r="R37" s="1565" t="s">
        <v>8</v>
      </c>
      <c r="S37" s="1566">
        <f t="shared" si="12"/>
        <v>100</v>
      </c>
      <c r="T37" s="1565" t="s">
        <v>8</v>
      </c>
      <c r="U37" s="1566">
        <f t="shared" si="13"/>
        <v>100</v>
      </c>
      <c r="V37" s="1565" t="s">
        <v>8</v>
      </c>
      <c r="W37" s="1566">
        <f t="shared" si="14"/>
        <v>100</v>
      </c>
      <c r="X37" s="1559"/>
      <c r="Y37" s="3801"/>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801"/>
      <c r="Q38" s="1597">
        <f t="shared" si="11"/>
        <v>111</v>
      </c>
      <c r="R38" s="1569" t="s">
        <v>8</v>
      </c>
      <c r="S38" s="1570">
        <f t="shared" si="12"/>
        <v>100</v>
      </c>
      <c r="T38" s="1569" t="s">
        <v>8</v>
      </c>
      <c r="U38" s="1570">
        <f t="shared" si="13"/>
        <v>100</v>
      </c>
      <c r="V38" s="1569" t="s">
        <v>8</v>
      </c>
      <c r="W38" s="1570">
        <f t="shared" si="14"/>
        <v>100</v>
      </c>
      <c r="X38" s="1571"/>
      <c r="Y38" s="3801"/>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801"/>
      <c r="Q39" s="1564">
        <f t="shared" si="11"/>
        <v>111</v>
      </c>
      <c r="R39" s="1565" t="s">
        <v>8</v>
      </c>
      <c r="S39" s="1566">
        <f t="shared" si="12"/>
        <v>100</v>
      </c>
      <c r="T39" s="1565" t="s">
        <v>8</v>
      </c>
      <c r="U39" s="1566">
        <f t="shared" si="13"/>
        <v>100</v>
      </c>
      <c r="V39" s="1565" t="s">
        <v>8</v>
      </c>
      <c r="W39" s="1566">
        <f t="shared" si="14"/>
        <v>100</v>
      </c>
      <c r="X39" s="1559"/>
      <c r="Y39" s="3801"/>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77"/>
      <c r="Q40" s="1564">
        <f t="shared" si="11"/>
        <v>111</v>
      </c>
      <c r="R40" s="1565" t="s">
        <v>8</v>
      </c>
      <c r="S40" s="1566">
        <f t="shared" si="12"/>
        <v>100</v>
      </c>
      <c r="T40" s="1565" t="s">
        <v>8</v>
      </c>
      <c r="U40" s="1566">
        <f t="shared" si="13"/>
        <v>100</v>
      </c>
      <c r="V40" s="1565" t="s">
        <v>8</v>
      </c>
      <c r="W40" s="1566">
        <f t="shared" si="14"/>
        <v>100</v>
      </c>
      <c r="X40" s="1559"/>
      <c r="Y40" s="3877"/>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64" t="str">
        <f>A41</f>
        <v>成交单价（元/平方米）</v>
      </c>
      <c r="Q41" s="3764"/>
      <c r="R41" s="3876">
        <f>E41</f>
        <v>0</v>
      </c>
      <c r="S41" s="3876"/>
      <c r="T41" s="3876">
        <f>G41</f>
        <v>0</v>
      </c>
      <c r="U41" s="3876"/>
      <c r="V41" s="3876">
        <f>I41</f>
        <v>0</v>
      </c>
      <c r="W41" s="3876"/>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64" t="str">
        <f>A42</f>
        <v>比较价格（元/平方米）</v>
      </c>
      <c r="Q42" s="3764"/>
      <c r="R42" s="3876" t="e">
        <f>IF(F1="售价",ROUND(PRODUCT(R41,AA7:AA40),0),ROUND(PRODUCT(R41,AA7:AA40),1))</f>
        <v>#DIV/0!</v>
      </c>
      <c r="S42" s="3876"/>
      <c r="T42" s="3876" t="e">
        <f>IF(F1="售价",ROUND(PRODUCT(T41,AB7:AB40),0),ROUND(PRODUCT(T41,AB7:AB40),1))</f>
        <v>#DIV/0!</v>
      </c>
      <c r="U42" s="3876"/>
      <c r="V42" s="3876" t="e">
        <f>IF(F1="售价",ROUND(PRODUCT(V41,AC7:AC40),0),ROUND(PRODUCT(V41,AC7:AC40),1))</f>
        <v>#DIV/0!</v>
      </c>
      <c r="W42" s="3876"/>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61" t="str">
        <f>A43</f>
        <v>估价对象XX用房的比较价格（楼面单价，元/平方米）</v>
      </c>
      <c r="Q43" s="3762"/>
      <c r="R43" s="3875" t="e">
        <f>IF(F1="售价",ROUND(AVERAGE(R42:V42),0),ROUND(AVERAGE(R42:V42),1))</f>
        <v>#DIV/0!</v>
      </c>
      <c r="S43" s="3875"/>
      <c r="T43" s="3875"/>
      <c r="U43" s="3875"/>
      <c r="V43" s="3875"/>
      <c r="W43" s="3875"/>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2020-4</v>
      </c>
      <c r="D52" s="2821">
        <f>EDATE(C52,-1)</f>
        <v>43891</v>
      </c>
      <c r="E52" s="2821">
        <f t="shared" ref="E52:O52" si="16">EDATE(D52,-1)</f>
        <v>43862</v>
      </c>
      <c r="F52" s="2821">
        <f t="shared" si="16"/>
        <v>43831</v>
      </c>
      <c r="G52" s="2821">
        <f t="shared" si="16"/>
        <v>43800</v>
      </c>
      <c r="H52" s="2821">
        <f t="shared" si="16"/>
        <v>43770</v>
      </c>
      <c r="I52" s="2821">
        <f t="shared" si="16"/>
        <v>43739</v>
      </c>
      <c r="J52" s="2821">
        <f t="shared" si="16"/>
        <v>43709</v>
      </c>
      <c r="K52" s="2821">
        <f t="shared" si="16"/>
        <v>43678</v>
      </c>
      <c r="L52" s="2821">
        <f t="shared" si="16"/>
        <v>43647</v>
      </c>
      <c r="M52" s="2821">
        <f t="shared" si="16"/>
        <v>43617</v>
      </c>
      <c r="N52" s="2821">
        <f t="shared" si="16"/>
        <v>43586</v>
      </c>
      <c r="O52" s="2821">
        <f t="shared" si="16"/>
        <v>43556</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0" t="s">
        <v>799</v>
      </c>
      <c r="D4" s="3771"/>
      <c r="E4" s="3770" t="s">
        <v>800</v>
      </c>
      <c r="F4" s="3771"/>
      <c r="G4" s="3770" t="s">
        <v>801</v>
      </c>
      <c r="H4" s="3771"/>
      <c r="I4" s="3770" t="s">
        <v>802</v>
      </c>
      <c r="J4" s="3771"/>
      <c r="K4" s="512" t="s">
        <v>803</v>
      </c>
      <c r="L4" s="2125"/>
      <c r="M4" s="2126"/>
      <c r="N4" s="2126"/>
      <c r="O4" s="2126"/>
      <c r="P4" s="3772" t="s">
        <v>804</v>
      </c>
      <c r="Q4" s="3773"/>
      <c r="R4" s="3778" t="s">
        <v>800</v>
      </c>
      <c r="S4" s="3779"/>
      <c r="T4" s="3778" t="s">
        <v>801</v>
      </c>
      <c r="U4" s="3779"/>
      <c r="V4" s="3765" t="s">
        <v>802</v>
      </c>
      <c r="W4" s="3765"/>
      <c r="X4" s="1559"/>
      <c r="Y4" s="3778" t="s">
        <v>804</v>
      </c>
      <c r="Z4" s="3779"/>
      <c r="AA4" s="3767" t="s">
        <v>800</v>
      </c>
      <c r="AB4" s="3768" t="s">
        <v>801</v>
      </c>
      <c r="AC4" s="3767" t="s">
        <v>802</v>
      </c>
    </row>
    <row r="5" spans="1:29" ht="15">
      <c r="A5" s="513"/>
      <c r="B5" s="514"/>
      <c r="C5" s="3786" t="s">
        <v>2929</v>
      </c>
      <c r="D5" s="3787"/>
      <c r="E5" s="3786" t="s">
        <v>2930</v>
      </c>
      <c r="F5" s="3787"/>
      <c r="G5" s="3786" t="s">
        <v>2931</v>
      </c>
      <c r="H5" s="3787"/>
      <c r="I5" s="3786" t="s">
        <v>2932</v>
      </c>
      <c r="J5" s="3787"/>
      <c r="K5" s="512"/>
      <c r="L5" s="2125"/>
      <c r="M5" s="2126"/>
      <c r="N5" s="2126"/>
      <c r="O5" s="2126"/>
      <c r="P5" s="3774"/>
      <c r="Q5" s="3775"/>
      <c r="R5" s="3780"/>
      <c r="S5" s="3781"/>
      <c r="T5" s="3780"/>
      <c r="U5" s="3781"/>
      <c r="V5" s="3765"/>
      <c r="W5" s="3765"/>
      <c r="X5" s="1559"/>
      <c r="Y5" s="3780"/>
      <c r="Z5" s="3781"/>
      <c r="AA5" s="3768"/>
      <c r="AB5" s="3768"/>
      <c r="AC5" s="3768"/>
    </row>
    <row r="6" spans="1:29" ht="15.75" thickBot="1">
      <c r="A6" s="515"/>
      <c r="B6" s="516"/>
      <c r="C6" s="3784" t="s">
        <v>2933</v>
      </c>
      <c r="D6" s="3785"/>
      <c r="E6" s="3788" t="s">
        <v>2933</v>
      </c>
      <c r="F6" s="3789"/>
      <c r="G6" s="3784" t="s">
        <v>2933</v>
      </c>
      <c r="H6" s="3785"/>
      <c r="I6" s="3784" t="s">
        <v>2933</v>
      </c>
      <c r="J6" s="3785"/>
      <c r="K6" s="512" t="s">
        <v>529</v>
      </c>
      <c r="L6" s="2125"/>
      <c r="M6" s="2126"/>
      <c r="N6" s="2126"/>
      <c r="O6" s="2126"/>
      <c r="P6" s="3776"/>
      <c r="Q6" s="3777"/>
      <c r="R6" s="3780"/>
      <c r="S6" s="3781"/>
      <c r="T6" s="3782"/>
      <c r="U6" s="3783"/>
      <c r="V6" s="3765"/>
      <c r="W6" s="3765"/>
      <c r="X6" s="1559"/>
      <c r="Y6" s="3782"/>
      <c r="Z6" s="3783"/>
      <c r="AA6" s="3769"/>
      <c r="AB6" s="3769"/>
      <c r="AC6" s="3769"/>
    </row>
    <row r="7" spans="1:29" s="1213" customFormat="1" ht="15.75" thickBot="1">
      <c r="A7" s="2928"/>
      <c r="B7" s="2935" t="s">
        <v>530</v>
      </c>
      <c r="C7" s="517">
        <f>'数据-取费表'!B2</f>
        <v>43923</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95" t="s">
        <v>531</v>
      </c>
      <c r="Q7" s="3797"/>
      <c r="R7" s="1560" t="s">
        <v>8</v>
      </c>
      <c r="S7" s="1561">
        <f t="shared" ref="S7:S14" si="0">F7</f>
        <v>0</v>
      </c>
      <c r="T7" s="1560" t="s">
        <v>8</v>
      </c>
      <c r="U7" s="1561">
        <f t="shared" ref="U7:U14" si="1">H7</f>
        <v>0</v>
      </c>
      <c r="V7" s="1560" t="s">
        <v>8</v>
      </c>
      <c r="W7" s="1561">
        <f t="shared" ref="W7:W14" si="2">J7</f>
        <v>0</v>
      </c>
      <c r="X7" s="1562"/>
      <c r="Y7" s="3795" t="s">
        <v>531</v>
      </c>
      <c r="Z7" s="3796"/>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95" t="s">
        <v>534</v>
      </c>
      <c r="Q8" s="3796"/>
      <c r="R8" s="1560" t="s">
        <v>8</v>
      </c>
      <c r="S8" s="1561">
        <f t="shared" si="0"/>
        <v>0</v>
      </c>
      <c r="T8" s="1560" t="s">
        <v>8</v>
      </c>
      <c r="U8" s="1561">
        <f t="shared" si="1"/>
        <v>0</v>
      </c>
      <c r="V8" s="1560" t="s">
        <v>8</v>
      </c>
      <c r="W8" s="1561">
        <f t="shared" si="2"/>
        <v>0</v>
      </c>
      <c r="X8" s="1562"/>
      <c r="Y8" s="3795" t="s">
        <v>534</v>
      </c>
      <c r="Z8" s="3796"/>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64" t="s">
        <v>536</v>
      </c>
      <c r="Q9" s="1144" t="str">
        <f t="shared" ref="Q9:Q14" si="6">B9</f>
        <v>用途</v>
      </c>
      <c r="R9" s="1560" t="s">
        <v>8</v>
      </c>
      <c r="S9" s="1561">
        <f t="shared" si="0"/>
        <v>100</v>
      </c>
      <c r="T9" s="1560" t="s">
        <v>8</v>
      </c>
      <c r="U9" s="1561">
        <f t="shared" si="1"/>
        <v>100</v>
      </c>
      <c r="V9" s="1560" t="s">
        <v>8</v>
      </c>
      <c r="W9" s="1561">
        <f t="shared" si="2"/>
        <v>100</v>
      </c>
      <c r="X9" s="1562"/>
      <c r="Y9" s="3710"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64"/>
      <c r="Q11" s="1144">
        <f t="shared" si="6"/>
        <v>111</v>
      </c>
      <c r="R11" s="1560" t="s">
        <v>8</v>
      </c>
      <c r="S11" s="1561">
        <f t="shared" si="0"/>
        <v>100</v>
      </c>
      <c r="T11" s="1560" t="s">
        <v>8</v>
      </c>
      <c r="U11" s="1561">
        <f t="shared" si="1"/>
        <v>100</v>
      </c>
      <c r="V11" s="1560" t="s">
        <v>8</v>
      </c>
      <c r="W11" s="1561">
        <f t="shared" si="2"/>
        <v>100</v>
      </c>
      <c r="X11" s="1562"/>
      <c r="Y11" s="3710"/>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64"/>
      <c r="Q12" s="1144">
        <f t="shared" si="6"/>
        <v>111</v>
      </c>
      <c r="R12" s="1560" t="s">
        <v>8</v>
      </c>
      <c r="S12" s="1561">
        <f t="shared" si="0"/>
        <v>100</v>
      </c>
      <c r="T12" s="1560" t="s">
        <v>8</v>
      </c>
      <c r="U12" s="1561">
        <f t="shared" si="1"/>
        <v>100</v>
      </c>
      <c r="V12" s="1560" t="s">
        <v>8</v>
      </c>
      <c r="W12" s="1561">
        <f t="shared" si="2"/>
        <v>100</v>
      </c>
      <c r="X12" s="1562"/>
      <c r="Y12" s="3710"/>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64"/>
      <c r="Q13" s="1144">
        <f t="shared" si="6"/>
        <v>111</v>
      </c>
      <c r="R13" s="1560" t="s">
        <v>8</v>
      </c>
      <c r="S13" s="1561">
        <f t="shared" si="0"/>
        <v>100</v>
      </c>
      <c r="T13" s="1560" t="s">
        <v>8</v>
      </c>
      <c r="U13" s="1561">
        <f t="shared" si="1"/>
        <v>100</v>
      </c>
      <c r="V13" s="1560" t="s">
        <v>8</v>
      </c>
      <c r="W13" s="1561">
        <f t="shared" si="2"/>
        <v>100</v>
      </c>
      <c r="X13" s="1562"/>
      <c r="Y13" s="3710"/>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98" t="s">
        <v>541</v>
      </c>
      <c r="Q14" s="1564" t="str">
        <f t="shared" si="6"/>
        <v>交通便捷度</v>
      </c>
      <c r="R14" s="1565" t="s">
        <v>8</v>
      </c>
      <c r="S14" s="1566">
        <f t="shared" si="0"/>
        <v>100</v>
      </c>
      <c r="T14" s="1565" t="s">
        <v>8</v>
      </c>
      <c r="U14" s="1566">
        <f t="shared" si="1"/>
        <v>100</v>
      </c>
      <c r="V14" s="1565" t="s">
        <v>8</v>
      </c>
      <c r="W14" s="1566">
        <f t="shared" si="2"/>
        <v>100</v>
      </c>
      <c r="X14" s="1559"/>
      <c r="Y14" s="3798"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99"/>
      <c r="Q15" s="1564"/>
      <c r="R15" s="1565"/>
      <c r="S15" s="1566"/>
      <c r="T15" s="1565"/>
      <c r="U15" s="1566"/>
      <c r="V15" s="1565"/>
      <c r="W15" s="1566"/>
      <c r="X15" s="1559"/>
      <c r="Y15" s="3799"/>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99"/>
      <c r="Q16" s="1564" t="str">
        <f>B16</f>
        <v>公共配套设施</v>
      </c>
      <c r="R16" s="1565" t="s">
        <v>8</v>
      </c>
      <c r="S16" s="1566">
        <f>F16</f>
        <v>100</v>
      </c>
      <c r="T16" s="1565" t="s">
        <v>8</v>
      </c>
      <c r="U16" s="1566">
        <f>H16</f>
        <v>100</v>
      </c>
      <c r="V16" s="1565" t="s">
        <v>8</v>
      </c>
      <c r="W16" s="1566">
        <f>J16</f>
        <v>100</v>
      </c>
      <c r="X16" s="1559"/>
      <c r="Y16" s="3799"/>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99"/>
      <c r="Q17" s="1564"/>
      <c r="R17" s="1565"/>
      <c r="S17" s="1566"/>
      <c r="T17" s="1565"/>
      <c r="U17" s="1566"/>
      <c r="V17" s="1565"/>
      <c r="W17" s="1566"/>
      <c r="X17" s="1559"/>
      <c r="Y17" s="3799"/>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99"/>
      <c r="Q18" s="2595" t="str">
        <f>B18</f>
        <v>基础设施水平</v>
      </c>
      <c r="R18" s="1565" t="s">
        <v>8</v>
      </c>
      <c r="S18" s="1566">
        <f>F18</f>
        <v>100</v>
      </c>
      <c r="T18" s="1565" t="s">
        <v>8</v>
      </c>
      <c r="U18" s="1566">
        <f>H18</f>
        <v>100</v>
      </c>
      <c r="V18" s="1565" t="s">
        <v>8</v>
      </c>
      <c r="W18" s="1566">
        <f>J18</f>
        <v>100</v>
      </c>
      <c r="X18" s="2597"/>
      <c r="Y18" s="3799"/>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99"/>
      <c r="Q19" s="2595"/>
      <c r="R19" s="1565"/>
      <c r="S19" s="1566"/>
      <c r="T19" s="1565"/>
      <c r="U19" s="1566"/>
      <c r="V19" s="1565"/>
      <c r="W19" s="1566"/>
      <c r="X19" s="2597"/>
      <c r="Y19" s="3799"/>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99"/>
      <c r="Q20" s="1564" t="str">
        <f>B20</f>
        <v>自然及人文环境</v>
      </c>
      <c r="R20" s="1565" t="s">
        <v>8</v>
      </c>
      <c r="S20" s="1566">
        <f>F20</f>
        <v>100</v>
      </c>
      <c r="T20" s="1565" t="s">
        <v>8</v>
      </c>
      <c r="U20" s="1566">
        <f>H20</f>
        <v>100</v>
      </c>
      <c r="V20" s="1565" t="s">
        <v>8</v>
      </c>
      <c r="W20" s="1566">
        <f>J20</f>
        <v>100</v>
      </c>
      <c r="X20" s="1559"/>
      <c r="Y20" s="3799"/>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99"/>
      <c r="Q21" s="1564"/>
      <c r="R21" s="1565"/>
      <c r="S21" s="1566"/>
      <c r="T21" s="1565"/>
      <c r="U21" s="1566"/>
      <c r="V21" s="1565"/>
      <c r="W21" s="1566"/>
      <c r="X21" s="1559"/>
      <c r="Y21" s="3799"/>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99"/>
      <c r="Q22" s="1564" t="str">
        <f>B22</f>
        <v>楼层</v>
      </c>
      <c r="R22" s="1565" t="s">
        <v>8</v>
      </c>
      <c r="S22" s="1566">
        <f>F22</f>
        <v>100</v>
      </c>
      <c r="T22" s="1565" t="s">
        <v>8</v>
      </c>
      <c r="U22" s="1566">
        <f>H22</f>
        <v>100</v>
      </c>
      <c r="V22" s="1565" t="s">
        <v>8</v>
      </c>
      <c r="W22" s="1566">
        <f>J22</f>
        <v>100</v>
      </c>
      <c r="X22" s="1559"/>
      <c r="Y22" s="3799"/>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99"/>
      <c r="Q23" s="1564">
        <f>B23</f>
        <v>111</v>
      </c>
      <c r="R23" s="1565" t="s">
        <v>8</v>
      </c>
      <c r="S23" s="1566">
        <f>F23</f>
        <v>100</v>
      </c>
      <c r="T23" s="1565" t="s">
        <v>8</v>
      </c>
      <c r="U23" s="1566">
        <f>H23</f>
        <v>100</v>
      </c>
      <c r="V23" s="1565" t="s">
        <v>8</v>
      </c>
      <c r="W23" s="1566">
        <f>J23</f>
        <v>100</v>
      </c>
      <c r="X23" s="1559"/>
      <c r="Y23" s="3799"/>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99"/>
      <c r="Q24" s="1564">
        <f t="shared" ref="Q24:Q36" si="11">B24</f>
        <v>111</v>
      </c>
      <c r="R24" s="1565" t="s">
        <v>8</v>
      </c>
      <c r="S24" s="1566">
        <f>F24</f>
        <v>100</v>
      </c>
      <c r="T24" s="1565" t="s">
        <v>8</v>
      </c>
      <c r="U24" s="1566">
        <f>H24</f>
        <v>100</v>
      </c>
      <c r="V24" s="1565" t="s">
        <v>8</v>
      </c>
      <c r="W24" s="1566">
        <f>J24</f>
        <v>100</v>
      </c>
      <c r="X24" s="1559"/>
      <c r="Y24" s="3799"/>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99"/>
      <c r="Q25" s="1144">
        <f t="shared" si="11"/>
        <v>111</v>
      </c>
      <c r="R25" s="1560" t="s">
        <v>8</v>
      </c>
      <c r="S25" s="1561">
        <f>F25</f>
        <v>100</v>
      </c>
      <c r="T25" s="1560" t="s">
        <v>8</v>
      </c>
      <c r="U25" s="1561">
        <f>H25</f>
        <v>100</v>
      </c>
      <c r="V25" s="1560" t="s">
        <v>8</v>
      </c>
      <c r="W25" s="1561">
        <f>J25</f>
        <v>100</v>
      </c>
      <c r="X25" s="1562"/>
      <c r="Y25" s="3799"/>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800"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801"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801"/>
      <c r="Q27" s="1597" t="str">
        <f t="shared" si="11"/>
        <v>项目停车位配比</v>
      </c>
      <c r="R27" s="1569" t="s">
        <v>8</v>
      </c>
      <c r="S27" s="1570">
        <f t="shared" si="12"/>
        <v>100</v>
      </c>
      <c r="T27" s="1569" t="s">
        <v>8</v>
      </c>
      <c r="U27" s="1570">
        <f t="shared" si="13"/>
        <v>100</v>
      </c>
      <c r="V27" s="1569" t="s">
        <v>8</v>
      </c>
      <c r="W27" s="1570">
        <f t="shared" si="14"/>
        <v>100</v>
      </c>
      <c r="X27" s="1571"/>
      <c r="Y27" s="3801"/>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801"/>
      <c r="Q28" s="1564" t="str">
        <f t="shared" si="11"/>
        <v>公共部分装修</v>
      </c>
      <c r="R28" s="1565" t="s">
        <v>8</v>
      </c>
      <c r="S28" s="1566">
        <f t="shared" si="12"/>
        <v>100</v>
      </c>
      <c r="T28" s="1565" t="s">
        <v>8</v>
      </c>
      <c r="U28" s="1566">
        <f t="shared" si="13"/>
        <v>100</v>
      </c>
      <c r="V28" s="1565" t="s">
        <v>8</v>
      </c>
      <c r="W28" s="1566">
        <f t="shared" si="14"/>
        <v>100</v>
      </c>
      <c r="X28" s="1559"/>
      <c r="Y28" s="3801"/>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801"/>
      <c r="Q29" s="1564" t="str">
        <f t="shared" si="11"/>
        <v>成新率</v>
      </c>
      <c r="R29" s="1565" t="s">
        <v>8</v>
      </c>
      <c r="S29" s="1566" t="e">
        <f t="shared" si="12"/>
        <v>#N/A</v>
      </c>
      <c r="T29" s="1565" t="s">
        <v>8</v>
      </c>
      <c r="U29" s="1566" t="e">
        <f t="shared" si="13"/>
        <v>#N/A</v>
      </c>
      <c r="V29" s="1565" t="s">
        <v>8</v>
      </c>
      <c r="W29" s="1566" t="e">
        <f t="shared" si="14"/>
        <v>#N/A</v>
      </c>
      <c r="X29" s="1559"/>
      <c r="Y29" s="3801"/>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801"/>
      <c r="Q30" s="1564" t="str">
        <f t="shared" si="11"/>
        <v>物业等级</v>
      </c>
      <c r="R30" s="1565" t="s">
        <v>8</v>
      </c>
      <c r="S30" s="1566">
        <f t="shared" si="12"/>
        <v>100</v>
      </c>
      <c r="T30" s="1565" t="s">
        <v>8</v>
      </c>
      <c r="U30" s="1566">
        <f t="shared" si="13"/>
        <v>100</v>
      </c>
      <c r="V30" s="1565" t="s">
        <v>8</v>
      </c>
      <c r="W30" s="1566">
        <f t="shared" si="14"/>
        <v>100</v>
      </c>
      <c r="X30" s="1559"/>
      <c r="Y30" s="3801"/>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801"/>
      <c r="Q31" s="1144" t="str">
        <f t="shared" si="11"/>
        <v>停车位面积</v>
      </c>
      <c r="R31" s="1560" t="s">
        <v>8</v>
      </c>
      <c r="S31" s="1561" t="e">
        <f t="shared" si="12"/>
        <v>#N/A</v>
      </c>
      <c r="T31" s="1560" t="s">
        <v>8</v>
      </c>
      <c r="U31" s="1561" t="e">
        <f t="shared" si="13"/>
        <v>#N/A</v>
      </c>
      <c r="V31" s="1560" t="s">
        <v>8</v>
      </c>
      <c r="W31" s="1561" t="e">
        <f t="shared" si="14"/>
        <v>#N/A</v>
      </c>
      <c r="X31" s="1562"/>
      <c r="Y31" s="3801"/>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801" t="s">
        <v>551</v>
      </c>
      <c r="Q32" s="1564" t="str">
        <f t="shared" si="11"/>
        <v>车位类型</v>
      </c>
      <c r="R32" s="1565" t="s">
        <v>8</v>
      </c>
      <c r="S32" s="1566">
        <f t="shared" si="12"/>
        <v>100</v>
      </c>
      <c r="T32" s="1565" t="s">
        <v>8</v>
      </c>
      <c r="U32" s="1566">
        <f t="shared" si="13"/>
        <v>100</v>
      </c>
      <c r="V32" s="1565" t="s">
        <v>8</v>
      </c>
      <c r="W32" s="1566">
        <f t="shared" si="14"/>
        <v>100</v>
      </c>
      <c r="X32" s="1559"/>
      <c r="Y32" s="3801"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801"/>
      <c r="Q33" s="1564" t="str">
        <f t="shared" si="11"/>
        <v>是否直接入户</v>
      </c>
      <c r="R33" s="1565" t="s">
        <v>8</v>
      </c>
      <c r="S33" s="1566">
        <f t="shared" si="12"/>
        <v>100</v>
      </c>
      <c r="T33" s="1565" t="s">
        <v>8</v>
      </c>
      <c r="U33" s="1566">
        <f t="shared" si="13"/>
        <v>100</v>
      </c>
      <c r="V33" s="1565" t="s">
        <v>8</v>
      </c>
      <c r="W33" s="1566">
        <f t="shared" si="14"/>
        <v>100</v>
      </c>
      <c r="X33" s="1559"/>
      <c r="Y33" s="3801"/>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801"/>
      <c r="Q34" s="1564">
        <f t="shared" si="11"/>
        <v>111</v>
      </c>
      <c r="R34" s="1565" t="s">
        <v>8</v>
      </c>
      <c r="S34" s="1566">
        <f t="shared" si="12"/>
        <v>100</v>
      </c>
      <c r="T34" s="1565" t="s">
        <v>8</v>
      </c>
      <c r="U34" s="1566">
        <f t="shared" si="13"/>
        <v>100</v>
      </c>
      <c r="V34" s="1565" t="s">
        <v>8</v>
      </c>
      <c r="W34" s="1566">
        <f t="shared" si="14"/>
        <v>100</v>
      </c>
      <c r="X34" s="1559"/>
      <c r="Y34" s="3801"/>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801"/>
      <c r="Q35" s="1597">
        <f t="shared" si="11"/>
        <v>111</v>
      </c>
      <c r="R35" s="1569" t="s">
        <v>8</v>
      </c>
      <c r="S35" s="1570">
        <f t="shared" si="12"/>
        <v>100</v>
      </c>
      <c r="T35" s="1569" t="s">
        <v>8</v>
      </c>
      <c r="U35" s="1570">
        <f t="shared" si="13"/>
        <v>100</v>
      </c>
      <c r="V35" s="1569" t="s">
        <v>8</v>
      </c>
      <c r="W35" s="1570">
        <f t="shared" si="14"/>
        <v>100</v>
      </c>
      <c r="X35" s="1571"/>
      <c r="Y35" s="3801"/>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801"/>
      <c r="Q36" s="1564">
        <f t="shared" si="11"/>
        <v>111</v>
      </c>
      <c r="R36" s="1565" t="s">
        <v>8</v>
      </c>
      <c r="S36" s="1566">
        <f t="shared" si="12"/>
        <v>100</v>
      </c>
      <c r="T36" s="1565" t="s">
        <v>8</v>
      </c>
      <c r="U36" s="1566">
        <f t="shared" si="13"/>
        <v>100</v>
      </c>
      <c r="V36" s="1565" t="s">
        <v>8</v>
      </c>
      <c r="W36" s="1566">
        <f t="shared" si="14"/>
        <v>100</v>
      </c>
      <c r="X36" s="1559"/>
      <c r="Y36" s="3801"/>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64" t="str">
        <f>A37</f>
        <v>成交单价</v>
      </c>
      <c r="Q37" s="3764"/>
      <c r="R37" s="3876">
        <f>E37</f>
        <v>0</v>
      </c>
      <c r="S37" s="3876"/>
      <c r="T37" s="3876">
        <f>G37</f>
        <v>0</v>
      </c>
      <c r="U37" s="3876"/>
      <c r="V37" s="3876">
        <f>I37</f>
        <v>0</v>
      </c>
      <c r="W37" s="3876"/>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64" t="str">
        <f>A38</f>
        <v>比较价格（元/平方米）</v>
      </c>
      <c r="Q38" s="3764"/>
      <c r="R38" s="3876" t="e">
        <f>IF(F1="售价",ROUND(PRODUCT(R37,AA7:AA36),0),ROUND(PRODUCT(R37,AA7:AA36),1))</f>
        <v>#DIV/0!</v>
      </c>
      <c r="S38" s="3876"/>
      <c r="T38" s="3876" t="e">
        <f>IF(F1="售价",ROUND(PRODUCT(T37,AB7:AB36),0),ROUND(PRODUCT(T37,AB7:AB36),1))</f>
        <v>#DIV/0!</v>
      </c>
      <c r="U38" s="3876"/>
      <c r="V38" s="3876" t="e">
        <f>IF(F1="售价",ROUND(PRODUCT(V37,AC7:AC36),0),ROUND(PRODUCT(V37,AC7:AC36),1))</f>
        <v>#DIV/0!</v>
      </c>
      <c r="W38" s="3876"/>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61" t="str">
        <f>A39</f>
        <v>估价对象XX用房的比较价格（楼面单价，元/平方米）</v>
      </c>
      <c r="Q39" s="3762"/>
      <c r="R39" s="3875" t="e">
        <f>IF(F1="售价",ROUND(AVERAGE(R38:V38),0),ROUND(AVERAGE(R38:V38),1))</f>
        <v>#DIV/0!</v>
      </c>
      <c r="S39" s="3875"/>
      <c r="T39" s="3875"/>
      <c r="U39" s="3875"/>
      <c r="V39" s="3875"/>
      <c r="W39" s="3875"/>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2020-4</v>
      </c>
      <c r="D48" s="2821">
        <f>EDATE(C48,-1)</f>
        <v>43891</v>
      </c>
      <c r="E48" s="2821">
        <f t="shared" ref="E48:O48" si="16">EDATE(D48,-1)</f>
        <v>43862</v>
      </c>
      <c r="F48" s="2821">
        <f t="shared" si="16"/>
        <v>43831</v>
      </c>
      <c r="G48" s="2821">
        <f t="shared" si="16"/>
        <v>43800</v>
      </c>
      <c r="H48" s="2821">
        <f t="shared" si="16"/>
        <v>43770</v>
      </c>
      <c r="I48" s="2821">
        <f t="shared" si="16"/>
        <v>43739</v>
      </c>
      <c r="J48" s="2821">
        <f t="shared" si="16"/>
        <v>43709</v>
      </c>
      <c r="K48" s="2821">
        <f t="shared" si="16"/>
        <v>43678</v>
      </c>
      <c r="L48" s="2821">
        <f t="shared" si="16"/>
        <v>43647</v>
      </c>
      <c r="M48" s="2821">
        <f t="shared" si="16"/>
        <v>43617</v>
      </c>
      <c r="N48" s="2821">
        <f t="shared" si="16"/>
        <v>43586</v>
      </c>
      <c r="O48" s="2821">
        <f t="shared" si="16"/>
        <v>43556</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70" t="s">
        <v>799</v>
      </c>
      <c r="D4" s="3771"/>
      <c r="E4" s="3805" t="s">
        <v>800</v>
      </c>
      <c r="F4" s="3806"/>
      <c r="G4" s="3770" t="s">
        <v>801</v>
      </c>
      <c r="H4" s="3771"/>
      <c r="I4" s="3770" t="s">
        <v>802</v>
      </c>
      <c r="J4" s="3771"/>
      <c r="K4" s="512" t="s">
        <v>803</v>
      </c>
      <c r="L4" s="2125"/>
      <c r="M4" s="2126"/>
      <c r="N4" s="2126"/>
      <c r="O4" s="2126"/>
      <c r="P4" s="3772" t="s">
        <v>804</v>
      </c>
      <c r="Q4" s="3773"/>
      <c r="R4" s="3778" t="s">
        <v>800</v>
      </c>
      <c r="S4" s="3779"/>
      <c r="T4" s="3778" t="s">
        <v>801</v>
      </c>
      <c r="U4" s="3779"/>
      <c r="V4" s="3765" t="s">
        <v>802</v>
      </c>
      <c r="W4" s="3765"/>
      <c r="X4" s="1559"/>
      <c r="Y4" s="3778" t="s">
        <v>804</v>
      </c>
      <c r="Z4" s="3779"/>
      <c r="AA4" s="3767" t="s">
        <v>800</v>
      </c>
      <c r="AB4" s="3768" t="s">
        <v>801</v>
      </c>
      <c r="AC4" s="3767" t="s">
        <v>802</v>
      </c>
    </row>
    <row r="5" spans="1:29" ht="15">
      <c r="A5" s="513"/>
      <c r="B5" s="514"/>
      <c r="C5" s="3786" t="s">
        <v>2929</v>
      </c>
      <c r="D5" s="3787"/>
      <c r="E5" s="3807" t="s">
        <v>2930</v>
      </c>
      <c r="F5" s="3808"/>
      <c r="G5" s="3786" t="s">
        <v>2931</v>
      </c>
      <c r="H5" s="3787"/>
      <c r="I5" s="3786" t="s">
        <v>2932</v>
      </c>
      <c r="J5" s="3787"/>
      <c r="K5" s="512"/>
      <c r="L5" s="2125"/>
      <c r="M5" s="2126"/>
      <c r="N5" s="2126"/>
      <c r="O5" s="2126"/>
      <c r="P5" s="3774"/>
      <c r="Q5" s="3775"/>
      <c r="R5" s="3780"/>
      <c r="S5" s="3781"/>
      <c r="T5" s="3780"/>
      <c r="U5" s="3781"/>
      <c r="V5" s="3765"/>
      <c r="W5" s="3765"/>
      <c r="X5" s="1559"/>
      <c r="Y5" s="3780"/>
      <c r="Z5" s="3781"/>
      <c r="AA5" s="3768"/>
      <c r="AB5" s="3768"/>
      <c r="AC5" s="3768"/>
    </row>
    <row r="6" spans="1:29" ht="15.75" thickBot="1">
      <c r="A6" s="515"/>
      <c r="B6" s="516"/>
      <c r="C6" s="3784" t="s">
        <v>2933</v>
      </c>
      <c r="D6" s="3785"/>
      <c r="E6" s="3803" t="s">
        <v>2933</v>
      </c>
      <c r="F6" s="3804"/>
      <c r="G6" s="3784" t="s">
        <v>2933</v>
      </c>
      <c r="H6" s="3785"/>
      <c r="I6" s="3784" t="s">
        <v>2933</v>
      </c>
      <c r="J6" s="3785"/>
      <c r="K6" s="512" t="s">
        <v>529</v>
      </c>
      <c r="L6" s="2125"/>
      <c r="M6" s="2126"/>
      <c r="N6" s="2126"/>
      <c r="O6" s="2126"/>
      <c r="P6" s="3776"/>
      <c r="Q6" s="3777"/>
      <c r="R6" s="3780"/>
      <c r="S6" s="3781"/>
      <c r="T6" s="3782"/>
      <c r="U6" s="3783"/>
      <c r="V6" s="3765"/>
      <c r="W6" s="3765"/>
      <c r="X6" s="1559"/>
      <c r="Y6" s="3782"/>
      <c r="Z6" s="3783"/>
      <c r="AA6" s="3769"/>
      <c r="AB6" s="3769"/>
      <c r="AC6" s="3769"/>
    </row>
    <row r="7" spans="1:29" s="1213" customFormat="1" ht="15.75" thickBot="1">
      <c r="A7" s="2928"/>
      <c r="B7" s="2935" t="s">
        <v>530</v>
      </c>
      <c r="C7" s="517">
        <f>'数据-取费表'!B2</f>
        <v>43923</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95" t="s">
        <v>531</v>
      </c>
      <c r="Q7" s="3797"/>
      <c r="R7" s="1560" t="s">
        <v>8</v>
      </c>
      <c r="S7" s="1561">
        <f t="shared" ref="S7:S14" si="0">F7</f>
        <v>0</v>
      </c>
      <c r="T7" s="1560" t="s">
        <v>8</v>
      </c>
      <c r="U7" s="1561">
        <f t="shared" ref="U7:U14" si="1">H7</f>
        <v>0</v>
      </c>
      <c r="V7" s="1560" t="s">
        <v>8</v>
      </c>
      <c r="W7" s="1561">
        <f t="shared" ref="W7:W14" si="2">J7</f>
        <v>0</v>
      </c>
      <c r="X7" s="1562"/>
      <c r="Y7" s="3795" t="s">
        <v>531</v>
      </c>
      <c r="Z7" s="3796"/>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95" t="s">
        <v>534</v>
      </c>
      <c r="Q8" s="3796"/>
      <c r="R8" s="1560" t="s">
        <v>8</v>
      </c>
      <c r="S8" s="1561">
        <f t="shared" si="0"/>
        <v>0</v>
      </c>
      <c r="T8" s="1560" t="s">
        <v>8</v>
      </c>
      <c r="U8" s="1561">
        <f t="shared" si="1"/>
        <v>0</v>
      </c>
      <c r="V8" s="1560" t="s">
        <v>8</v>
      </c>
      <c r="W8" s="1561">
        <f t="shared" si="2"/>
        <v>0</v>
      </c>
      <c r="X8" s="1562"/>
      <c r="Y8" s="3795" t="s">
        <v>534</v>
      </c>
      <c r="Z8" s="3796"/>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64" t="s">
        <v>536</v>
      </c>
      <c r="Q9" s="1144" t="str">
        <f t="shared" ref="Q9:Q14" si="6">B9</f>
        <v>用途</v>
      </c>
      <c r="R9" s="1560" t="s">
        <v>8</v>
      </c>
      <c r="S9" s="1561">
        <f t="shared" si="0"/>
        <v>100</v>
      </c>
      <c r="T9" s="1560" t="s">
        <v>8</v>
      </c>
      <c r="U9" s="1561">
        <f t="shared" si="1"/>
        <v>100</v>
      </c>
      <c r="V9" s="1560" t="s">
        <v>8</v>
      </c>
      <c r="W9" s="1561">
        <f t="shared" si="2"/>
        <v>100</v>
      </c>
      <c r="X9" s="1562"/>
      <c r="Y9" s="3710"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64"/>
      <c r="Q10" s="1144" t="str">
        <f t="shared" si="6"/>
        <v>土地使用年限（年）</v>
      </c>
      <c r="R10" s="1560" t="s">
        <v>8</v>
      </c>
      <c r="S10" s="1561">
        <f t="shared" si="0"/>
        <v>100</v>
      </c>
      <c r="T10" s="1560" t="s">
        <v>8</v>
      </c>
      <c r="U10" s="1561">
        <f t="shared" si="1"/>
        <v>100</v>
      </c>
      <c r="V10" s="1560" t="s">
        <v>8</v>
      </c>
      <c r="W10" s="1561">
        <f t="shared" si="2"/>
        <v>100</v>
      </c>
      <c r="X10" s="1562"/>
      <c r="Y10" s="3710"/>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64"/>
      <c r="Q11" s="1144">
        <f t="shared" si="6"/>
        <v>111</v>
      </c>
      <c r="R11" s="1560" t="s">
        <v>8</v>
      </c>
      <c r="S11" s="1561">
        <f t="shared" si="0"/>
        <v>100</v>
      </c>
      <c r="T11" s="1560" t="s">
        <v>8</v>
      </c>
      <c r="U11" s="1561">
        <f t="shared" si="1"/>
        <v>100</v>
      </c>
      <c r="V11" s="1560" t="s">
        <v>8</v>
      </c>
      <c r="W11" s="1561">
        <f t="shared" si="2"/>
        <v>100</v>
      </c>
      <c r="X11" s="1562"/>
      <c r="Y11" s="3710"/>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64"/>
      <c r="Q12" s="1144">
        <f t="shared" si="6"/>
        <v>111</v>
      </c>
      <c r="R12" s="1560" t="s">
        <v>8</v>
      </c>
      <c r="S12" s="1561">
        <f t="shared" si="0"/>
        <v>100</v>
      </c>
      <c r="T12" s="1560" t="s">
        <v>8</v>
      </c>
      <c r="U12" s="1561">
        <f t="shared" si="1"/>
        <v>100</v>
      </c>
      <c r="V12" s="1560" t="s">
        <v>8</v>
      </c>
      <c r="W12" s="1561">
        <f t="shared" si="2"/>
        <v>100</v>
      </c>
      <c r="X12" s="1562"/>
      <c r="Y12" s="3710"/>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64"/>
      <c r="Q13" s="1144">
        <f t="shared" si="6"/>
        <v>111</v>
      </c>
      <c r="R13" s="1560" t="s">
        <v>8</v>
      </c>
      <c r="S13" s="1561">
        <f t="shared" si="0"/>
        <v>100</v>
      </c>
      <c r="T13" s="1560" t="s">
        <v>8</v>
      </c>
      <c r="U13" s="1561">
        <f t="shared" si="1"/>
        <v>100</v>
      </c>
      <c r="V13" s="1560" t="s">
        <v>8</v>
      </c>
      <c r="W13" s="1561">
        <f t="shared" si="2"/>
        <v>100</v>
      </c>
      <c r="X13" s="1562"/>
      <c r="Y13" s="3710"/>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98" t="s">
        <v>541</v>
      </c>
      <c r="Q14" s="1564" t="str">
        <f t="shared" si="6"/>
        <v>交通便捷度</v>
      </c>
      <c r="R14" s="1565" t="s">
        <v>8</v>
      </c>
      <c r="S14" s="1566">
        <f t="shared" si="0"/>
        <v>100</v>
      </c>
      <c r="T14" s="1565" t="s">
        <v>8</v>
      </c>
      <c r="U14" s="1566">
        <f t="shared" si="1"/>
        <v>100</v>
      </c>
      <c r="V14" s="1565" t="s">
        <v>8</v>
      </c>
      <c r="W14" s="1566">
        <f t="shared" si="2"/>
        <v>100</v>
      </c>
      <c r="X14" s="1559"/>
      <c r="Y14" s="3798"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99"/>
      <c r="Q15" s="1564"/>
      <c r="R15" s="1565"/>
      <c r="S15" s="1566"/>
      <c r="T15" s="1565"/>
      <c r="U15" s="1566"/>
      <c r="V15" s="1565"/>
      <c r="W15" s="1566"/>
      <c r="X15" s="1559"/>
      <c r="Y15" s="3799"/>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99"/>
      <c r="Q16" s="1564" t="str">
        <f>B16</f>
        <v>公共配套设施</v>
      </c>
      <c r="R16" s="1565" t="s">
        <v>8</v>
      </c>
      <c r="S16" s="1566">
        <f>F16</f>
        <v>100</v>
      </c>
      <c r="T16" s="1565" t="s">
        <v>8</v>
      </c>
      <c r="U16" s="1566">
        <f>H16</f>
        <v>100</v>
      </c>
      <c r="V16" s="1565" t="s">
        <v>8</v>
      </c>
      <c r="W16" s="1566">
        <f>J16</f>
        <v>100</v>
      </c>
      <c r="X16" s="1559"/>
      <c r="Y16" s="3799"/>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99"/>
      <c r="Q17" s="1564"/>
      <c r="R17" s="1565"/>
      <c r="S17" s="1566"/>
      <c r="T17" s="1565"/>
      <c r="U17" s="1566"/>
      <c r="V17" s="1565"/>
      <c r="W17" s="1566"/>
      <c r="X17" s="1559"/>
      <c r="Y17" s="3799"/>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99"/>
      <c r="Q18" s="2595" t="str">
        <f>B18</f>
        <v>基础设施水平</v>
      </c>
      <c r="R18" s="1565" t="s">
        <v>8</v>
      </c>
      <c r="S18" s="1566">
        <f>F18</f>
        <v>100</v>
      </c>
      <c r="T18" s="1565" t="s">
        <v>8</v>
      </c>
      <c r="U18" s="1566">
        <f>H18</f>
        <v>100</v>
      </c>
      <c r="V18" s="1565" t="s">
        <v>8</v>
      </c>
      <c r="W18" s="1566">
        <f>J18</f>
        <v>100</v>
      </c>
      <c r="X18" s="2597"/>
      <c r="Y18" s="3799"/>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99"/>
      <c r="Q19" s="2595"/>
      <c r="R19" s="1565"/>
      <c r="S19" s="1566"/>
      <c r="T19" s="1565"/>
      <c r="U19" s="1566"/>
      <c r="V19" s="1565"/>
      <c r="W19" s="1566"/>
      <c r="X19" s="2597"/>
      <c r="Y19" s="3799"/>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99"/>
      <c r="Q20" s="1564" t="str">
        <f>B20</f>
        <v>自然及人文环境</v>
      </c>
      <c r="R20" s="1565" t="s">
        <v>8</v>
      </c>
      <c r="S20" s="1566">
        <f>F20</f>
        <v>100</v>
      </c>
      <c r="T20" s="1565" t="s">
        <v>8</v>
      </c>
      <c r="U20" s="1566">
        <f>H20</f>
        <v>100</v>
      </c>
      <c r="V20" s="1565" t="s">
        <v>8</v>
      </c>
      <c r="W20" s="1566">
        <f>J20</f>
        <v>100</v>
      </c>
      <c r="X20" s="1559"/>
      <c r="Y20" s="3799"/>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99"/>
      <c r="Q21" s="1564"/>
      <c r="R21" s="1565"/>
      <c r="S21" s="1566"/>
      <c r="T21" s="1565"/>
      <c r="U21" s="1566"/>
      <c r="V21" s="1565"/>
      <c r="W21" s="1566"/>
      <c r="X21" s="1559"/>
      <c r="Y21" s="3799"/>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99"/>
      <c r="Q22" s="1564" t="str">
        <f>B22</f>
        <v>楼层</v>
      </c>
      <c r="R22" s="1565" t="s">
        <v>8</v>
      </c>
      <c r="S22" s="1566">
        <f>F22</f>
        <v>100</v>
      </c>
      <c r="T22" s="1565" t="s">
        <v>8</v>
      </c>
      <c r="U22" s="1566">
        <f>H22</f>
        <v>100</v>
      </c>
      <c r="V22" s="1565" t="s">
        <v>8</v>
      </c>
      <c r="W22" s="1566">
        <f>J22</f>
        <v>100</v>
      </c>
      <c r="X22" s="1559"/>
      <c r="Y22" s="3799"/>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99"/>
      <c r="Q23" s="1564">
        <f>B23</f>
        <v>111</v>
      </c>
      <c r="R23" s="1565" t="s">
        <v>8</v>
      </c>
      <c r="S23" s="1566">
        <f>F23</f>
        <v>100</v>
      </c>
      <c r="T23" s="1565" t="s">
        <v>8</v>
      </c>
      <c r="U23" s="1566">
        <f>H23</f>
        <v>100</v>
      </c>
      <c r="V23" s="1565" t="s">
        <v>8</v>
      </c>
      <c r="W23" s="1566">
        <f>J23</f>
        <v>100</v>
      </c>
      <c r="X23" s="1559"/>
      <c r="Y23" s="3799"/>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99"/>
      <c r="Q24" s="1564">
        <f t="shared" ref="Q24:Q34" si="11">B24</f>
        <v>111</v>
      </c>
      <c r="R24" s="1565" t="s">
        <v>8</v>
      </c>
      <c r="S24" s="1566">
        <f>F24</f>
        <v>100</v>
      </c>
      <c r="T24" s="1565" t="s">
        <v>8</v>
      </c>
      <c r="U24" s="1566">
        <f>H24</f>
        <v>100</v>
      </c>
      <c r="V24" s="1565" t="s">
        <v>8</v>
      </c>
      <c r="W24" s="1566">
        <f>J24</f>
        <v>100</v>
      </c>
      <c r="X24" s="1559"/>
      <c r="Y24" s="3799"/>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99"/>
      <c r="Q25" s="1144">
        <f t="shared" si="11"/>
        <v>111</v>
      </c>
      <c r="R25" s="1560" t="s">
        <v>8</v>
      </c>
      <c r="S25" s="1561">
        <f>F25</f>
        <v>100</v>
      </c>
      <c r="T25" s="1560" t="s">
        <v>8</v>
      </c>
      <c r="U25" s="1561">
        <f>H25</f>
        <v>100</v>
      </c>
      <c r="V25" s="1560" t="s">
        <v>8</v>
      </c>
      <c r="W25" s="1561">
        <f>J25</f>
        <v>100</v>
      </c>
      <c r="X25" s="1562"/>
      <c r="Y25" s="3799"/>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800"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801"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801"/>
      <c r="Q27" s="1597" t="str">
        <f t="shared" si="11"/>
        <v>成新率</v>
      </c>
      <c r="R27" s="1569" t="s">
        <v>8</v>
      </c>
      <c r="S27" s="1570" t="e">
        <f t="shared" si="12"/>
        <v>#N/A</v>
      </c>
      <c r="T27" s="1569" t="s">
        <v>8</v>
      </c>
      <c r="U27" s="1570" t="e">
        <f t="shared" si="13"/>
        <v>#N/A</v>
      </c>
      <c r="V27" s="1569" t="s">
        <v>8</v>
      </c>
      <c r="W27" s="1570" t="e">
        <f t="shared" si="14"/>
        <v>#N/A</v>
      </c>
      <c r="X27" s="1571"/>
      <c r="Y27" s="3801"/>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801"/>
      <c r="Q28" s="1564" t="str">
        <f t="shared" si="11"/>
        <v>物业等级</v>
      </c>
      <c r="R28" s="1565" t="s">
        <v>8</v>
      </c>
      <c r="S28" s="1566">
        <f t="shared" si="12"/>
        <v>100</v>
      </c>
      <c r="T28" s="1565" t="s">
        <v>8</v>
      </c>
      <c r="U28" s="1566">
        <f t="shared" si="13"/>
        <v>100</v>
      </c>
      <c r="V28" s="1565" t="s">
        <v>8</v>
      </c>
      <c r="W28" s="1566">
        <f t="shared" si="14"/>
        <v>100</v>
      </c>
      <c r="X28" s="1559"/>
      <c r="Y28" s="3801"/>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801"/>
      <c r="Q29" s="1564" t="str">
        <f t="shared" si="11"/>
        <v>有无电梯</v>
      </c>
      <c r="R29" s="1565" t="s">
        <v>8</v>
      </c>
      <c r="S29" s="1566">
        <f t="shared" si="12"/>
        <v>100</v>
      </c>
      <c r="T29" s="1565" t="s">
        <v>8</v>
      </c>
      <c r="U29" s="1566">
        <f t="shared" si="13"/>
        <v>100</v>
      </c>
      <c r="V29" s="1565" t="s">
        <v>8</v>
      </c>
      <c r="W29" s="1566">
        <f t="shared" si="14"/>
        <v>100</v>
      </c>
      <c r="X29" s="1559"/>
      <c r="Y29" s="3801"/>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801"/>
      <c r="Q30" s="1564" t="str">
        <f t="shared" si="11"/>
        <v>建筑面积</v>
      </c>
      <c r="R30" s="1565" t="s">
        <v>8</v>
      </c>
      <c r="S30" s="1566" t="e">
        <f t="shared" si="12"/>
        <v>#N/A</v>
      </c>
      <c r="T30" s="1565" t="s">
        <v>8</v>
      </c>
      <c r="U30" s="1566" t="e">
        <f t="shared" si="13"/>
        <v>#N/A</v>
      </c>
      <c r="V30" s="1565" t="s">
        <v>8</v>
      </c>
      <c r="W30" s="1566" t="e">
        <f t="shared" si="14"/>
        <v>#N/A</v>
      </c>
      <c r="X30" s="1559"/>
      <c r="Y30" s="3801"/>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801"/>
      <c r="Q31" s="1144" t="str">
        <f t="shared" si="11"/>
        <v>是否封闭</v>
      </c>
      <c r="R31" s="1560" t="s">
        <v>8</v>
      </c>
      <c r="S31" s="1561">
        <f t="shared" si="12"/>
        <v>100</v>
      </c>
      <c r="T31" s="1560" t="s">
        <v>8</v>
      </c>
      <c r="U31" s="1561">
        <f t="shared" si="13"/>
        <v>100</v>
      </c>
      <c r="V31" s="1560" t="s">
        <v>8</v>
      </c>
      <c r="W31" s="1561">
        <f t="shared" si="14"/>
        <v>100</v>
      </c>
      <c r="X31" s="1562"/>
      <c r="Y31" s="3801"/>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801" t="s">
        <v>551</v>
      </c>
      <c r="Q32" s="1564">
        <f t="shared" si="11"/>
        <v>111</v>
      </c>
      <c r="R32" s="1565" t="s">
        <v>8</v>
      </c>
      <c r="S32" s="1566">
        <f t="shared" si="12"/>
        <v>100</v>
      </c>
      <c r="T32" s="1565" t="s">
        <v>8</v>
      </c>
      <c r="U32" s="1566">
        <f t="shared" si="13"/>
        <v>100</v>
      </c>
      <c r="V32" s="1565" t="s">
        <v>8</v>
      </c>
      <c r="W32" s="1566">
        <f t="shared" si="14"/>
        <v>100</v>
      </c>
      <c r="X32" s="1559"/>
      <c r="Y32" s="3801"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801"/>
      <c r="Q33" s="1564">
        <f t="shared" si="11"/>
        <v>111</v>
      </c>
      <c r="R33" s="1565" t="s">
        <v>8</v>
      </c>
      <c r="S33" s="1566">
        <f t="shared" si="12"/>
        <v>100</v>
      </c>
      <c r="T33" s="1565" t="s">
        <v>8</v>
      </c>
      <c r="U33" s="1566">
        <f t="shared" si="13"/>
        <v>100</v>
      </c>
      <c r="V33" s="1565" t="s">
        <v>8</v>
      </c>
      <c r="W33" s="1566">
        <f t="shared" si="14"/>
        <v>100</v>
      </c>
      <c r="X33" s="1559"/>
      <c r="Y33" s="3801"/>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801"/>
      <c r="Q34" s="1564">
        <f t="shared" si="11"/>
        <v>111</v>
      </c>
      <c r="R34" s="1565" t="s">
        <v>8</v>
      </c>
      <c r="S34" s="1566">
        <f t="shared" si="12"/>
        <v>100</v>
      </c>
      <c r="T34" s="1565" t="s">
        <v>8</v>
      </c>
      <c r="U34" s="1566">
        <f t="shared" si="13"/>
        <v>100</v>
      </c>
      <c r="V34" s="1565" t="s">
        <v>8</v>
      </c>
      <c r="W34" s="1566">
        <f t="shared" si="14"/>
        <v>100</v>
      </c>
      <c r="X34" s="1559"/>
      <c r="Y34" s="3801"/>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64" t="str">
        <f>A35</f>
        <v>成交单价（元/平方米）</v>
      </c>
      <c r="Q35" s="3764"/>
      <c r="R35" s="3876">
        <f>E35</f>
        <v>0</v>
      </c>
      <c r="S35" s="3876"/>
      <c r="T35" s="3876">
        <f>G35</f>
        <v>0</v>
      </c>
      <c r="U35" s="3876"/>
      <c r="V35" s="3876">
        <f>I35</f>
        <v>0</v>
      </c>
      <c r="W35" s="3876"/>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64" t="str">
        <f>A36</f>
        <v>比较价格（元/平方米）</v>
      </c>
      <c r="Q36" s="3764"/>
      <c r="R36" s="3876" t="e">
        <f>IF(F1="售价",ROUND(PRODUCT(R35,AA7:AA34),0),ROUND(PRODUCT(R35,AA7:AA34),1))</f>
        <v>#DIV/0!</v>
      </c>
      <c r="S36" s="3876"/>
      <c r="T36" s="3876" t="e">
        <f>IF(F1="售价",ROUND(PRODUCT(T35,AB7:AB34),0),ROUND(PRODUCT(T35,AB7:AB34),1))</f>
        <v>#DIV/0!</v>
      </c>
      <c r="U36" s="3876"/>
      <c r="V36" s="3876" t="e">
        <f>IF(F1="售价",ROUND(PRODUCT(V35,AC7:AC34),0),ROUND(PRODUCT(V35,AC7:AC34),1))</f>
        <v>#DIV/0!</v>
      </c>
      <c r="W36" s="3876"/>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61" t="str">
        <f>A37</f>
        <v>估价对象XX用房的比较价格（楼面单价，元/平方米）</v>
      </c>
      <c r="Q37" s="3762"/>
      <c r="R37" s="3875" t="e">
        <f>IF(F1="售价",ROUND(AVERAGE(R36:V36),0),ROUND(AVERAGE(R36:V36),1))</f>
        <v>#DIV/0!</v>
      </c>
      <c r="S37" s="3875"/>
      <c r="T37" s="3875"/>
      <c r="U37" s="3875"/>
      <c r="V37" s="3875"/>
      <c r="W37" s="3875"/>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2020-4</v>
      </c>
      <c r="D46" s="2821">
        <f>EDATE(C46,-1)</f>
        <v>43891</v>
      </c>
      <c r="E46" s="2821">
        <f t="shared" ref="E46:O46" si="16">EDATE(D46,-1)</f>
        <v>43862</v>
      </c>
      <c r="F46" s="2821">
        <f t="shared" si="16"/>
        <v>43831</v>
      </c>
      <c r="G46" s="2821">
        <f t="shared" si="16"/>
        <v>43800</v>
      </c>
      <c r="H46" s="2821">
        <f t="shared" si="16"/>
        <v>43770</v>
      </c>
      <c r="I46" s="2821">
        <f t="shared" si="16"/>
        <v>43739</v>
      </c>
      <c r="J46" s="2821">
        <f t="shared" si="16"/>
        <v>43709</v>
      </c>
      <c r="K46" s="2821">
        <f t="shared" si="16"/>
        <v>43678</v>
      </c>
      <c r="L46" s="2821">
        <f t="shared" si="16"/>
        <v>43647</v>
      </c>
      <c r="M46" s="2821">
        <f t="shared" si="16"/>
        <v>43617</v>
      </c>
      <c r="N46" s="2821">
        <f t="shared" si="16"/>
        <v>43586</v>
      </c>
      <c r="O46" s="2821">
        <f t="shared" si="16"/>
        <v>43556</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43923</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O124" sqref="O124"/>
    </sheetView>
  </sheetViews>
  <sheetFormatPr defaultRowHeight="13.5"/>
  <sheetData/>
  <phoneticPr fontId="23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M227"/>
  <sheetViews>
    <sheetView topLeftCell="A7" workbookViewId="0">
      <selection activeCell="I227" sqref="I227"/>
    </sheetView>
  </sheetViews>
  <sheetFormatPr defaultRowHeight="13.5"/>
  <cols>
    <col min="1" max="1" width="32.625" customWidth="1"/>
    <col min="3" max="3" width="12.375" customWidth="1"/>
    <col min="4" max="4" width="13.25" customWidth="1"/>
    <col min="5" max="5" width="11.625" customWidth="1"/>
    <col min="6" max="6" width="15.75" customWidth="1"/>
    <col min="8" max="8" width="10.5" customWidth="1"/>
    <col min="11" max="11" width="18.25" customWidth="1"/>
  </cols>
  <sheetData>
    <row r="39" spans="1:13" ht="14.25" thickBot="1">
      <c r="A39" s="3573" t="s">
        <v>3219</v>
      </c>
      <c r="B39" s="3573" t="s">
        <v>3220</v>
      </c>
      <c r="C39" s="3573" t="s">
        <v>3221</v>
      </c>
      <c r="D39" s="3573" t="s">
        <v>3222</v>
      </c>
      <c r="E39" s="3573" t="s">
        <v>3223</v>
      </c>
      <c r="F39" s="3573" t="s">
        <v>2033</v>
      </c>
      <c r="G39" s="3573" t="s">
        <v>3224</v>
      </c>
      <c r="H39" s="3574" t="s">
        <v>3225</v>
      </c>
      <c r="I39" s="3573" t="s">
        <v>3226</v>
      </c>
      <c r="J39" s="3573" t="s">
        <v>3227</v>
      </c>
      <c r="K39" s="3573" t="s">
        <v>3228</v>
      </c>
      <c r="L39" s="3573" t="s">
        <v>3229</v>
      </c>
      <c r="M39" s="3573" t="s">
        <v>3230</v>
      </c>
    </row>
    <row r="40" spans="1:13" ht="14.25" thickBot="1">
      <c r="A40" s="3575" t="s">
        <v>3481</v>
      </c>
      <c r="B40" s="3576" t="s">
        <v>3232</v>
      </c>
      <c r="C40" s="3576" t="s">
        <v>3233</v>
      </c>
      <c r="D40" s="3577">
        <v>3672</v>
      </c>
      <c r="E40" s="3577">
        <v>2937.6</v>
      </c>
      <c r="F40" s="3577" t="s">
        <v>3482</v>
      </c>
      <c r="G40" s="3576" t="s">
        <v>3234</v>
      </c>
      <c r="H40" s="3578">
        <v>43832</v>
      </c>
      <c r="I40" s="3577">
        <v>540</v>
      </c>
      <c r="J40" s="3577">
        <v>540</v>
      </c>
      <c r="K40" s="3577">
        <v>1838.24</v>
      </c>
      <c r="L40" s="3577">
        <v>0</v>
      </c>
      <c r="M40" s="3575" t="s">
        <v>3483</v>
      </c>
    </row>
    <row r="41" spans="1:13" ht="14.25" thickBot="1">
      <c r="A41" s="3575" t="s">
        <v>3484</v>
      </c>
      <c r="B41" s="3576" t="s">
        <v>3232</v>
      </c>
      <c r="C41" s="3576" t="s">
        <v>3233</v>
      </c>
      <c r="D41" s="3577">
        <v>5791.1</v>
      </c>
      <c r="E41" s="3577">
        <v>5791.1</v>
      </c>
      <c r="F41" s="3577" t="s">
        <v>3485</v>
      </c>
      <c r="G41" s="3576" t="s">
        <v>3234</v>
      </c>
      <c r="H41" s="3578">
        <v>43817</v>
      </c>
      <c r="I41" s="3577">
        <v>1057</v>
      </c>
      <c r="J41" s="3577">
        <v>1057</v>
      </c>
      <c r="K41" s="3577">
        <v>1825.21</v>
      </c>
      <c r="L41" s="3577">
        <v>0</v>
      </c>
      <c r="M41" s="3575" t="s">
        <v>3486</v>
      </c>
    </row>
    <row r="42" spans="1:13" ht="14.25" thickBot="1">
      <c r="A42" s="3575" t="s">
        <v>3487</v>
      </c>
      <c r="B42" s="3576" t="s">
        <v>3232</v>
      </c>
      <c r="C42" s="3576" t="s">
        <v>3233</v>
      </c>
      <c r="D42" s="3577">
        <v>10359.1</v>
      </c>
      <c r="E42" s="3577">
        <v>10359.1</v>
      </c>
      <c r="F42" s="3577" t="s">
        <v>3485</v>
      </c>
      <c r="G42" s="3576" t="s">
        <v>3234</v>
      </c>
      <c r="H42" s="3578">
        <v>43817</v>
      </c>
      <c r="I42" s="3577">
        <v>1891</v>
      </c>
      <c r="J42" s="3577">
        <v>1891</v>
      </c>
      <c r="K42" s="3577">
        <v>1825.45</v>
      </c>
      <c r="L42" s="3577">
        <v>0</v>
      </c>
      <c r="M42" s="3575" t="s">
        <v>3488</v>
      </c>
    </row>
    <row r="43" spans="1:13" ht="14.25" thickBot="1">
      <c r="A43" s="3575" t="s">
        <v>3489</v>
      </c>
      <c r="B43" s="3576" t="s">
        <v>3232</v>
      </c>
      <c r="C43" s="3576" t="s">
        <v>3233</v>
      </c>
      <c r="D43" s="3577">
        <v>2399.8000000000002</v>
      </c>
      <c r="E43" s="3577">
        <v>719.94</v>
      </c>
      <c r="F43" s="3577" t="s">
        <v>3490</v>
      </c>
      <c r="G43" s="3576" t="s">
        <v>3234</v>
      </c>
      <c r="H43" s="3578">
        <v>43817</v>
      </c>
      <c r="I43" s="3577">
        <v>1800</v>
      </c>
      <c r="J43" s="3577">
        <v>1800</v>
      </c>
      <c r="K43" s="3577">
        <v>25002.080000000002</v>
      </c>
      <c r="L43" s="3577">
        <v>0</v>
      </c>
      <c r="M43" s="3575" t="s">
        <v>3491</v>
      </c>
    </row>
    <row r="44" spans="1:13" ht="14.25" thickBot="1">
      <c r="A44" s="3575" t="s">
        <v>3492</v>
      </c>
      <c r="B44" s="3576" t="s">
        <v>3232</v>
      </c>
      <c r="C44" s="3576" t="s">
        <v>3233</v>
      </c>
      <c r="D44" s="3577">
        <v>1559.8</v>
      </c>
      <c r="E44" s="3577">
        <v>857.89</v>
      </c>
      <c r="F44" s="3577" t="s">
        <v>3493</v>
      </c>
      <c r="G44" s="3576" t="s">
        <v>3234</v>
      </c>
      <c r="H44" s="3578">
        <v>43817</v>
      </c>
      <c r="I44" s="3577">
        <v>683</v>
      </c>
      <c r="J44" s="3577">
        <v>683</v>
      </c>
      <c r="K44" s="3577">
        <v>7961.39</v>
      </c>
      <c r="L44" s="3577">
        <v>0</v>
      </c>
      <c r="M44" s="3575" t="s">
        <v>3494</v>
      </c>
    </row>
    <row r="45" spans="1:13" ht="14.25" thickBot="1">
      <c r="A45" s="3575" t="s">
        <v>3495</v>
      </c>
      <c r="B45" s="3576" t="s">
        <v>3232</v>
      </c>
      <c r="C45" s="3576" t="s">
        <v>3233</v>
      </c>
      <c r="D45" s="3577">
        <v>3924.9</v>
      </c>
      <c r="E45" s="3577">
        <v>1177.47</v>
      </c>
      <c r="F45" s="3577" t="s">
        <v>3490</v>
      </c>
      <c r="G45" s="3576" t="s">
        <v>3234</v>
      </c>
      <c r="H45" s="3578">
        <v>43817</v>
      </c>
      <c r="I45" s="3577">
        <v>1422</v>
      </c>
      <c r="J45" s="3577">
        <v>1422</v>
      </c>
      <c r="K45" s="3577">
        <v>12076.73</v>
      </c>
      <c r="L45" s="3577">
        <v>0</v>
      </c>
      <c r="M45" s="3575" t="s">
        <v>3496</v>
      </c>
    </row>
    <row r="46" spans="1:13" ht="14.25" thickBot="1">
      <c r="A46" s="3575" t="s">
        <v>3497</v>
      </c>
      <c r="B46" s="3576" t="s">
        <v>3232</v>
      </c>
      <c r="C46" s="3576" t="s">
        <v>3233</v>
      </c>
      <c r="D46" s="3577">
        <v>9564</v>
      </c>
      <c r="E46" s="3577">
        <v>14346</v>
      </c>
      <c r="F46" s="3577" t="s">
        <v>3498</v>
      </c>
      <c r="G46" s="3576" t="s">
        <v>3234</v>
      </c>
      <c r="H46" s="3578">
        <v>43809</v>
      </c>
      <c r="I46" s="3577">
        <v>2296</v>
      </c>
      <c r="J46" s="3577">
        <v>2396</v>
      </c>
      <c r="K46" s="3577">
        <v>1670.15</v>
      </c>
      <c r="L46" s="3577">
        <v>4.3600000000000003</v>
      </c>
      <c r="M46" s="3575" t="s">
        <v>3499</v>
      </c>
    </row>
    <row r="47" spans="1:13" ht="14.25" thickBot="1">
      <c r="A47" s="3575" t="s">
        <v>3500</v>
      </c>
      <c r="B47" s="3576" t="s">
        <v>3232</v>
      </c>
      <c r="C47" s="3576" t="s">
        <v>3233</v>
      </c>
      <c r="D47" s="3577">
        <v>46222.2</v>
      </c>
      <c r="E47" s="3577">
        <v>115555.5</v>
      </c>
      <c r="F47" s="3577" t="s">
        <v>3501</v>
      </c>
      <c r="G47" s="3576" t="s">
        <v>3234</v>
      </c>
      <c r="H47" s="3578">
        <v>43748</v>
      </c>
      <c r="I47" s="3577">
        <v>15998</v>
      </c>
      <c r="J47" s="3577">
        <v>15998</v>
      </c>
      <c r="K47" s="3577">
        <v>1384.44</v>
      </c>
      <c r="L47" s="3577">
        <v>0</v>
      </c>
      <c r="M47" s="3575" t="s">
        <v>3502</v>
      </c>
    </row>
    <row r="48" spans="1:13" ht="14.25" thickBot="1">
      <c r="A48" s="3575" t="s">
        <v>3500</v>
      </c>
      <c r="B48" s="3576" t="s">
        <v>3232</v>
      </c>
      <c r="C48" s="3576" t="s">
        <v>3233</v>
      </c>
      <c r="D48" s="3577">
        <v>9543.7999999999993</v>
      </c>
      <c r="E48" s="3577">
        <v>23859.5</v>
      </c>
      <c r="F48" s="3577" t="s">
        <v>3501</v>
      </c>
      <c r="G48" s="3576" t="s">
        <v>3234</v>
      </c>
      <c r="H48" s="3578">
        <v>43748</v>
      </c>
      <c r="I48" s="3577">
        <v>3303</v>
      </c>
      <c r="J48" s="3577">
        <v>3303</v>
      </c>
      <c r="K48" s="3577">
        <v>1384.34</v>
      </c>
      <c r="L48" s="3577">
        <v>0</v>
      </c>
      <c r="M48" s="3575" t="s">
        <v>3502</v>
      </c>
    </row>
    <row r="49" spans="1:13" ht="14.25" thickBot="1">
      <c r="A49" s="3575" t="s">
        <v>3503</v>
      </c>
      <c r="B49" s="3576" t="s">
        <v>3232</v>
      </c>
      <c r="C49" s="3576" t="s">
        <v>3233</v>
      </c>
      <c r="D49" s="3577">
        <v>2462.6999999999998</v>
      </c>
      <c r="E49" s="3577">
        <v>3201.51</v>
      </c>
      <c r="F49" s="3577" t="s">
        <v>3504</v>
      </c>
      <c r="G49" s="3576" t="s">
        <v>3234</v>
      </c>
      <c r="H49" s="3578">
        <v>43748</v>
      </c>
      <c r="I49" s="3577">
        <v>636</v>
      </c>
      <c r="J49" s="3577">
        <v>636</v>
      </c>
      <c r="K49" s="3577">
        <v>1986.55</v>
      </c>
      <c r="L49" s="3577">
        <v>0</v>
      </c>
      <c r="M49" s="3575" t="s">
        <v>3505</v>
      </c>
    </row>
    <row r="50" spans="1:13" ht="14.25" thickBot="1">
      <c r="A50" s="3575" t="s">
        <v>3506</v>
      </c>
      <c r="B50" s="3576" t="s">
        <v>3232</v>
      </c>
      <c r="C50" s="3576" t="s">
        <v>3233</v>
      </c>
      <c r="D50" s="3577">
        <v>17226</v>
      </c>
      <c r="E50" s="3577">
        <v>34452</v>
      </c>
      <c r="F50" s="3577" t="s">
        <v>3507</v>
      </c>
      <c r="G50" s="3576" t="s">
        <v>3234</v>
      </c>
      <c r="H50" s="3578">
        <v>43712</v>
      </c>
      <c r="I50" s="3577">
        <v>3489</v>
      </c>
      <c r="J50" s="3577">
        <v>3539</v>
      </c>
      <c r="K50" s="3577">
        <v>1027.23</v>
      </c>
      <c r="L50" s="3577">
        <v>1.43</v>
      </c>
      <c r="M50" s="3576" t="s">
        <v>3508</v>
      </c>
    </row>
    <row r="51" spans="1:13" ht="14.25" thickBot="1">
      <c r="A51" s="3575" t="s">
        <v>3509</v>
      </c>
      <c r="B51" s="3576" t="s">
        <v>3232</v>
      </c>
      <c r="C51" s="3576" t="s">
        <v>3233</v>
      </c>
      <c r="D51" s="3577">
        <v>4381</v>
      </c>
      <c r="E51" s="3577">
        <v>5257.2</v>
      </c>
      <c r="F51" s="3577" t="s">
        <v>3510</v>
      </c>
      <c r="G51" s="3576" t="s">
        <v>3234</v>
      </c>
      <c r="H51" s="3578">
        <v>43712</v>
      </c>
      <c r="I51" s="3577">
        <v>920</v>
      </c>
      <c r="J51" s="3577">
        <v>920</v>
      </c>
      <c r="K51" s="3577">
        <v>1749.98</v>
      </c>
      <c r="L51" s="3577">
        <v>0</v>
      </c>
      <c r="M51" s="3575" t="s">
        <v>3511</v>
      </c>
    </row>
    <row r="52" spans="1:13" s="3583" customFormat="1" ht="14.25" thickBot="1">
      <c r="A52" s="3579" t="s">
        <v>3512</v>
      </c>
      <c r="B52" s="3580" t="s">
        <v>3232</v>
      </c>
      <c r="C52" s="3580" t="s">
        <v>3233</v>
      </c>
      <c r="D52" s="3581">
        <v>8114.3</v>
      </c>
      <c r="E52" s="3581">
        <v>6491.44</v>
      </c>
      <c r="F52" s="3581">
        <v>1</v>
      </c>
      <c r="G52" s="3580" t="s">
        <v>3234</v>
      </c>
      <c r="H52" s="3582">
        <v>43712</v>
      </c>
      <c r="I52" s="3581">
        <v>1838</v>
      </c>
      <c r="J52" s="3581">
        <v>1838</v>
      </c>
      <c r="K52" s="3581">
        <v>2831.42</v>
      </c>
      <c r="L52" s="3581">
        <v>0</v>
      </c>
      <c r="M52" s="3579" t="s">
        <v>3513</v>
      </c>
    </row>
    <row r="53" spans="1:13" ht="14.25" thickBot="1">
      <c r="A53" s="3575" t="s">
        <v>3514</v>
      </c>
      <c r="B53" s="3576" t="s">
        <v>3232</v>
      </c>
      <c r="C53" s="3576" t="s">
        <v>3233</v>
      </c>
      <c r="D53" s="3577">
        <v>15161</v>
      </c>
      <c r="E53" s="3577">
        <v>56095.7</v>
      </c>
      <c r="F53" s="3577" t="s">
        <v>3515</v>
      </c>
      <c r="G53" s="3576" t="s">
        <v>3234</v>
      </c>
      <c r="H53" s="3578">
        <v>43712</v>
      </c>
      <c r="I53" s="3577">
        <v>7590</v>
      </c>
      <c r="J53" s="3577">
        <v>7590</v>
      </c>
      <c r="K53" s="3577">
        <v>1353.03</v>
      </c>
      <c r="L53" s="3577">
        <v>0</v>
      </c>
      <c r="M53" s="3575" t="s">
        <v>3516</v>
      </c>
    </row>
    <row r="54" spans="1:13" s="3583" customFormat="1" ht="14.25" thickBot="1">
      <c r="A54" s="3579" t="s">
        <v>3517</v>
      </c>
      <c r="B54" s="3580" t="s">
        <v>3232</v>
      </c>
      <c r="C54" s="3580" t="s">
        <v>3233</v>
      </c>
      <c r="D54" s="3581">
        <v>15108.1</v>
      </c>
      <c r="E54" s="3581">
        <v>12086.48</v>
      </c>
      <c r="F54" s="3581">
        <v>1</v>
      </c>
      <c r="G54" s="3580" t="s">
        <v>3234</v>
      </c>
      <c r="H54" s="3582">
        <v>43712</v>
      </c>
      <c r="I54" s="3581">
        <v>3408</v>
      </c>
      <c r="J54" s="3581">
        <v>3408</v>
      </c>
      <c r="K54" s="3581">
        <v>2819.67</v>
      </c>
      <c r="L54" s="3581">
        <v>0</v>
      </c>
      <c r="M54" s="3579" t="s">
        <v>3518</v>
      </c>
    </row>
    <row r="55" spans="1:13" ht="14.25" thickBot="1">
      <c r="A55" s="3575" t="s">
        <v>3514</v>
      </c>
      <c r="B55" s="3576" t="s">
        <v>3232</v>
      </c>
      <c r="C55" s="3576" t="s">
        <v>3233</v>
      </c>
      <c r="D55" s="3577">
        <v>13506.4</v>
      </c>
      <c r="E55" s="3577">
        <v>47272.4</v>
      </c>
      <c r="F55" s="3577" t="s">
        <v>3519</v>
      </c>
      <c r="G55" s="3576" t="s">
        <v>3234</v>
      </c>
      <c r="H55" s="3578">
        <v>43712</v>
      </c>
      <c r="I55" s="3577">
        <v>6390</v>
      </c>
      <c r="J55" s="3577">
        <v>6390</v>
      </c>
      <c r="K55" s="3577">
        <v>1351.74</v>
      </c>
      <c r="L55" s="3577">
        <v>0</v>
      </c>
      <c r="M55" s="3575" t="s">
        <v>3520</v>
      </c>
    </row>
    <row r="56" spans="1:13" ht="14.25" thickBot="1">
      <c r="A56" s="3575" t="s">
        <v>3521</v>
      </c>
      <c r="B56" s="3576" t="s">
        <v>3232</v>
      </c>
      <c r="C56" s="3576" t="s">
        <v>3233</v>
      </c>
      <c r="D56" s="3577">
        <v>10781</v>
      </c>
      <c r="E56" s="3577">
        <v>8624.7999999999993</v>
      </c>
      <c r="F56" s="3577" t="s">
        <v>3482</v>
      </c>
      <c r="G56" s="3576" t="s">
        <v>3234</v>
      </c>
      <c r="H56" s="3578">
        <v>43707</v>
      </c>
      <c r="I56" s="3577">
        <v>2160</v>
      </c>
      <c r="J56" s="3577">
        <v>2160</v>
      </c>
      <c r="K56" s="3577">
        <v>2504.4</v>
      </c>
      <c r="L56" s="3577">
        <v>0</v>
      </c>
      <c r="M56" s="3575" t="s">
        <v>3522</v>
      </c>
    </row>
    <row r="57" spans="1:13" ht="14.25" thickBot="1">
      <c r="A57" s="3575" t="s">
        <v>3523</v>
      </c>
      <c r="B57" s="3576" t="s">
        <v>3232</v>
      </c>
      <c r="C57" s="3576" t="s">
        <v>3233</v>
      </c>
      <c r="D57" s="3577">
        <v>12372</v>
      </c>
      <c r="E57" s="3577">
        <v>9897.6</v>
      </c>
      <c r="F57" s="3577" t="s">
        <v>3482</v>
      </c>
      <c r="G57" s="3576" t="s">
        <v>3234</v>
      </c>
      <c r="H57" s="3578">
        <v>43686</v>
      </c>
      <c r="I57" s="3577">
        <v>2650</v>
      </c>
      <c r="J57" s="3577">
        <v>2650</v>
      </c>
      <c r="K57" s="3577">
        <v>2677.42</v>
      </c>
      <c r="L57" s="3577">
        <v>0</v>
      </c>
      <c r="M57" s="3575" t="s">
        <v>3524</v>
      </c>
    </row>
    <row r="58" spans="1:13" ht="14.25" thickBot="1">
      <c r="A58" s="3575" t="s">
        <v>3525</v>
      </c>
      <c r="B58" s="3576" t="s">
        <v>3232</v>
      </c>
      <c r="C58" s="3576" t="s">
        <v>3233</v>
      </c>
      <c r="D58" s="3577">
        <v>36273</v>
      </c>
      <c r="E58" s="3577">
        <v>29018.400000000001</v>
      </c>
      <c r="F58" s="3577" t="s">
        <v>3482</v>
      </c>
      <c r="G58" s="3576" t="s">
        <v>3234</v>
      </c>
      <c r="H58" s="3578">
        <v>43686</v>
      </c>
      <c r="I58" s="3577">
        <v>7560</v>
      </c>
      <c r="J58" s="3577">
        <v>7560</v>
      </c>
      <c r="K58" s="3577">
        <v>2605.23</v>
      </c>
      <c r="L58" s="3577">
        <v>0</v>
      </c>
      <c r="M58" s="3575" t="s">
        <v>3524</v>
      </c>
    </row>
    <row r="59" spans="1:13" ht="14.25" thickBot="1">
      <c r="A59" s="3575" t="s">
        <v>3526</v>
      </c>
      <c r="B59" s="3576" t="s">
        <v>3232</v>
      </c>
      <c r="C59" s="3576" t="s">
        <v>3233</v>
      </c>
      <c r="D59" s="3577">
        <v>2451</v>
      </c>
      <c r="E59" s="3577">
        <v>980.4</v>
      </c>
      <c r="F59" s="3577" t="s">
        <v>3482</v>
      </c>
      <c r="G59" s="3576" t="s">
        <v>3234</v>
      </c>
      <c r="H59" s="3578">
        <v>43679</v>
      </c>
      <c r="I59" s="3577">
        <v>1063</v>
      </c>
      <c r="J59" s="3577">
        <v>1063</v>
      </c>
      <c r="K59" s="3577">
        <v>10842.51</v>
      </c>
      <c r="L59" s="3577">
        <v>0</v>
      </c>
      <c r="M59" s="3575" t="s">
        <v>3527</v>
      </c>
    </row>
    <row r="60" spans="1:13" ht="14.25" thickBot="1">
      <c r="A60" s="3575" t="s">
        <v>3528</v>
      </c>
      <c r="B60" s="3576" t="s">
        <v>3232</v>
      </c>
      <c r="C60" s="3576" t="s">
        <v>3233</v>
      </c>
      <c r="D60" s="3577">
        <v>55651.8</v>
      </c>
      <c r="E60" s="3577">
        <v>155268.51999999999</v>
      </c>
      <c r="F60" s="3577" t="s">
        <v>3529</v>
      </c>
      <c r="G60" s="3576" t="s">
        <v>3234</v>
      </c>
      <c r="H60" s="3578">
        <v>43663</v>
      </c>
      <c r="I60" s="3577">
        <v>16729</v>
      </c>
      <c r="J60" s="3577">
        <v>16729</v>
      </c>
      <c r="K60" s="3577">
        <v>1077.42</v>
      </c>
      <c r="L60" s="3577">
        <v>0</v>
      </c>
      <c r="M60" s="3575" t="s">
        <v>3530</v>
      </c>
    </row>
    <row r="61" spans="1:13" s="3583" customFormat="1" ht="14.25" thickBot="1">
      <c r="A61" s="3579" t="s">
        <v>3531</v>
      </c>
      <c r="B61" s="3580" t="s">
        <v>3232</v>
      </c>
      <c r="C61" s="3580" t="s">
        <v>3233</v>
      </c>
      <c r="D61" s="3581">
        <v>20470.900000000001</v>
      </c>
      <c r="E61" s="3581">
        <v>110542.9</v>
      </c>
      <c r="F61" s="3581">
        <v>5.5</v>
      </c>
      <c r="G61" s="3580" t="s">
        <v>3234</v>
      </c>
      <c r="H61" s="3582">
        <v>43663</v>
      </c>
      <c r="I61" s="3581">
        <v>35000</v>
      </c>
      <c r="J61" s="3581">
        <v>35000</v>
      </c>
      <c r="K61" s="3581">
        <v>3166.19</v>
      </c>
      <c r="L61" s="3581">
        <v>0</v>
      </c>
      <c r="M61" s="3579" t="s">
        <v>3532</v>
      </c>
    </row>
    <row r="62" spans="1:13" ht="14.25" thickBot="1">
      <c r="A62" s="3575" t="s">
        <v>3533</v>
      </c>
      <c r="B62" s="3576" t="s">
        <v>3232</v>
      </c>
      <c r="C62" s="3576" t="s">
        <v>3233</v>
      </c>
      <c r="D62" s="3577">
        <v>35132.5</v>
      </c>
      <c r="E62" s="3577">
        <v>42159</v>
      </c>
      <c r="F62" s="3577" t="s">
        <v>3534</v>
      </c>
      <c r="G62" s="3576" t="s">
        <v>3234</v>
      </c>
      <c r="H62" s="3578">
        <v>43615</v>
      </c>
      <c r="I62" s="3577">
        <v>28300</v>
      </c>
      <c r="J62" s="3577">
        <v>28300</v>
      </c>
      <c r="K62" s="3577">
        <v>6712.68</v>
      </c>
      <c r="L62" s="3577">
        <v>0</v>
      </c>
      <c r="M62" s="3575" t="s">
        <v>3535</v>
      </c>
    </row>
    <row r="63" spans="1:13" ht="14.25" thickBot="1">
      <c r="A63" s="3575" t="s">
        <v>3536</v>
      </c>
      <c r="B63" s="3576" t="s">
        <v>3232</v>
      </c>
      <c r="C63" s="3576" t="s">
        <v>3233</v>
      </c>
      <c r="D63" s="3577">
        <v>12331</v>
      </c>
      <c r="E63" s="3577">
        <v>14797.2</v>
      </c>
      <c r="F63" s="3577" t="s">
        <v>3534</v>
      </c>
      <c r="G63" s="3576" t="s">
        <v>3234</v>
      </c>
      <c r="H63" s="3578">
        <v>43595</v>
      </c>
      <c r="I63" s="3577">
        <v>4070</v>
      </c>
      <c r="J63" s="3577">
        <v>4070</v>
      </c>
      <c r="K63" s="3577">
        <v>2750.51</v>
      </c>
      <c r="L63" s="3577">
        <v>0</v>
      </c>
      <c r="M63" s="3576" t="s">
        <v>3537</v>
      </c>
    </row>
    <row r="64" spans="1:13" ht="14.25" thickBot="1">
      <c r="A64" s="3575" t="s">
        <v>3538</v>
      </c>
      <c r="B64" s="3576" t="s">
        <v>3232</v>
      </c>
      <c r="C64" s="3576" t="s">
        <v>3233</v>
      </c>
      <c r="D64" s="3577">
        <v>50275</v>
      </c>
      <c r="E64" s="3577">
        <v>60330</v>
      </c>
      <c r="F64" s="3577" t="s">
        <v>3510</v>
      </c>
      <c r="G64" s="3576" t="s">
        <v>3234</v>
      </c>
      <c r="H64" s="3578">
        <v>43594</v>
      </c>
      <c r="I64" s="3577">
        <v>9100</v>
      </c>
      <c r="J64" s="3577">
        <v>9100</v>
      </c>
      <c r="K64" s="3577">
        <v>1508.36</v>
      </c>
      <c r="L64" s="3577">
        <v>0</v>
      </c>
      <c r="M64" s="3575" t="s">
        <v>3539</v>
      </c>
    </row>
    <row r="65" spans="1:13" ht="14.25" thickBot="1">
      <c r="A65" s="3575" t="s">
        <v>3540</v>
      </c>
      <c r="B65" s="3576" t="s">
        <v>3232</v>
      </c>
      <c r="C65" s="3576" t="s">
        <v>3233</v>
      </c>
      <c r="D65" s="3577">
        <v>262658</v>
      </c>
      <c r="E65" s="3577">
        <v>262658</v>
      </c>
      <c r="F65" s="3577" t="s">
        <v>3541</v>
      </c>
      <c r="G65" s="3576" t="s">
        <v>3234</v>
      </c>
      <c r="H65" s="3578">
        <v>43594</v>
      </c>
      <c r="I65" s="3577">
        <v>22060</v>
      </c>
      <c r="J65" s="3577">
        <v>22060</v>
      </c>
      <c r="K65" s="3577">
        <v>839.87</v>
      </c>
      <c r="L65" s="3577">
        <v>0</v>
      </c>
      <c r="M65" s="3575" t="s">
        <v>3542</v>
      </c>
    </row>
    <row r="66" spans="1:13" ht="14.25" thickBot="1">
      <c r="A66" s="3575" t="s">
        <v>3543</v>
      </c>
      <c r="B66" s="3576" t="s">
        <v>3232</v>
      </c>
      <c r="C66" s="3576" t="s">
        <v>3233</v>
      </c>
      <c r="D66" s="3577">
        <v>1281.5</v>
      </c>
      <c r="E66" s="3577">
        <v>897.05</v>
      </c>
      <c r="F66" s="3577" t="s">
        <v>3544</v>
      </c>
      <c r="G66" s="3576" t="s">
        <v>3234</v>
      </c>
      <c r="H66" s="3578">
        <v>43558</v>
      </c>
      <c r="I66" s="3577">
        <v>621</v>
      </c>
      <c r="J66" s="3577">
        <v>621</v>
      </c>
      <c r="K66" s="3577">
        <v>6922.68</v>
      </c>
      <c r="L66" s="3577">
        <v>0</v>
      </c>
      <c r="M66" s="3575" t="s">
        <v>3545</v>
      </c>
    </row>
    <row r="67" spans="1:13" ht="14.25" thickBot="1">
      <c r="A67" s="3575" t="s">
        <v>3546</v>
      </c>
      <c r="B67" s="3576" t="s">
        <v>3232</v>
      </c>
      <c r="C67" s="3576" t="s">
        <v>3233</v>
      </c>
      <c r="D67" s="3577">
        <v>9932</v>
      </c>
      <c r="E67" s="3577">
        <v>11918.4</v>
      </c>
      <c r="F67" s="3577" t="s">
        <v>3534</v>
      </c>
      <c r="G67" s="3576" t="s">
        <v>3234</v>
      </c>
      <c r="H67" s="3578">
        <v>43532</v>
      </c>
      <c r="I67" s="3577">
        <v>404</v>
      </c>
      <c r="J67" s="3577">
        <v>404</v>
      </c>
      <c r="K67" s="3577">
        <v>338.97</v>
      </c>
      <c r="L67" s="3577">
        <v>0</v>
      </c>
      <c r="M67" s="3575" t="s">
        <v>3547</v>
      </c>
    </row>
    <row r="68" spans="1:13" ht="14.25" thickBot="1">
      <c r="A68" s="3575" t="s">
        <v>3548</v>
      </c>
      <c r="B68" s="3576" t="s">
        <v>3232</v>
      </c>
      <c r="C68" s="3576" t="s">
        <v>3233</v>
      </c>
      <c r="D68" s="3577">
        <v>2025</v>
      </c>
      <c r="E68" s="3577">
        <v>506.25</v>
      </c>
      <c r="F68" s="3577" t="s">
        <v>3549</v>
      </c>
      <c r="G68" s="3576" t="s">
        <v>3234</v>
      </c>
      <c r="H68" s="3578">
        <v>43532</v>
      </c>
      <c r="I68" s="3577">
        <v>904</v>
      </c>
      <c r="J68" s="3577">
        <v>904</v>
      </c>
      <c r="K68" s="3577">
        <v>17856.79</v>
      </c>
      <c r="L68" s="3577">
        <v>0</v>
      </c>
      <c r="M68" s="3575" t="s">
        <v>3550</v>
      </c>
    </row>
    <row r="69" spans="1:13" ht="14.25" thickBot="1">
      <c r="A69" s="3575" t="s">
        <v>3551</v>
      </c>
      <c r="B69" s="3576" t="s">
        <v>3232</v>
      </c>
      <c r="C69" s="3576" t="s">
        <v>3233</v>
      </c>
      <c r="D69" s="3577">
        <v>34078</v>
      </c>
      <c r="E69" s="3577">
        <v>54524.800000000003</v>
      </c>
      <c r="F69" s="3577" t="s">
        <v>3552</v>
      </c>
      <c r="G69" s="3576" t="s">
        <v>3234</v>
      </c>
      <c r="H69" s="3578">
        <v>43531</v>
      </c>
      <c r="I69" s="3577">
        <v>4500</v>
      </c>
      <c r="J69" s="3577">
        <v>4500</v>
      </c>
      <c r="K69" s="3577">
        <v>825.3</v>
      </c>
      <c r="L69" s="3577">
        <v>0</v>
      </c>
      <c r="M69" s="3575" t="s">
        <v>3553</v>
      </c>
    </row>
    <row r="70" spans="1:13" ht="14.25" thickBot="1">
      <c r="A70" s="3575" t="s">
        <v>3554</v>
      </c>
      <c r="B70" s="3576" t="s">
        <v>3232</v>
      </c>
      <c r="C70" s="3576" t="s">
        <v>3233</v>
      </c>
      <c r="D70" s="3577">
        <v>15942</v>
      </c>
      <c r="E70" s="3577">
        <v>9565.2000000000007</v>
      </c>
      <c r="F70" s="3577" t="s">
        <v>3555</v>
      </c>
      <c r="G70" s="3576" t="s">
        <v>3234</v>
      </c>
      <c r="H70" s="3578">
        <v>43525</v>
      </c>
      <c r="I70" s="3577">
        <v>2032</v>
      </c>
      <c r="J70" s="3577">
        <v>2032</v>
      </c>
      <c r="K70" s="3577">
        <v>2124.36</v>
      </c>
      <c r="L70" s="3577">
        <v>0</v>
      </c>
      <c r="M70" s="3575" t="s">
        <v>3556</v>
      </c>
    </row>
    <row r="71" spans="1:13" ht="14.25" thickBot="1">
      <c r="A71" s="3575" t="s">
        <v>3557</v>
      </c>
      <c r="B71" s="3576" t="s">
        <v>3232</v>
      </c>
      <c r="C71" s="3576" t="s">
        <v>3233</v>
      </c>
      <c r="D71" s="3577">
        <v>3988</v>
      </c>
      <c r="E71" s="3577">
        <v>5982</v>
      </c>
      <c r="F71" s="3577" t="s">
        <v>3558</v>
      </c>
      <c r="G71" s="3576" t="s">
        <v>3234</v>
      </c>
      <c r="H71" s="3578">
        <v>43498</v>
      </c>
      <c r="I71" s="3577">
        <v>778</v>
      </c>
      <c r="J71" s="3577">
        <v>778</v>
      </c>
      <c r="K71" s="3577">
        <v>1300.56</v>
      </c>
      <c r="L71" s="3577">
        <v>0</v>
      </c>
      <c r="M71" s="3575" t="s">
        <v>3559</v>
      </c>
    </row>
    <row r="72" spans="1:13" ht="14.25" thickBot="1">
      <c r="A72" s="3575" t="s">
        <v>3560</v>
      </c>
      <c r="B72" s="3576" t="s">
        <v>3232</v>
      </c>
      <c r="C72" s="3576" t="s">
        <v>3233</v>
      </c>
      <c r="D72" s="3577">
        <v>47741.4</v>
      </c>
      <c r="E72" s="3577">
        <v>109805.2</v>
      </c>
      <c r="F72" s="3577" t="s">
        <v>3561</v>
      </c>
      <c r="G72" s="3576" t="s">
        <v>3234</v>
      </c>
      <c r="H72" s="3578">
        <v>43494</v>
      </c>
      <c r="I72" s="3577">
        <v>22925</v>
      </c>
      <c r="J72" s="3577">
        <v>22925</v>
      </c>
      <c r="K72" s="3577">
        <v>2087.7800000000002</v>
      </c>
      <c r="L72" s="3577">
        <v>0</v>
      </c>
      <c r="M72" s="3575" t="s">
        <v>3562</v>
      </c>
    </row>
    <row r="73" spans="1:13" ht="14.25" thickBot="1">
      <c r="A73" s="3575" t="s">
        <v>3563</v>
      </c>
      <c r="B73" s="3576" t="s">
        <v>3232</v>
      </c>
      <c r="C73" s="3576" t="s">
        <v>3233</v>
      </c>
      <c r="D73" s="3577">
        <v>7110</v>
      </c>
      <c r="E73" s="3577">
        <v>31995</v>
      </c>
      <c r="F73" s="3577" t="s">
        <v>3564</v>
      </c>
      <c r="G73" s="3576" t="s">
        <v>3234</v>
      </c>
      <c r="H73" s="3578">
        <v>43494</v>
      </c>
      <c r="I73" s="3577">
        <v>1525</v>
      </c>
      <c r="J73" s="3577">
        <v>1525</v>
      </c>
      <c r="K73" s="3577">
        <v>476.63</v>
      </c>
      <c r="L73" s="3577">
        <v>0</v>
      </c>
      <c r="M73" s="3575" t="s">
        <v>3565</v>
      </c>
    </row>
    <row r="74" spans="1:13" ht="14.25" thickBot="1">
      <c r="A74" s="3575" t="s">
        <v>3566</v>
      </c>
      <c r="B74" s="3576" t="s">
        <v>3232</v>
      </c>
      <c r="C74" s="3576" t="s">
        <v>3233</v>
      </c>
      <c r="D74" s="3577">
        <v>4569</v>
      </c>
      <c r="E74" s="3577">
        <v>5482.8</v>
      </c>
      <c r="F74" s="3577" t="s">
        <v>3534</v>
      </c>
      <c r="G74" s="3576" t="s">
        <v>3234</v>
      </c>
      <c r="H74" s="3578">
        <v>43494</v>
      </c>
      <c r="I74" s="3577">
        <v>959</v>
      </c>
      <c r="J74" s="3577">
        <v>959</v>
      </c>
      <c r="K74" s="3577">
        <v>1749.1</v>
      </c>
      <c r="L74" s="3577">
        <v>0</v>
      </c>
      <c r="M74" s="3575" t="s">
        <v>3567</v>
      </c>
    </row>
    <row r="75" spans="1:13" ht="14.25" thickBot="1">
      <c r="A75" s="3575" t="s">
        <v>3568</v>
      </c>
      <c r="B75" s="3576" t="s">
        <v>3232</v>
      </c>
      <c r="C75" s="3576" t="s">
        <v>3233</v>
      </c>
      <c r="D75" s="3577">
        <v>9352</v>
      </c>
      <c r="E75" s="3577">
        <v>11222.4</v>
      </c>
      <c r="F75" s="3577" t="s">
        <v>3534</v>
      </c>
      <c r="G75" s="3576" t="s">
        <v>3234</v>
      </c>
      <c r="H75" s="3578">
        <v>43494</v>
      </c>
      <c r="I75" s="3577">
        <v>1964</v>
      </c>
      <c r="J75" s="3577">
        <v>1964</v>
      </c>
      <c r="K75" s="3577">
        <v>1750.06</v>
      </c>
      <c r="L75" s="3577">
        <v>0</v>
      </c>
      <c r="M75" s="3575" t="s">
        <v>3569</v>
      </c>
    </row>
    <row r="76" spans="1:13" ht="14.25" thickBot="1">
      <c r="A76" s="3575" t="s">
        <v>3570</v>
      </c>
      <c r="B76" s="3576" t="s">
        <v>3232</v>
      </c>
      <c r="C76" s="3576" t="s">
        <v>3233</v>
      </c>
      <c r="D76" s="3577">
        <v>2079</v>
      </c>
      <c r="E76" s="3577">
        <v>1663.2</v>
      </c>
      <c r="F76" s="3577" t="s">
        <v>3571</v>
      </c>
      <c r="G76" s="3576" t="s">
        <v>3234</v>
      </c>
      <c r="H76" s="3578">
        <v>43488</v>
      </c>
      <c r="I76" s="3577">
        <v>394</v>
      </c>
      <c r="J76" s="3577">
        <v>394</v>
      </c>
      <c r="K76" s="3577">
        <v>2368.92</v>
      </c>
      <c r="L76" s="3577">
        <v>0</v>
      </c>
      <c r="M76" s="3575" t="s">
        <v>3572</v>
      </c>
    </row>
    <row r="77" spans="1:13" ht="14.25" thickBot="1">
      <c r="A77" s="3575" t="s">
        <v>3573</v>
      </c>
      <c r="B77" s="3576" t="s">
        <v>3232</v>
      </c>
      <c r="C77" s="3576" t="s">
        <v>3233</v>
      </c>
      <c r="D77" s="3577">
        <v>6213</v>
      </c>
      <c r="E77" s="3577">
        <v>14289.9</v>
      </c>
      <c r="F77" s="3577" t="s">
        <v>3561</v>
      </c>
      <c r="G77" s="3576" t="s">
        <v>3234</v>
      </c>
      <c r="H77" s="3578">
        <v>43483</v>
      </c>
      <c r="I77" s="3577">
        <v>3094</v>
      </c>
      <c r="J77" s="3577">
        <v>3094</v>
      </c>
      <c r="K77" s="3577">
        <v>2165.17</v>
      </c>
      <c r="L77" s="3577">
        <v>0</v>
      </c>
      <c r="M77" s="3575" t="s">
        <v>3574</v>
      </c>
    </row>
    <row r="78" spans="1:13" ht="14.25" thickBot="1">
      <c r="A78" s="3575" t="s">
        <v>3575</v>
      </c>
      <c r="B78" s="3576" t="s">
        <v>3232</v>
      </c>
      <c r="C78" s="3576" t="s">
        <v>3233</v>
      </c>
      <c r="D78" s="3577">
        <v>10630</v>
      </c>
      <c r="E78" s="3577">
        <v>31890</v>
      </c>
      <c r="F78" s="3577" t="s">
        <v>3576</v>
      </c>
      <c r="G78" s="3576" t="s">
        <v>3234</v>
      </c>
      <c r="H78" s="3578">
        <v>43452</v>
      </c>
      <c r="I78" s="3577">
        <v>1560</v>
      </c>
      <c r="J78" s="3577">
        <v>1560</v>
      </c>
      <c r="K78" s="3577">
        <v>489.18</v>
      </c>
      <c r="L78" s="3577">
        <v>0</v>
      </c>
      <c r="M78" s="3575" t="s">
        <v>3577</v>
      </c>
    </row>
    <row r="79" spans="1:13" ht="14.25" thickBot="1">
      <c r="A79" s="3575" t="s">
        <v>3578</v>
      </c>
      <c r="B79" s="3576" t="s">
        <v>3232</v>
      </c>
      <c r="C79" s="3576" t="s">
        <v>3233</v>
      </c>
      <c r="D79" s="3577">
        <v>36292</v>
      </c>
      <c r="E79" s="3577">
        <v>101617.60000000001</v>
      </c>
      <c r="F79" s="3577" t="s">
        <v>3579</v>
      </c>
      <c r="G79" s="3576" t="s">
        <v>3234</v>
      </c>
      <c r="H79" s="3578">
        <v>43448</v>
      </c>
      <c r="I79" s="3577">
        <v>16006</v>
      </c>
      <c r="J79" s="3577">
        <v>16006</v>
      </c>
      <c r="K79" s="3577">
        <v>1575.11</v>
      </c>
      <c r="L79" s="3577">
        <v>0</v>
      </c>
      <c r="M79" s="3575" t="s">
        <v>3580</v>
      </c>
    </row>
    <row r="80" spans="1:13" ht="14.25" thickBot="1">
      <c r="A80" s="3575" t="s">
        <v>3581</v>
      </c>
      <c r="B80" s="3576" t="s">
        <v>3232</v>
      </c>
      <c r="C80" s="3576" t="s">
        <v>3233</v>
      </c>
      <c r="D80" s="3577">
        <v>43018</v>
      </c>
      <c r="E80" s="3577">
        <v>81734.2</v>
      </c>
      <c r="F80" s="3577" t="s">
        <v>3582</v>
      </c>
      <c r="G80" s="3576" t="s">
        <v>3234</v>
      </c>
      <c r="H80" s="3578">
        <v>43448</v>
      </c>
      <c r="I80" s="3577">
        <v>15552</v>
      </c>
      <c r="J80" s="3577">
        <v>15552</v>
      </c>
      <c r="K80" s="3577">
        <v>1902.75</v>
      </c>
      <c r="L80" s="3577">
        <v>0</v>
      </c>
      <c r="M80" s="3575" t="s">
        <v>3580</v>
      </c>
    </row>
    <row r="81" spans="1:13" ht="14.25" thickBot="1">
      <c r="A81" s="3575" t="s">
        <v>3583</v>
      </c>
      <c r="B81" s="3576" t="s">
        <v>3232</v>
      </c>
      <c r="C81" s="3576" t="s">
        <v>3233</v>
      </c>
      <c r="D81" s="3577">
        <v>13822</v>
      </c>
      <c r="E81" s="3577">
        <v>16586.400000000001</v>
      </c>
      <c r="F81" s="3577" t="s">
        <v>3584</v>
      </c>
      <c r="G81" s="3576" t="s">
        <v>3234</v>
      </c>
      <c r="H81" s="3578">
        <v>43448</v>
      </c>
      <c r="I81" s="3577">
        <v>12799</v>
      </c>
      <c r="J81" s="3577">
        <v>12799</v>
      </c>
      <c r="K81" s="3577">
        <v>7716.56</v>
      </c>
      <c r="L81" s="3577">
        <v>0</v>
      </c>
      <c r="M81" s="3575" t="s">
        <v>3585</v>
      </c>
    </row>
    <row r="82" spans="1:13" ht="14.25" thickBot="1">
      <c r="A82" s="3575" t="s">
        <v>3583</v>
      </c>
      <c r="B82" s="3576" t="s">
        <v>3232</v>
      </c>
      <c r="C82" s="3576" t="s">
        <v>3233</v>
      </c>
      <c r="D82" s="3577">
        <v>33787</v>
      </c>
      <c r="E82" s="3577">
        <v>40544.400000000001</v>
      </c>
      <c r="F82" s="3577" t="s">
        <v>3584</v>
      </c>
      <c r="G82" s="3576" t="s">
        <v>3234</v>
      </c>
      <c r="H82" s="3578">
        <v>43448</v>
      </c>
      <c r="I82" s="3577">
        <v>31290</v>
      </c>
      <c r="J82" s="3577">
        <v>31290</v>
      </c>
      <c r="K82" s="3577">
        <v>7717.47</v>
      </c>
      <c r="L82" s="3577">
        <v>0</v>
      </c>
      <c r="M82" s="3575" t="s">
        <v>3585</v>
      </c>
    </row>
    <row r="83" spans="1:13" ht="14.25" thickBot="1">
      <c r="A83" s="3575" t="s">
        <v>3586</v>
      </c>
      <c r="B83" s="3576" t="s">
        <v>3232</v>
      </c>
      <c r="C83" s="3576" t="s">
        <v>3233</v>
      </c>
      <c r="D83" s="3577">
        <v>8246</v>
      </c>
      <c r="E83" s="3577">
        <v>20615</v>
      </c>
      <c r="F83" s="3577" t="s">
        <v>3501</v>
      </c>
      <c r="G83" s="3576" t="s">
        <v>3234</v>
      </c>
      <c r="H83" s="3578">
        <v>43418</v>
      </c>
      <c r="I83" s="3577">
        <v>770</v>
      </c>
      <c r="J83" s="3577">
        <v>770</v>
      </c>
      <c r="K83" s="3577">
        <v>373.5</v>
      </c>
      <c r="L83" s="3577">
        <v>0</v>
      </c>
      <c r="M83" s="3575" t="s">
        <v>3587</v>
      </c>
    </row>
    <row r="84" spans="1:13" ht="14.25" thickBot="1">
      <c r="A84" s="3575" t="s">
        <v>3588</v>
      </c>
      <c r="B84" s="3576" t="s">
        <v>3232</v>
      </c>
      <c r="C84" s="3576" t="s">
        <v>3233</v>
      </c>
      <c r="D84" s="3577">
        <v>5493</v>
      </c>
      <c r="E84" s="3577">
        <v>2746.5</v>
      </c>
      <c r="F84" s="3577" t="s">
        <v>3589</v>
      </c>
      <c r="G84" s="3576" t="s">
        <v>3234</v>
      </c>
      <c r="H84" s="3578">
        <v>43417</v>
      </c>
      <c r="I84" s="3577">
        <v>4944</v>
      </c>
      <c r="J84" s="3577">
        <v>6744</v>
      </c>
      <c r="K84" s="3577">
        <v>24554.880000000001</v>
      </c>
      <c r="L84" s="3577">
        <v>36.409999999999997</v>
      </c>
      <c r="M84" s="3575" t="s">
        <v>3590</v>
      </c>
    </row>
    <row r="85" spans="1:13" ht="14.25" thickBot="1">
      <c r="A85" s="3575" t="s">
        <v>3591</v>
      </c>
      <c r="B85" s="3576" t="s">
        <v>3232</v>
      </c>
      <c r="C85" s="3576" t="s">
        <v>3233</v>
      </c>
      <c r="D85" s="3577">
        <v>23113</v>
      </c>
      <c r="E85" s="3577">
        <v>36980.800000000003</v>
      </c>
      <c r="F85" s="3577" t="s">
        <v>3552</v>
      </c>
      <c r="G85" s="3576" t="s">
        <v>3234</v>
      </c>
      <c r="H85" s="3578">
        <v>43406</v>
      </c>
      <c r="I85" s="3577">
        <v>2960</v>
      </c>
      <c r="J85" s="3577">
        <v>2960</v>
      </c>
      <c r="K85" s="3577">
        <v>800.41</v>
      </c>
      <c r="L85" s="3577">
        <v>0</v>
      </c>
      <c r="M85" s="3575" t="s">
        <v>3592</v>
      </c>
    </row>
    <row r="86" spans="1:13" ht="14.25" thickBot="1">
      <c r="A86" s="3575" t="s">
        <v>3593</v>
      </c>
      <c r="B86" s="3576" t="s">
        <v>3232</v>
      </c>
      <c r="C86" s="3576" t="s">
        <v>3233</v>
      </c>
      <c r="D86" s="3577">
        <v>99806.5</v>
      </c>
      <c r="E86" s="3577">
        <v>149709.79999999999</v>
      </c>
      <c r="F86" s="3577" t="s">
        <v>3558</v>
      </c>
      <c r="G86" s="3576" t="s">
        <v>3234</v>
      </c>
      <c r="H86" s="3578">
        <v>43382</v>
      </c>
      <c r="I86" s="3577">
        <v>21500</v>
      </c>
      <c r="J86" s="3577">
        <v>21500</v>
      </c>
      <c r="K86" s="3577">
        <v>1436.1</v>
      </c>
      <c r="L86" s="3577">
        <v>0</v>
      </c>
      <c r="M86" s="3575" t="s">
        <v>3594</v>
      </c>
    </row>
    <row r="87" spans="1:13" ht="14.25" thickBot="1">
      <c r="A87" s="3575" t="s">
        <v>3595</v>
      </c>
      <c r="B87" s="3576" t="s">
        <v>3232</v>
      </c>
      <c r="C87" s="3576" t="s">
        <v>3233</v>
      </c>
      <c r="D87" s="3577">
        <v>1664</v>
      </c>
      <c r="E87" s="3577">
        <v>748.8</v>
      </c>
      <c r="F87" s="3577" t="s">
        <v>3596</v>
      </c>
      <c r="G87" s="3576" t="s">
        <v>3234</v>
      </c>
      <c r="H87" s="3578">
        <v>43371</v>
      </c>
      <c r="I87" s="3577">
        <v>611</v>
      </c>
      <c r="J87" s="3577">
        <v>4091</v>
      </c>
      <c r="K87" s="3577">
        <v>54634.080000000002</v>
      </c>
      <c r="L87" s="3577">
        <v>569.55999999999995</v>
      </c>
      <c r="M87" s="3575" t="s">
        <v>3545</v>
      </c>
    </row>
    <row r="88" spans="1:13" ht="14.25" thickBot="1">
      <c r="A88" s="3575" t="s">
        <v>3597</v>
      </c>
      <c r="B88" s="3576" t="s">
        <v>3232</v>
      </c>
      <c r="C88" s="3576" t="s">
        <v>3233</v>
      </c>
      <c r="D88" s="3577">
        <v>3561</v>
      </c>
      <c r="E88" s="3577">
        <v>3596.61</v>
      </c>
      <c r="F88" s="3577">
        <v>1.01</v>
      </c>
      <c r="G88" s="3576" t="s">
        <v>3234</v>
      </c>
      <c r="H88" s="3578">
        <v>43369</v>
      </c>
      <c r="I88" s="3577">
        <v>712</v>
      </c>
      <c r="J88" s="3577">
        <v>712</v>
      </c>
      <c r="K88" s="3577">
        <v>1979.64</v>
      </c>
      <c r="L88" s="3577">
        <v>0</v>
      </c>
      <c r="M88" s="3575" t="s">
        <v>3598</v>
      </c>
    </row>
    <row r="89" spans="1:13" ht="14.25" thickBot="1">
      <c r="A89" s="3575" t="s">
        <v>3599</v>
      </c>
      <c r="B89" s="3576" t="s">
        <v>3232</v>
      </c>
      <c r="C89" s="3576" t="s">
        <v>3233</v>
      </c>
      <c r="D89" s="3577">
        <v>4517</v>
      </c>
      <c r="E89" s="3577">
        <v>11292.5</v>
      </c>
      <c r="F89" s="3577" t="s">
        <v>3501</v>
      </c>
      <c r="G89" s="3576" t="s">
        <v>3234</v>
      </c>
      <c r="H89" s="3578">
        <v>43369</v>
      </c>
      <c r="I89" s="3577">
        <v>955</v>
      </c>
      <c r="J89" s="3577">
        <v>955</v>
      </c>
      <c r="K89" s="3577">
        <v>845.69</v>
      </c>
      <c r="L89" s="3577">
        <v>0</v>
      </c>
      <c r="M89" s="3575" t="s">
        <v>3598</v>
      </c>
    </row>
    <row r="227" spans="9:9">
      <c r="I227" s="3501" t="s">
        <v>3615</v>
      </c>
    </row>
  </sheetData>
  <phoneticPr fontId="233" type="noConversion"/>
  <hyperlinks>
    <hyperlink ref="A40" r:id="rId1" tooltip="宜兴市太华镇石门村凤石线北侧地块" display="https://creis.fang.com/land/Detail?sParceliD=d4cdc633-e7c3-442a-8707-8242c33e7f7d"/>
    <hyperlink ref="M40" r:id="rId2" display="https://creis.fang.com/land/Tyc/Index/?sParcelID=d4cdc633-e7c3-442a-8707-8242c33e7f7d"/>
    <hyperlink ref="A41" r:id="rId3" tooltip="滨湖区胡埭工业园洋溪河西侧" display="https://creis.fang.com/land/Detail?sParceliD=3eb39dab-0d23-4e66-a1ae-ee51e98f324e"/>
    <hyperlink ref="M41" r:id="rId4" display="https://creis.fang.com/land/Tyc/Index/?sParcelID=3eb39dab-0d23-4e66-a1ae-ee51e98f324e"/>
    <hyperlink ref="A42" r:id="rId5" tooltip="滨湖区胡埭工业园洋溪河与钱胡路交叉口西北侧" display="https://creis.fang.com/land/Detail?sParceliD=5776fdd7-92bf-4f9b-86b4-e7613b42ba79"/>
    <hyperlink ref="M42" r:id="rId6" display="https://creis.fang.com/land/Tyc/Index/?sParcelID=5776fdd7-92bf-4f9b-86b4-e7613b42ba79"/>
    <hyperlink ref="A43" r:id="rId7" tooltip="惠山区洛社镇中惠路北侧、石洲路西侧" display="https://creis.fang.com/land/Detail?sParceliD=aa44ce2c-8f17-411f-b5e8-0e2a26be6085"/>
    <hyperlink ref="M43" r:id="rId8" display="https://creis.fang.com/land/Tyc/Index/?sParcelID=aa44ce2c-8f17-411f-b5e8-0e2a26be6085"/>
    <hyperlink ref="A44" r:id="rId9" tooltip="经开区贡湖大道与梁东璐交叉口东南侧" display="https://creis.fang.com/land/Detail?sParceliD=bbfff951-cc6a-41e1-80a2-b7475476f75d"/>
    <hyperlink ref="M44" r:id="rId10" display="https://creis.fang.com/land/Tyc/Index/?sParcelID=bbfff951-cc6a-41e1-80a2-b7475476f75d"/>
    <hyperlink ref="A45" r:id="rId11" tooltip="惠山区惠山新城堰裕路北侧" display="https://creis.fang.com/land/Detail?sParceliD=fd453957-6d19-4faf-a22b-08b3d8b3af66"/>
    <hyperlink ref="M45" r:id="rId12" display="https://creis.fang.com/land/Tyc/Index/?sParcelID=fd453957-6d19-4faf-a22b-08b3d8b3af66"/>
    <hyperlink ref="A46" r:id="rId13" tooltip="江阴市澄江街道青山路北、通渡路西" display="https://creis.fang.com/land/Detail?sParceliD=08425961-6f03-4589-bf3d-27df02fbf4a9"/>
    <hyperlink ref="M46" r:id="rId14" display="https://creis.fang.com/land/Tyc/Index/?sParcelID=08425961-6f03-4589-bf3d-27df02fbf4a9"/>
    <hyperlink ref="A47" r:id="rId15" tooltip="新吴区华谊路以东、科研北路以南、净慧西道以西、和风路以北" display="https://creis.fang.com/land/Detail?sParceliD=6b45d9bf-38d0-4200-81d4-f2da3be8e579"/>
    <hyperlink ref="M47" r:id="rId16" display="https://creis.fang.com/land/Tyc/Index/?sParcelID=6b45d9bf-38d0-4200-81d4-f2da3be8e579"/>
    <hyperlink ref="A48" r:id="rId17" tooltip="新吴区华谊路以东、科研北路以南、净慧西道以西、和风路以北" display="https://creis.fang.com/land/Detail?sParceliD=c6ae4626-ddd4-4b6f-9540-32fa3fb23d09"/>
    <hyperlink ref="M48" r:id="rId18" display="https://creis.fang.com/land/Tyc/Index/?sParcelID=c6ae4626-ddd4-4b6f-9540-32fa3fb23d09"/>
    <hyperlink ref="A49" r:id="rId19" tooltip="梁溪区广益路与北新河交叉口西北侧" display="https://creis.fang.com/land/Detail?sParceliD=c972c955-239a-41e2-be29-f538511b37e9"/>
    <hyperlink ref="M49" r:id="rId20" display="https://creis.fang.com/land/Tyc/Index/?sParcelID=c972c955-239a-41e2-be29-f538511b37e9"/>
    <hyperlink ref="A50" r:id="rId21" tooltip="江阴市祝塘镇东至纵二路、西至香草花苑、南至镇北路" display="https://creis.fang.com/land/Detail?sParceliD=1bd1bcfe-b3e8-4df8-a9b9-c2f623e3808b"/>
    <hyperlink ref="A51" r:id="rId22" tooltip="锡东新城商务区盛源路西、鹏程路南" display="https://creis.fang.com/land/Detail?sParceliD=391b4f60-9217-477e-8d8c-82b8346d2c64"/>
    <hyperlink ref="M51" r:id="rId23" display="https://creis.fang.com/land/Tyc/Index/?sParcelID=391b4f60-9217-477e-8d8c-82b8346d2c64"/>
    <hyperlink ref="A52" r:id="rId24" tooltip="新吴区兴昌路东侧、金城路南侧" display="https://creis.fang.com/land/Detail?sParceliD=6aa34804-df7c-4f0d-a374-42689fdb8e2b"/>
    <hyperlink ref="M52" r:id="rId25" display="https://creis.fang.com/land/Tyc/Index/?sParcelID=6aa34804-df7c-4f0d-a374-42689fdb8e2b"/>
    <hyperlink ref="A53" r:id="rId26" tooltip="滨湖区科教产业园中邦蠡湖商务园东侧" display="https://creis.fang.com/land/Detail?sParceliD=912d23d1-07e8-48b0-b1c6-48a4ab9fa8b4"/>
    <hyperlink ref="M53" r:id="rId27" display="https://creis.fang.com/land/Tyc/Index/?sParcelID=912d23d1-07e8-48b0-b1c6-48a4ab9fa8b4"/>
    <hyperlink ref="A54" r:id="rId28" tooltip="新吴区兴昌路东侧、前卫路北侧" display="https://creis.fang.com/land/Detail?sParceliD=93e8cd06-1929-49d5-9e6b-c6fb65f88a87"/>
    <hyperlink ref="M54" r:id="rId29" display="https://creis.fang.com/land/Tyc/Index/?sParcelID=93e8cd06-1929-49d5-9e6b-c6fb65f88a87"/>
    <hyperlink ref="A55" r:id="rId30" tooltip="滨湖区科教产业园中邦蠡湖商务园东侧" display="https://creis.fang.com/land/Detail?sParceliD=b99bb968-7cd1-4834-a896-bdcd7e0b8ed4"/>
    <hyperlink ref="M55" r:id="rId31" display="https://creis.fang.com/land/Tyc/Index/?sParcelID=b99bb968-7cd1-4834-a896-bdcd7e0b8ed4"/>
    <hyperlink ref="A56" r:id="rId32" tooltip="宜兴市丁蜀镇通蜀西路南侧" display="https://creis.fang.com/land/Detail?sParceliD=031096d2-55a1-483c-b831-89b7a55cd1b9"/>
    <hyperlink ref="M56" r:id="rId33" display="https://creis.fang.com/land/Tyc/Index/?sParcelID=031096d2-55a1-483c-b831-89b7a55cd1b9"/>
    <hyperlink ref="A57" r:id="rId34" tooltip="宜兴市丁蜀镇蜀山社区(原丁山监狱青龙山F地块)" display="https://creis.fang.com/land/Detail?sParceliD=28422137-e934-49bf-b4e6-528a92aad2b9"/>
    <hyperlink ref="M57" r:id="rId35" display="https://creis.fang.com/land/Tyc/Index/?sParcelID=28422137-e934-49bf-b4e6-528a92aad2b9"/>
    <hyperlink ref="A58" r:id="rId36" tooltip="宜兴市丁蜀镇蜀山社区(原丁山监狱青龙山G地块)" display="https://creis.fang.com/land/Detail?sParceliD=98acfb6f-cd98-4823-ba00-1f7242f4bbc9"/>
    <hyperlink ref="M58" r:id="rId37" display="https://creis.fang.com/land/Tyc/Index/?sParcelID=98acfb6f-cd98-4823-ba00-1f7242f4bbc9"/>
    <hyperlink ref="A59" r:id="rId38" tooltip="宜兴市丁蜀镇范蠡大道西侧" display="https://creis.fang.com/land/Detail?sParceliD=ef42d8f0-b0cb-4446-ae3e-d9ff8e6d2f78"/>
    <hyperlink ref="M59" r:id="rId39" display="https://creis.fang.com/land/Tyc/Index/?sParcelID=ef42d8f0-b0cb-4446-ae3e-d9ff8e6d2f78"/>
    <hyperlink ref="A60" r:id="rId40" tooltip="滨湖区具区路和塘绛路交叉口东南侧" display="https://creis.fang.com/land/Detail?sParceliD=4668c4d0-44da-400a-8fc2-94ad65c6f19f"/>
    <hyperlink ref="M60" r:id="rId41" display="https://creis.fang.com/land/Tyc/Index/?sParcelID=4668c4d0-44da-400a-8fc2-94ad65c6f19f"/>
    <hyperlink ref="A61" r:id="rId42" tooltip="梁溪区锡沪路与江海东路交叉口东北侧" display="https://creis.fang.com/land/Detail?sParceliD=802e12b6-d585-4ff6-83e8-427e856f4838"/>
    <hyperlink ref="M61" r:id="rId43" display="https://creis.fang.com/land/Tyc/Index/?sParcelID=802e12b6-d585-4ff6-83e8-427e856f4838"/>
    <hyperlink ref="A62" r:id="rId44" tooltip="梁溪区塘南路与清名路交叉口西南侧" display="https://creis.fang.com/land/Detail?sParceliD=fcdea27c-19d7-4bd6-8767-186c4b8c301f"/>
    <hyperlink ref="M62" r:id="rId45" display="https://creis.fang.com/land/Tyc/Index/?sParcelID=fcdea27c-19d7-4bd6-8767-186c4b8c301f"/>
    <hyperlink ref="A63" r:id="rId46" tooltip="江阴市城东街道石山路西、龙泉路北" display="https://creis.fang.com/land/Detail?sParceliD=abe2a275-6811-4a99-8aa7-af73dc459e59"/>
    <hyperlink ref="A64" r:id="rId47" tooltip="锡东新城商务区弘业东路北、中心河西地块" display="https://creis.fang.com/land/Detail?sParceliD=16b24f37-5a19-493c-8c12-bdaee92b7ba1"/>
    <hyperlink ref="M64" r:id="rId48" display="https://creis.fang.com/land/Tyc/Index/?sParcelID=16b24f37-5a19-493c-8c12-bdaee92b7ba1"/>
    <hyperlink ref="A65" r:id="rId49" tooltip="宜兴市张渚镇茗岭村、龙池村" display="https://creis.fang.com/land/Detail?sParceliD=583f4db3-7120-4539-a7a9-72b1e98f43d9"/>
    <hyperlink ref="M65" r:id="rId50" display="https://creis.fang.com/land/Tyc/Index/?sParcelID=583f4db3-7120-4539-a7a9-72b1e98f43d9"/>
    <hyperlink ref="A66" r:id="rId51" tooltip="梁溪区北中路与桐桥港路交叉口东北侧(锡虞西路与广桐路交叉口东北侧)" display="https://creis.fang.com/land/Detail?sParceliD=e125bc4b-edb9-4b1c-9cdf-ce8595d421e0"/>
    <hyperlink ref="M66" r:id="rId52" display="https://creis.fang.com/land/Tyc/Index/?sParcelID=e125bc4b-edb9-4b1c-9cdf-ce8595d421e0"/>
    <hyperlink ref="A67" r:id="rId53" tooltip="宜兴市丁蜀镇华骐污水处理公司东侧" display="https://creis.fang.com/land/Detail?sParceliD=924de161-5936-4110-9a82-08a34fe1d0b6"/>
    <hyperlink ref="M67" r:id="rId54" display="https://creis.fang.com/land/Tyc/Index/?sParcelID=924de161-5936-4110-9a82-08a34fe1d0b6"/>
    <hyperlink ref="A68" r:id="rId55" tooltip="宜兴市新庄街道湖滨公路西侧" display="https://creis.fang.com/land/Detail?sParceliD=f81ff7fc-efbc-451d-ac44-b9a41fa63cb8"/>
    <hyperlink ref="M68" r:id="rId56" display="https://creis.fang.com/land/Tyc/Index/?sParcelID=f81ff7fc-efbc-451d-ac44-b9a41fa63cb8"/>
    <hyperlink ref="A69" r:id="rId57" tooltip="宜兴市官林镇紫京路北侧官丰路西侧" display="https://creis.fang.com/land/Detail?sParceliD=bc34da70-1398-4461-a7a3-7bb7a52d218d"/>
    <hyperlink ref="M69" r:id="rId58" display="https://creis.fang.com/land/Tyc/Index/?sParcelID=bc34da70-1398-4461-a7a3-7bb7a52d218d"/>
    <hyperlink ref="A70" r:id="rId59" tooltip="宜兴市丁蜀镇洛涧村" display="https://creis.fang.com/land/Detail?sParceliD=7fe710bf-477e-4436-ae58-c8f8f784be2c"/>
    <hyperlink ref="M70" r:id="rId60" display="https://creis.fang.com/land/Tyc/Index/?sParcelID=7fe710bf-477e-4436-ae58-c8f8f784be2c"/>
    <hyperlink ref="A71" r:id="rId61" tooltip="宜兴市湖父镇竹海村" display="https://creis.fang.com/land/Detail?sParceliD=35cceb6d-0a72-463b-a077-69d192898df0"/>
    <hyperlink ref="M71" r:id="rId62" display="https://creis.fang.com/land/Tyc/Index/?sParcelID=35cceb6d-0a72-463b-a077-69d192898df0"/>
    <hyperlink ref="A72" r:id="rId63" tooltip="新吴区震泽路与净慧西道交叉口东南侧" display="https://creis.fang.com/land/Detail?sParceliD=0f381026-a006-49af-8cab-c74135d5c5dd"/>
    <hyperlink ref="M72" r:id="rId64" display="https://creis.fang.com/land/Tyc/Index/?sParcelID=0f381026-a006-49af-8cab-c74135d5c5dd"/>
    <hyperlink ref="A73" r:id="rId65" tooltip="锡山区东北塘街道芙蓉三路北、裕隆大厦东" display="https://creis.fang.com/land/Detail?sParceliD=47dd5202-050b-4c78-a27f-7bb396568e12"/>
    <hyperlink ref="M73" r:id="rId66" display="https://creis.fang.com/land/Tyc/Index/?sParcelID=47dd5202-050b-4c78-a27f-7bb396568e12"/>
    <hyperlink ref="A74" r:id="rId67" tooltip="锡东新城商务区吉利4S东、鹏程路南" display="https://creis.fang.com/land/Detail?sParceliD=7be52908-b0bd-4a26-b233-69f7f02fe6a7"/>
    <hyperlink ref="M74" r:id="rId68" display="https://creis.fang.com/land/Tyc/Index/?sParcelID=7be52908-b0bd-4a26-b233-69f7f02fe6a7"/>
    <hyperlink ref="A75" r:id="rId69" tooltip="锡东新城商务区盛源路西、东安路辅道北" display="https://creis.fang.com/land/Detail?sParceliD=9af068d3-c384-4ad3-bec3-61d909806766"/>
    <hyperlink ref="M75" r:id="rId70" display="https://creis.fang.com/land/Tyc/Index/?sParcelID=9af068d3-c384-4ad3-bec3-61d909806766"/>
    <hyperlink ref="A76" r:id="rId71" tooltip="宜兴市和桥镇和桥庭院南侧" display="https://creis.fang.com/land/Detail?sParceliD=15dff3c3-8b6d-46a6-a2d6-8f3758ca311e"/>
    <hyperlink ref="M76" r:id="rId72" display="https://creis.fang.com/land/Tyc/Index/?sParcelID=15dff3c3-8b6d-46a6-a2d6-8f3758ca311e"/>
    <hyperlink ref="A77" r:id="rId73" tooltip="江阴市顾山镇行政区域范围内东至香山北路、南至人民西路" display="https://creis.fang.com/land/Detail?sParceliD=c9ec083a-6173-4da6-bad2-3475a3d20ff5"/>
    <hyperlink ref="M77" r:id="rId74" display="https://creis.fang.com/land/Tyc/Index/?sParcelID=c9ec083a-6173-4da6-bad2-3475a3d20ff5"/>
    <hyperlink ref="A78" r:id="rId75" tooltip="宜兴市高塍镇赛特大道东侧" display="https://creis.fang.com/land/Detail?sParceliD=1e99119e-532b-49f8-9850-6c38f166108f"/>
    <hyperlink ref="M78" r:id="rId76" display="https://creis.fang.com/land/Tyc/Index/?sParcelID=1e99119e-532b-49f8-9850-6c38f166108f"/>
    <hyperlink ref="A79" r:id="rId77" tooltip="江阴市城东街道创富路东、滨江东路南、秦望山路西、规划道路北" display="https://creis.fang.com/land/Detail?sParceliD=18ed2e5e-2980-499c-bec4-bbec4470fa6f"/>
    <hyperlink ref="M79" r:id="rId78" display="https://creis.fang.com/land/Tyc/Index/?sParcelID=18ed2e5e-2980-499c-bec4-bbec4470fa6f"/>
    <hyperlink ref="A80" r:id="rId79" tooltip="江阴市城东街道秦望山路东、滨江东路南、定山路西、规划道路北" display="https://creis.fang.com/land/Detail?sParceliD=49c93dd5-6f2f-47be-9c0d-aaed8cf34086"/>
    <hyperlink ref="M80" r:id="rId80" display="https://creis.fang.com/land/Tyc/Index/?sParcelID=49c93dd5-6f2f-47be-9c0d-aaed8cf34086"/>
    <hyperlink ref="A81" r:id="rId81" tooltip="江阴市澄江街道虹桥路东、青果路西、塘前路北侧" display="https://creis.fang.com/land/Detail?sParceliD=525d9770-993d-4fd5-acc0-db00f96ae78e"/>
    <hyperlink ref="M81" r:id="rId82" display="https://creis.fang.com/land/Tyc/Index/?sParcelID=525d9770-993d-4fd5-acc0-db00f96ae78e"/>
    <hyperlink ref="A82" r:id="rId83" tooltip="江阴市澄江街道虹桥路东、青果路西、塘前路北侧" display="https://creis.fang.com/land/Detail?sParceliD=dd981c84-235a-4417-bb9e-fb358c751def"/>
    <hyperlink ref="M82" r:id="rId84" display="https://creis.fang.com/land/Tyc/Index/?sParcelID=dd981c84-235a-4417-bb9e-fb358c751def"/>
    <hyperlink ref="A83" r:id="rId85" tooltip="宜兴市西渚镇筱里村" display="https://creis.fang.com/land/Detail?sParceliD=69795874-8f73-46b9-af4b-7569c35e9ef4"/>
    <hyperlink ref="M83" r:id="rId86" display="https://creis.fang.com/land/Tyc/Index/?sParcelID=69795874-8f73-46b9-af4b-7569c35e9ef4"/>
    <hyperlink ref="A84" r:id="rId87" tooltip="江阴市周庄镇龙云路东侧、老澄杨路北侧" display="https://creis.fang.com/land/Detail?sParceliD=4f385d04-6518-4db1-a54a-f32380718267"/>
    <hyperlink ref="M84" r:id="rId88" display="https://creis.fang.com/land/Tyc/Index/?sParcelID=4f385d04-6518-4db1-a54a-f32380718267"/>
    <hyperlink ref="A85" r:id="rId89" tooltip="宜兴市周铁镇解放路西侧、华仁大道南侧" display="https://creis.fang.com/land/Detail?sParceliD=a23412a7-57b5-464d-84b4-a6af8cae72ae"/>
    <hyperlink ref="M85" r:id="rId90" display="https://creis.fang.com/land/Tyc/Index/?sParcelID=a23412a7-57b5-464d-84b4-a6af8cae72ae"/>
    <hyperlink ref="A86" r:id="rId91" tooltip="滨湖区清源路与万顺道交叉口西北侧" display="https://creis.fang.com/land/Detail?sParceliD=f5c2480f-2968-4f50-9724-1af906771ae6"/>
    <hyperlink ref="M86" r:id="rId92" display="https://creis.fang.com/land/Tyc/Index/?sParcelID=f5c2480f-2968-4f50-9724-1af906771ae6"/>
    <hyperlink ref="A87" r:id="rId93" tooltip="宜兴市和桥镇大生村" display="https://creis.fang.com/land/Detail?sParceliD=03a51a05-3e15-47ea-a040-7d2b7be5ce95"/>
    <hyperlink ref="M87" r:id="rId94" display="https://creis.fang.com/land/Tyc/Index/?sParcelID=03a51a05-3e15-47ea-a040-7d2b7be5ce95"/>
    <hyperlink ref="A88" r:id="rId95" tooltip="宜兴市湖父镇银湖村" display="https://creis.fang.com/land/Detail?sParceliD=1c6da8d0-5347-4206-91b7-211ac19987fd"/>
    <hyperlink ref="M88" r:id="rId96" display="https://creis.fang.com/land/Tyc/Index/?sParcelID=1c6da8d0-5347-4206-91b7-211ac19987fd"/>
    <hyperlink ref="A89" r:id="rId97" tooltip="宜兴市湖父镇大东村" display="https://creis.fang.com/land/Detail?sParceliD=49ac57c5-0c6b-4bbf-bd93-4ac8c7e1a5a3"/>
    <hyperlink ref="M89" r:id="rId98" display="https://creis.fang.com/land/Tyc/Index/?sParcelID=49ac57c5-0c6b-4bbf-bd93-4ac8c7e1a5a3"/>
  </hyperlinks>
  <pageMargins left="0.7" right="0.7" top="0.75" bottom="0.75" header="0.3" footer="0.3"/>
  <pageSetup paperSize="9" orientation="portrait" r:id="rId99"/>
  <drawing r:id="rId1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2020年4月2日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2020年4月2日，在规划利用条件下、设定土地开发程度为红线外“七通”、宗地内场地，设定用途为，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94" t="s">
        <v>2039</v>
      </c>
      <c r="B1" s="3594"/>
      <c r="C1" s="3594"/>
      <c r="D1" s="3594"/>
      <c r="E1" s="3594"/>
      <c r="F1" s="3594"/>
      <c r="G1" s="3594"/>
      <c r="H1" s="3594"/>
      <c r="I1" s="3594"/>
      <c r="J1" s="3594"/>
      <c r="K1" s="3594"/>
      <c r="L1" s="3594"/>
      <c r="M1" s="3594"/>
      <c r="N1" s="3594"/>
      <c r="O1" s="3594"/>
      <c r="P1" s="3594"/>
      <c r="Q1" s="3594"/>
      <c r="R1" s="3594"/>
    </row>
    <row r="2" spans="1:18">
      <c r="A2" s="1800" t="s">
        <v>2041</v>
      </c>
      <c r="B2" s="1800"/>
      <c r="C2" s="1800"/>
      <c r="D2" s="1800"/>
      <c r="E2" s="1800"/>
      <c r="F2" s="1800"/>
      <c r="G2" s="1800"/>
      <c r="H2" s="1800"/>
      <c r="I2" s="1801"/>
      <c r="J2" s="1801"/>
      <c r="K2" s="1802" t="str">
        <f>"估价期日："&amp;TEXT(项目基本情况!D3,"yyyy年m月d日;;")</f>
        <v>估价期日：2020年4月2日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95" t="s">
        <v>2030</v>
      </c>
      <c r="B3" s="3595" t="s">
        <v>2735</v>
      </c>
      <c r="C3" s="3596" t="s">
        <v>2031</v>
      </c>
      <c r="D3" s="3595" t="s">
        <v>2739</v>
      </c>
      <c r="E3" s="3590" t="s">
        <v>2032</v>
      </c>
      <c r="F3" s="3590"/>
      <c r="G3" s="3590"/>
      <c r="H3" s="3590" t="s">
        <v>2033</v>
      </c>
      <c r="I3" s="3590"/>
      <c r="J3" s="3590"/>
      <c r="K3" s="3596" t="s">
        <v>2034</v>
      </c>
      <c r="L3" s="3596" t="s">
        <v>2035</v>
      </c>
      <c r="M3" s="3595" t="s">
        <v>2736</v>
      </c>
      <c r="N3" s="3597" t="str">
        <f>"（分摊）"&amp;项目基本情况!B16&amp;"国有建设用地使用权面积/㎡"</f>
        <v>（分摊）出让国有建设用地使用权面积/㎡</v>
      </c>
      <c r="O3" s="3595" t="s">
        <v>2064</v>
      </c>
      <c r="P3" s="3596" t="s">
        <v>2044</v>
      </c>
      <c r="Q3" s="3596" t="s">
        <v>2065</v>
      </c>
      <c r="R3" s="3596" t="s">
        <v>2036</v>
      </c>
    </row>
    <row r="4" spans="1:18" ht="36.75" customHeight="1">
      <c r="A4" s="3595"/>
      <c r="B4" s="3595"/>
      <c r="C4" s="3596"/>
      <c r="D4" s="3595"/>
      <c r="E4" s="2666" t="s">
        <v>2043</v>
      </c>
      <c r="F4" s="2666" t="s">
        <v>2748</v>
      </c>
      <c r="G4" s="2666" t="s">
        <v>2037</v>
      </c>
      <c r="H4" s="2666" t="s">
        <v>2038</v>
      </c>
      <c r="I4" s="2666" t="s">
        <v>2749</v>
      </c>
      <c r="J4" s="2666" t="s">
        <v>2037</v>
      </c>
      <c r="K4" s="3596"/>
      <c r="L4" s="3596"/>
      <c r="M4" s="3595"/>
      <c r="N4" s="3597"/>
      <c r="O4" s="3595"/>
      <c r="P4" s="3596"/>
      <c r="Q4" s="3596"/>
      <c r="R4" s="3596"/>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21459</v>
      </c>
      <c r="Q5" s="1803">
        <f ca="1">结果表!D42</f>
        <v>3341</v>
      </c>
      <c r="R5" s="1804">
        <f ca="1">结果表!C42</f>
        <v>160224</v>
      </c>
    </row>
    <row r="6" spans="1:18">
      <c r="A6" s="3591" t="str">
        <f>IF(项目基本情况!B9="市场价格","——","抵押价格")</f>
        <v>抵押价格</v>
      </c>
      <c r="B6" s="3592"/>
      <c r="C6" s="3592"/>
      <c r="D6" s="3592"/>
      <c r="E6" s="3592"/>
      <c r="F6" s="3592"/>
      <c r="G6" s="3592"/>
      <c r="H6" s="3592"/>
      <c r="I6" s="3592"/>
      <c r="J6" s="3592"/>
      <c r="K6" s="3592"/>
      <c r="L6" s="3592"/>
      <c r="M6" s="3592"/>
      <c r="N6" s="3592"/>
      <c r="O6" s="3592"/>
      <c r="P6" s="3592"/>
      <c r="Q6" s="3593"/>
      <c r="R6" s="1805">
        <f ca="1">结果表!O39</f>
        <v>159226</v>
      </c>
    </row>
    <row r="7" spans="1:18">
      <c r="A7" s="3591" t="str">
        <f>IF(项目基本情况!B9="市场价格","——",IF(项目基本情况!E8="已注销及未注销","抵押担保权已注销时的抵押价格","——"))</f>
        <v>——</v>
      </c>
      <c r="B7" s="3592"/>
      <c r="C7" s="3592"/>
      <c r="D7" s="3592"/>
      <c r="E7" s="3592"/>
      <c r="F7" s="3592"/>
      <c r="G7" s="3592"/>
      <c r="H7" s="3592"/>
      <c r="I7" s="3592"/>
      <c r="J7" s="3592"/>
      <c r="K7" s="3592"/>
      <c r="L7" s="3592"/>
      <c r="M7" s="3592"/>
      <c r="N7" s="3592"/>
      <c r="O7" s="3592"/>
      <c r="P7" s="3592"/>
      <c r="Q7" s="3593"/>
      <c r="R7" s="1805" t="str">
        <f>结果表!O40</f>
        <v>——</v>
      </c>
    </row>
    <row r="8" spans="1:18">
      <c r="A8" s="3591" t="str">
        <f>IF(项目基本情况!B9="市场价格","——",项目基本情况!E9)</f>
        <v>——</v>
      </c>
      <c r="B8" s="3592"/>
      <c r="C8" s="3592"/>
      <c r="D8" s="3592"/>
      <c r="E8" s="3592"/>
      <c r="F8" s="3592"/>
      <c r="G8" s="3592"/>
      <c r="H8" s="3592"/>
      <c r="I8" s="3592"/>
      <c r="J8" s="3592"/>
      <c r="K8" s="3592"/>
      <c r="L8" s="3592"/>
      <c r="M8" s="3592"/>
      <c r="N8" s="3592"/>
      <c r="O8" s="3592"/>
      <c r="P8" s="3592"/>
      <c r="Q8" s="3593"/>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99" t="s">
        <v>2066</v>
      </c>
      <c r="B1" s="3599"/>
      <c r="C1" s="3599"/>
      <c r="D1" s="3599"/>
    </row>
    <row r="2" spans="1:4" ht="47.25" customHeight="1">
      <c r="A2" s="3600" t="str">
        <f>"1.权利限制："&amp;项目基本情况!L24&amp;"未设定租赁等其他他项权利。"</f>
        <v>1.权利限制：根据估价对象《不动产权证书》原件、《国有土地使用权》复印件，截至估价期日，估价对象抵押权未见登记。未设定租赁等其他他项权利。</v>
      </c>
      <c r="B2" s="3600"/>
      <c r="C2" s="3600"/>
      <c r="D2" s="3600"/>
    </row>
    <row r="3" spans="1:4" ht="48" customHeight="1">
      <c r="A3" s="35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9"/>
      <c r="C3" s="3599"/>
      <c r="D3" s="3599"/>
    </row>
    <row r="4" spans="1:4" ht="36.75" customHeight="1">
      <c r="A4" s="3599" t="str">
        <f>"3.估价规划限制条件：详见"&amp;项目基本情况!E21&amp;"。"</f>
        <v>3.估价规划限制条件：详见《建设工程规划许可证》[]、《出让合同》[]。</v>
      </c>
      <c r="B4" s="3599"/>
      <c r="C4" s="3599"/>
      <c r="D4" s="3599"/>
    </row>
    <row r="5" spans="1:4">
      <c r="A5" s="3598" t="s">
        <v>2067</v>
      </c>
      <c r="B5" s="3598"/>
      <c r="C5" s="3598"/>
      <c r="D5" s="3598"/>
    </row>
    <row r="6" spans="1:4">
      <c r="A6" s="3599" t="s">
        <v>2045</v>
      </c>
      <c r="B6" s="3599"/>
      <c r="C6" s="3599"/>
      <c r="D6" s="3599"/>
    </row>
    <row r="7" spans="1:4" ht="33" customHeight="1">
      <c r="A7" s="3599" t="s">
        <v>2579</v>
      </c>
      <c r="B7" s="3599"/>
      <c r="C7" s="3599"/>
      <c r="D7" s="3599"/>
    </row>
    <row r="8" spans="1:4" ht="32.25" customHeight="1">
      <c r="A8" s="35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9"/>
      <c r="C8" s="3599"/>
      <c r="D8" s="3599"/>
    </row>
    <row r="9" spans="1:4" ht="33.75" customHeight="1">
      <c r="A9" s="35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9"/>
      <c r="C9" s="3599"/>
      <c r="D9" s="3599"/>
    </row>
    <row r="10" spans="1:4">
      <c r="A10" s="3599" t="str">
        <f>IF(项目基本情况!B8="抵押","4.估价师所知悉的法定优先受偿款情况为：","——")</f>
        <v>4.估价师所知悉的法定优先受偿款情况为：</v>
      </c>
      <c r="B10" s="3599"/>
      <c r="C10" s="3599"/>
      <c r="D10" s="3599"/>
    </row>
    <row r="11" spans="1:4" ht="37.5" customHeight="1">
      <c r="A11" s="36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01"/>
      <c r="C11" s="3601"/>
      <c r="D11" s="3601"/>
    </row>
    <row r="12" spans="1:4" ht="168" customHeight="1">
      <c r="A12" s="3598" t="s">
        <v>2069</v>
      </c>
      <c r="B12" s="3598"/>
      <c r="C12" s="3598"/>
      <c r="D12" s="3598"/>
    </row>
    <row r="13" spans="1:4">
      <c r="A13" s="3602" t="s">
        <v>2750</v>
      </c>
      <c r="B13" s="3602"/>
      <c r="C13" s="3602"/>
      <c r="D13" s="3602"/>
    </row>
    <row r="14" spans="1:4">
      <c r="A14" s="3601" t="str">
        <f>IF(项目基本情况!B8="抵押","综上，"&amp;结果表!K47,"——")</f>
        <v>综上，本次评估估价师知悉的法定优先受偿款为人民币998万元整。</v>
      </c>
      <c r="B14" s="3601"/>
      <c r="C14" s="3601"/>
      <c r="D14" s="3601"/>
    </row>
    <row r="15" spans="1:4" ht="58.5" customHeight="1">
      <c r="A15" s="35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9"/>
      <c r="C15" s="3599"/>
      <c r="D15" s="3599"/>
    </row>
    <row r="16" spans="1:4" ht="70.5" customHeight="1">
      <c r="A16" s="35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9"/>
      <c r="C16" s="3599"/>
      <c r="D16" s="3599"/>
    </row>
    <row r="17" spans="1:4">
      <c r="A17" s="3599" t="s">
        <v>2706</v>
      </c>
      <c r="B17" s="3599"/>
      <c r="C17" s="3599"/>
      <c r="D17" s="3599"/>
    </row>
    <row r="18" spans="1:4">
      <c r="A18" s="3599" t="s">
        <v>2698</v>
      </c>
      <c r="B18" s="3599"/>
      <c r="C18" s="3599"/>
      <c r="D18" s="3599"/>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599" t="s">
        <v>2703</v>
      </c>
      <c r="B23" s="3599"/>
      <c r="C23" s="3599"/>
      <c r="D23" s="3599"/>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610" t="s">
        <v>53</v>
      </c>
      <c r="B15" s="3611" t="s">
        <v>846</v>
      </c>
      <c r="C15" s="3607"/>
    </row>
    <row r="16" spans="1:7" ht="14.25">
      <c r="A16" s="3610"/>
      <c r="B16" s="3608" t="s">
        <v>54</v>
      </c>
      <c r="C16" s="1165" t="s">
        <v>53</v>
      </c>
    </row>
    <row r="17" spans="1:3" ht="14.25">
      <c r="A17" s="3610"/>
      <c r="B17" s="3608"/>
      <c r="C17" s="1165" t="s">
        <v>55</v>
      </c>
    </row>
    <row r="18" spans="1:3" ht="14.25">
      <c r="A18" s="3610"/>
      <c r="B18" s="3608"/>
      <c r="C18" s="1165" t="s">
        <v>56</v>
      </c>
    </row>
    <row r="19" spans="1:3" ht="14.25">
      <c r="A19" s="3610"/>
      <c r="B19" s="3606" t="s">
        <v>57</v>
      </c>
      <c r="C19" s="3607"/>
    </row>
    <row r="20" spans="1:3" ht="14.25">
      <c r="A20" s="1166" t="s">
        <v>58</v>
      </c>
      <c r="B20" s="1167"/>
      <c r="C20" s="1168"/>
    </row>
    <row r="21" spans="1:3" ht="14.25">
      <c r="A21" s="3609" t="s">
        <v>59</v>
      </c>
      <c r="B21" s="3606" t="s">
        <v>60</v>
      </c>
      <c r="C21" s="3607"/>
    </row>
    <row r="22" spans="1:3" ht="14.25">
      <c r="A22" s="3609"/>
      <c r="B22" s="3606" t="s">
        <v>61</v>
      </c>
      <c r="C22" s="3607"/>
    </row>
    <row r="23" spans="1:3" ht="14.25">
      <c r="A23" s="3609"/>
      <c r="B23" s="3606" t="s">
        <v>62</v>
      </c>
      <c r="C23" s="3607"/>
    </row>
    <row r="24" spans="1:3" ht="14.25">
      <c r="A24" s="3609"/>
      <c r="B24" s="3612" t="s">
        <v>63</v>
      </c>
      <c r="C24" s="1169" t="s">
        <v>837</v>
      </c>
    </row>
    <row r="25" spans="1:3" ht="14.25">
      <c r="A25" s="3609"/>
      <c r="B25" s="3613"/>
      <c r="C25" s="1169" t="s">
        <v>838</v>
      </c>
    </row>
    <row r="26" spans="1:3" ht="14.25">
      <c r="A26" s="3609"/>
      <c r="B26" s="3613"/>
      <c r="C26" s="1169" t="s">
        <v>839</v>
      </c>
    </row>
    <row r="27" spans="1:3" ht="14.25">
      <c r="A27" s="3609"/>
      <c r="B27" s="3613"/>
      <c r="C27" s="1169" t="s">
        <v>840</v>
      </c>
    </row>
    <row r="28" spans="1:3" ht="14.25">
      <c r="A28" s="3609"/>
      <c r="B28" s="3613"/>
      <c r="C28" s="1169" t="s">
        <v>841</v>
      </c>
    </row>
    <row r="29" spans="1:3" ht="14.25">
      <c r="A29" s="3609"/>
      <c r="B29" s="3613"/>
      <c r="C29" s="1169" t="s">
        <v>842</v>
      </c>
    </row>
    <row r="30" spans="1:3" ht="14.25">
      <c r="A30" s="3609"/>
      <c r="B30" s="3613"/>
      <c r="C30" s="1169" t="s">
        <v>843</v>
      </c>
    </row>
    <row r="31" spans="1:3" ht="14.25">
      <c r="A31" s="3609"/>
      <c r="B31" s="3613"/>
      <c r="C31" s="1169" t="s">
        <v>844</v>
      </c>
    </row>
    <row r="32" spans="1:3" ht="14.25">
      <c r="A32" s="3609"/>
      <c r="B32" s="3613"/>
      <c r="C32" s="1169" t="s">
        <v>1647</v>
      </c>
    </row>
    <row r="33" spans="1:3" ht="14.25">
      <c r="A33" s="3609"/>
      <c r="B33" s="3603" t="s">
        <v>1653</v>
      </c>
      <c r="C33" s="1169" t="s">
        <v>1648</v>
      </c>
    </row>
    <row r="34" spans="1:3" ht="14.25">
      <c r="A34" s="3609"/>
      <c r="B34" s="3604"/>
      <c r="C34" s="1174" t="s">
        <v>1649</v>
      </c>
    </row>
    <row r="35" spans="1:3" ht="14.25">
      <c r="A35" s="3609"/>
      <c r="B35" s="3604"/>
      <c r="C35" s="1175" t="s">
        <v>1650</v>
      </c>
    </row>
    <row r="36" spans="1:3" ht="14.25">
      <c r="A36" s="3609"/>
      <c r="B36" s="3604"/>
      <c r="C36" s="1175" t="s">
        <v>1651</v>
      </c>
    </row>
    <row r="37" spans="1:3" ht="14.25">
      <c r="A37" s="3609"/>
      <c r="B37" s="3605"/>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43924</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t="str">
        <f ca="1">IF(C4&lt;B2,"已过期",1119970066)</f>
        <v>已过期</v>
      </c>
      <c r="C4" s="3022">
        <v>43849</v>
      </c>
      <c r="D4" s="2335" t="s">
        <v>1913</v>
      </c>
      <c r="E4" s="2335">
        <f ca="1">IF(F4&lt;B2,"已过期",96010014)</f>
        <v>96010014</v>
      </c>
      <c r="F4" s="3023">
        <v>47118</v>
      </c>
    </row>
    <row r="5" spans="1:6" ht="20.25" customHeight="1">
      <c r="A5" s="2335" t="s">
        <v>1914</v>
      </c>
      <c r="B5" s="2335" t="str">
        <f ca="1">IF(C5&lt;B2,"已过期",1119970074)</f>
        <v>已过期</v>
      </c>
      <c r="C5" s="3022">
        <v>43849</v>
      </c>
      <c r="D5" s="2335" t="s">
        <v>1914</v>
      </c>
      <c r="E5" s="2335">
        <f ca="1">IF(F5&lt;B2,"已过期",2002110027)</f>
        <v>2002110027</v>
      </c>
      <c r="F5" s="3023">
        <v>46752</v>
      </c>
    </row>
    <row r="6" spans="1:6" ht="20.25" customHeight="1">
      <c r="A6" s="2335" t="s">
        <v>1915</v>
      </c>
      <c r="B6" s="2335" t="str">
        <f ca="1">IF(C6&lt;B2,"已过期",1119970111)</f>
        <v>已过期</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t="str">
        <f ca="1">IF(C8&lt;B2,"已过期",1120000080)</f>
        <v>已过期</v>
      </c>
      <c r="C8" s="3022">
        <v>43849</v>
      </c>
      <c r="D8" s="2335" t="s">
        <v>1917</v>
      </c>
      <c r="E8" s="2335">
        <f ca="1">IF(F8&lt;B2,"已过期",2000110082)</f>
        <v>2000110082</v>
      </c>
      <c r="F8" s="3023">
        <v>46387</v>
      </c>
    </row>
    <row r="9" spans="1:6" ht="20.25" customHeight="1">
      <c r="A9" s="2335" t="s">
        <v>1918</v>
      </c>
      <c r="B9" s="2335" t="str">
        <f ca="1">IF(C9&lt;B2,"已过期",1419970001)</f>
        <v>已过期</v>
      </c>
      <c r="C9" s="3022">
        <v>43867</v>
      </c>
      <c r="D9" s="2335" t="s">
        <v>1918</v>
      </c>
      <c r="E9" s="2335">
        <f ca="1">IF(F9&lt;B2,"已过期",2002110125)</f>
        <v>2002110125</v>
      </c>
      <c r="F9" s="3023">
        <v>47118</v>
      </c>
    </row>
    <row r="10" spans="1:6" ht="20.25" customHeight="1">
      <c r="A10" s="2335" t="s">
        <v>1919</v>
      </c>
      <c r="B10" s="2335" t="str">
        <f ca="1">IF(C10&lt;B2,"已过期",1120060040)</f>
        <v>已过期</v>
      </c>
      <c r="C10" s="3022">
        <v>43483</v>
      </c>
      <c r="D10" s="2335" t="s">
        <v>1919</v>
      </c>
      <c r="E10" s="2335">
        <f ca="1">IF(F10&lt;B2,"已过期",2004110096)</f>
        <v>2004110096</v>
      </c>
      <c r="F10" s="3023">
        <v>47118</v>
      </c>
    </row>
    <row r="11" spans="1:6" ht="20.25" customHeight="1">
      <c r="A11" s="2335" t="s">
        <v>1920</v>
      </c>
      <c r="B11" s="2335" t="str">
        <f ca="1">IF(C11&lt;B2,"已过期",1120100036)</f>
        <v>已过期</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t="str">
        <f ca="1">IF(C13&lt;B2,"已过期",1120070131)</f>
        <v>已过期</v>
      </c>
      <c r="C13" s="3022">
        <v>43814</v>
      </c>
      <c r="D13" s="2335" t="s">
        <v>1921</v>
      </c>
      <c r="E13" s="2335">
        <v>2014110011</v>
      </c>
      <c r="F13" s="3023">
        <v>49302</v>
      </c>
    </row>
    <row r="14" spans="1:6" ht="20.25" customHeight="1">
      <c r="A14" s="2335" t="s">
        <v>1922</v>
      </c>
      <c r="B14" s="2335" t="str">
        <f ca="1">IF(C14&lt;B2,"已过期",1120130020)</f>
        <v>已过期</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t="str">
        <f ca="1">IF(C23&lt;B2,"已过期",1120130048)</f>
        <v>已过期</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14" t="s">
        <v>1927</v>
      </c>
      <c r="B25" s="3614"/>
      <c r="C25" s="3614"/>
      <c r="D25" s="3614"/>
      <c r="E25" s="3614"/>
      <c r="F25" s="3614"/>
      <c r="G25" s="3614"/>
    </row>
    <row r="26" spans="1:7" ht="20.25" customHeight="1">
      <c r="A26" s="3615" t="s">
        <v>1928</v>
      </c>
      <c r="B26" s="3615"/>
      <c r="C26" s="3615"/>
      <c r="D26" s="3615" t="s">
        <v>1929</v>
      </c>
      <c r="E26" s="3615"/>
      <c r="F26" s="3615"/>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2020-04-03T09:27:05Z</dcterms:modified>
</cp:coreProperties>
</file>