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526湖州恒大\P02\"/>
    </mc:Choice>
  </mc:AlternateContent>
  <bookViews>
    <workbookView xWindow="11628" yWindow="168" windowWidth="11388" windowHeight="9468" tabRatio="899" firstSheet="15"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指标"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价值汇总表" sheetId="82" r:id="rId19"/>
    <sheet name="结果表-洋房" sheetId="81" r:id="rId20"/>
    <sheet name="结果表-高层" sheetId="9" r:id="rId21"/>
    <sheet name="成本法" sheetId="68" state="hidden" r:id="rId22"/>
    <sheet name="成本法 (元)" sheetId="69" state="hidden" r:id="rId23"/>
    <sheet name="假设开发法" sheetId="12" state="hidden" r:id="rId24"/>
    <sheet name="收益法-高层" sheetId="79" r:id="rId25"/>
    <sheet name="收益法-洋房" sheetId="15" r:id="rId26"/>
    <sheet name="收益法 (元)" sheetId="67" state="hidden" r:id="rId27"/>
    <sheet name="收益法（汇总）" sheetId="70" state="hidden" r:id="rId28"/>
    <sheet name="酒店收入计算" sheetId="66" state="hidden" r:id="rId29"/>
    <sheet name="比较法-高层" sheetId="80" r:id="rId30"/>
    <sheet name="比较法-洋房"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案例" sheetId="7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9" hidden="1">'比较法-高层'!$A$1:$L$49</definedName>
    <definedName name="_xlnm._FilterDatabase" localSheetId="33" hidden="1">'比较法-工业'!$A$1:$L$43</definedName>
    <definedName name="_xlnm._FilterDatabase" localSheetId="31" hidden="1">'比较法-商业'!$A$1:$L$49</definedName>
    <definedName name="_xlnm._FilterDatabase" localSheetId="30" hidden="1">'比较法-洋房'!$A$1:$L$49</definedName>
    <definedName name="_xlnm._FilterDatabase" localSheetId="11" hidden="1">面积指标!$AK$2:$AM$183</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'收益法-高层'!$A$1:$AK$69</definedName>
    <definedName name="_xlnm.Print_Area" localSheetId="25">'收益法-洋房'!$A$1:$AK$69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'比较法-高层'!$B$88:$M$88</definedName>
    <definedName name="住宅朝向">'比较法-洋房'!$B$88:$M$88</definedName>
    <definedName name="住宅房型" localSheetId="29">'比较法-高层'!$B$118:$M$118</definedName>
    <definedName name="住宅房型">'比较法-洋房'!$B$118:$M$118</definedName>
    <definedName name="住宅公共部分装修" localSheetId="29">'比较法-高层'!$B$109:$M$109</definedName>
    <definedName name="住宅公共部分装修">'比较法-洋房'!$B$109:$M$109</definedName>
    <definedName name="住宅基础设施水平" localSheetId="29">'比较法-高层'!$B$116:$M$116</definedName>
    <definedName name="住宅基础设施水平">'比较法-洋房'!$B$116:$M$116</definedName>
    <definedName name="住宅建筑结构" localSheetId="29">'比较法-高层'!$B$105:$M$105</definedName>
    <definedName name="住宅建筑结构">'比较法-洋房'!$B$105:$M$105</definedName>
    <definedName name="住宅建筑类型" localSheetId="29">'比较法-高层'!$B$100:$M$100</definedName>
    <definedName name="住宅建筑类型">'比较法-洋房'!$B$100:$M$100</definedName>
    <definedName name="住宅建筑品质" localSheetId="29">'比较法-高层'!$B$107:$M$107</definedName>
    <definedName name="住宅建筑品质">'比较法-洋房'!$B$107:$M$107</definedName>
    <definedName name="住宅交易情况" localSheetId="29">'比较法-高层'!$A$61:$M$61</definedName>
    <definedName name="住宅交易情况">'比较法-洋房'!$A$61:$M$61</definedName>
    <definedName name="住宅楼层" localSheetId="29">'比较法-高层'!$B$86:$M$86</definedName>
    <definedName name="住宅楼层">'比较法-洋房'!$B$86:$M$86</definedName>
    <definedName name="住宅内部装修" localSheetId="29">'比较法-高层'!$B$122:$M$122</definedName>
    <definedName name="住宅内部装修">'比较法-洋房'!$B$122:$M$122</definedName>
    <definedName name="住宅物业管理" localSheetId="29">'比较法-高层'!$B$114:$M$114</definedName>
    <definedName name="住宅物业管理">'比较法-洋房'!$B$114:$M$114</definedName>
    <definedName name="住宅用途" localSheetId="29">'比较法-高层'!$B$63:$M$63</definedName>
    <definedName name="住宅用途">'比较法-洋房'!$B$63:$M$63</definedName>
    <definedName name="住宅主力户型面积" localSheetId="29">'比较法-高层'!$B$120:$M$120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B16" i="74"/>
  <c r="C4" i="82" l="1"/>
  <c r="B4" i="82"/>
  <c r="AL184" i="77" l="1"/>
  <c r="C5" i="82"/>
  <c r="B5" i="82"/>
  <c r="B22" i="1"/>
  <c r="E1" i="73"/>
  <c r="K1" i="73" s="1"/>
  <c r="F23" i="15"/>
  <c r="C17" i="81"/>
  <c r="D17" i="81"/>
  <c r="C18" i="81" s="1"/>
  <c r="D18" i="81"/>
  <c r="E111" i="81"/>
  <c r="H111" i="81"/>
  <c r="D126" i="81" s="1"/>
  <c r="D127" i="81"/>
  <c r="A126" i="81"/>
  <c r="E109" i="81"/>
  <c r="H109" i="81" s="1"/>
  <c r="D124" i="81" s="1"/>
  <c r="D125" i="81" s="1"/>
  <c r="A124" i="81"/>
  <c r="E107" i="81"/>
  <c r="F23" i="79"/>
  <c r="C24" i="81"/>
  <c r="H105" i="81"/>
  <c r="H106" i="81"/>
  <c r="H103" i="81" s="1"/>
  <c r="D120" i="81" s="1"/>
  <c r="A122" i="81"/>
  <c r="D121" i="81"/>
  <c r="A120" i="81"/>
  <c r="K120" i="81"/>
  <c r="B23" i="1"/>
  <c r="B24" i="1"/>
  <c r="F34" i="68" s="1"/>
  <c r="H112" i="81"/>
  <c r="H110" i="81"/>
  <c r="H104" i="81"/>
  <c r="D101" i="81"/>
  <c r="C101" i="81"/>
  <c r="D89" i="81"/>
  <c r="C89" i="81" s="1"/>
  <c r="C87" i="81" s="1"/>
  <c r="C91" i="81"/>
  <c r="E90" i="81"/>
  <c r="C76" i="81"/>
  <c r="D77" i="81"/>
  <c r="H77" i="81"/>
  <c r="D48" i="81"/>
  <c r="M52" i="81"/>
  <c r="I55" i="81"/>
  <c r="D59" i="81"/>
  <c r="M55" i="81" s="1"/>
  <c r="J55" i="81"/>
  <c r="F59" i="81"/>
  <c r="O55" i="81" s="1"/>
  <c r="E59" i="81"/>
  <c r="F56" i="81"/>
  <c r="O54" i="81" s="1"/>
  <c r="N55" i="81"/>
  <c r="K55" i="81"/>
  <c r="F55" i="81"/>
  <c r="N54" i="81"/>
  <c r="O53" i="81"/>
  <c r="N53" i="81"/>
  <c r="F48" i="81"/>
  <c r="O52" i="81"/>
  <c r="E48" i="81"/>
  <c r="N52" i="81"/>
  <c r="K49" i="81"/>
  <c r="F33" i="81"/>
  <c r="D27" i="81"/>
  <c r="C25" i="81"/>
  <c r="L4" i="81"/>
  <c r="K4" i="81"/>
  <c r="H1" i="81"/>
  <c r="J140" i="80"/>
  <c r="C145" i="80"/>
  <c r="K139" i="80"/>
  <c r="K144" i="80"/>
  <c r="J142" i="80"/>
  <c r="B130" i="80"/>
  <c r="B128" i="80"/>
  <c r="B126" i="80"/>
  <c r="D125" i="80"/>
  <c r="E125" i="80"/>
  <c r="F125" i="80" s="1"/>
  <c r="G125" i="80" s="1"/>
  <c r="D123" i="80"/>
  <c r="E123" i="80"/>
  <c r="F123" i="80" s="1"/>
  <c r="G123" i="80"/>
  <c r="H123" i="80" s="1"/>
  <c r="I123" i="80" s="1"/>
  <c r="J123" i="80" s="1"/>
  <c r="K123" i="80" s="1"/>
  <c r="L123" i="80" s="1"/>
  <c r="M123" i="80" s="1"/>
  <c r="D119" i="80"/>
  <c r="E119" i="80"/>
  <c r="F119" i="80" s="1"/>
  <c r="G119" i="80"/>
  <c r="H119" i="80" s="1"/>
  <c r="I119" i="80" s="1"/>
  <c r="J119" i="80" s="1"/>
  <c r="K119" i="80" s="1"/>
  <c r="L119" i="80" s="1"/>
  <c r="M119" i="80" s="1"/>
  <c r="D117" i="80"/>
  <c r="E117" i="80"/>
  <c r="F117" i="80" s="1"/>
  <c r="G117" i="80"/>
  <c r="D115" i="80"/>
  <c r="E115" i="80"/>
  <c r="F115" i="80" s="1"/>
  <c r="G115" i="80" s="1"/>
  <c r="H115" i="80" s="1"/>
  <c r="I115" i="80" s="1"/>
  <c r="J115" i="80" s="1"/>
  <c r="K115" i="80" s="1"/>
  <c r="L115" i="80" s="1"/>
  <c r="M115" i="80" s="1"/>
  <c r="D113" i="80"/>
  <c r="E113" i="80"/>
  <c r="F113" i="80" s="1"/>
  <c r="G113" i="80" s="1"/>
  <c r="H111" i="80"/>
  <c r="G111" i="80"/>
  <c r="F111" i="80"/>
  <c r="E111" i="80"/>
  <c r="D111" i="80"/>
  <c r="C111" i="80"/>
  <c r="D110" i="80"/>
  <c r="E110" i="80" s="1"/>
  <c r="F110" i="80" s="1"/>
  <c r="G110" i="80" s="1"/>
  <c r="H110" i="80" s="1"/>
  <c r="I110" i="80" s="1"/>
  <c r="J110" i="80" s="1"/>
  <c r="K110" i="80" s="1"/>
  <c r="L110" i="80" s="1"/>
  <c r="M110" i="80" s="1"/>
  <c r="D108" i="80"/>
  <c r="E108" i="80" s="1"/>
  <c r="F108" i="80"/>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c r="G104" i="80" s="1"/>
  <c r="H104" i="80" s="1"/>
  <c r="I104" i="80" s="1"/>
  <c r="J104" i="80" s="1"/>
  <c r="D103" i="80"/>
  <c r="E103" i="80"/>
  <c r="M102" i="80"/>
  <c r="L102" i="80"/>
  <c r="K102" i="80"/>
  <c r="C102" i="80"/>
  <c r="D101" i="80"/>
  <c r="E101" i="80"/>
  <c r="F101" i="80" s="1"/>
  <c r="G101" i="80"/>
  <c r="H101" i="80" s="1"/>
  <c r="I101" i="80" s="1"/>
  <c r="J101" i="80" s="1"/>
  <c r="K101" i="80" s="1"/>
  <c r="L101" i="80" s="1"/>
  <c r="M101" i="80" s="1"/>
  <c r="B98" i="80"/>
  <c r="B96" i="80"/>
  <c r="B94" i="80"/>
  <c r="B92" i="80"/>
  <c r="B90" i="80"/>
  <c r="D89" i="80"/>
  <c r="E89" i="80" s="1"/>
  <c r="F89" i="80"/>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c r="F77" i="80" s="1"/>
  <c r="G77" i="80" s="1"/>
  <c r="B74" i="80"/>
  <c r="B72" i="80"/>
  <c r="B70" i="80"/>
  <c r="D69" i="80"/>
  <c r="E69" i="80" s="1"/>
  <c r="M67" i="80"/>
  <c r="L67" i="80"/>
  <c r="K67" i="80"/>
  <c r="J67" i="80"/>
  <c r="I67" i="80"/>
  <c r="H67" i="80"/>
  <c r="G67" i="80"/>
  <c r="F67" i="80"/>
  <c r="E67" i="80"/>
  <c r="D67" i="80"/>
  <c r="C67" i="80"/>
  <c r="D66" i="80"/>
  <c r="E66" i="80"/>
  <c r="F66" i="80" s="1"/>
  <c r="G66" i="80" s="1"/>
  <c r="H66" i="80" s="1"/>
  <c r="I66" i="80" s="1"/>
  <c r="C63" i="80"/>
  <c r="I54" i="80"/>
  <c r="J54" i="80" s="1"/>
  <c r="G54" i="80"/>
  <c r="H54" i="80" s="1"/>
  <c r="E54" i="80"/>
  <c r="F54" i="80" s="1"/>
  <c r="V47" i="80"/>
  <c r="J8" i="80"/>
  <c r="AC8" i="80"/>
  <c r="J9" i="80"/>
  <c r="AC9" i="80"/>
  <c r="J10" i="80"/>
  <c r="AC10" i="80" s="1"/>
  <c r="J12" i="80"/>
  <c r="AC12" i="80" s="1"/>
  <c r="J13" i="80"/>
  <c r="AC13" i="80" s="1"/>
  <c r="J14" i="80"/>
  <c r="AC14" i="80" s="1"/>
  <c r="J17" i="80"/>
  <c r="AC17" i="80" s="1"/>
  <c r="J21" i="80"/>
  <c r="AC21" i="80" s="1"/>
  <c r="J23" i="80"/>
  <c r="AC23" i="80" s="1"/>
  <c r="J25" i="80"/>
  <c r="AC25" i="80" s="1"/>
  <c r="J26" i="80"/>
  <c r="AC26" i="80" s="1"/>
  <c r="J27" i="80"/>
  <c r="AC27" i="80" s="1"/>
  <c r="J28" i="80"/>
  <c r="AC28" i="80" s="1"/>
  <c r="J29" i="80"/>
  <c r="AC29" i="80" s="1"/>
  <c r="J30" i="80"/>
  <c r="AC30" i="80" s="1"/>
  <c r="J31" i="80"/>
  <c r="AC31" i="80" s="1"/>
  <c r="J32" i="80"/>
  <c r="AC32" i="80" s="1"/>
  <c r="C33" i="80"/>
  <c r="J34" i="80"/>
  <c r="AC34" i="80"/>
  <c r="J35" i="80"/>
  <c r="AC35" i="80"/>
  <c r="J36" i="80"/>
  <c r="AC36" i="80"/>
  <c r="J39" i="80"/>
  <c r="AC39" i="80"/>
  <c r="J40" i="80"/>
  <c r="AC40" i="80"/>
  <c r="J41" i="80"/>
  <c r="AC41" i="80"/>
  <c r="J42" i="80"/>
  <c r="AC42" i="80" s="1"/>
  <c r="J44" i="80"/>
  <c r="AC44" i="80" s="1"/>
  <c r="J45" i="80"/>
  <c r="AC45" i="80" s="1"/>
  <c r="J46" i="80"/>
  <c r="AC46" i="80" s="1"/>
  <c r="R47" i="80"/>
  <c r="F8" i="80"/>
  <c r="AA8" i="80" s="1"/>
  <c r="F9" i="80"/>
  <c r="AA9" i="80" s="1"/>
  <c r="F10" i="80"/>
  <c r="AA10" i="80" s="1"/>
  <c r="F12" i="80"/>
  <c r="AA12" i="80" s="1"/>
  <c r="F13" i="80"/>
  <c r="AA13" i="80" s="1"/>
  <c r="F14" i="80"/>
  <c r="AA14" i="80" s="1"/>
  <c r="F15" i="80"/>
  <c r="AA15" i="80" s="1"/>
  <c r="F17" i="80"/>
  <c r="AA17" i="80" s="1"/>
  <c r="F19" i="80"/>
  <c r="AA19" i="80" s="1"/>
  <c r="F23" i="80"/>
  <c r="AA23" i="80" s="1"/>
  <c r="F25" i="80"/>
  <c r="AA25" i="80" s="1"/>
  <c r="F26" i="80"/>
  <c r="AA26" i="80" s="1"/>
  <c r="F27" i="80"/>
  <c r="AA27" i="80" s="1"/>
  <c r="F28" i="80"/>
  <c r="AA28" i="80" s="1"/>
  <c r="F29" i="80"/>
  <c r="AA29" i="80" s="1"/>
  <c r="F30" i="80"/>
  <c r="AA30" i="80" s="1"/>
  <c r="F31" i="80"/>
  <c r="AA31" i="80" s="1"/>
  <c r="F32" i="80"/>
  <c r="AA32" i="80" s="1"/>
  <c r="F34" i="80"/>
  <c r="AA34" i="80" s="1"/>
  <c r="F35" i="80"/>
  <c r="AA35" i="80" s="1"/>
  <c r="F36" i="80"/>
  <c r="AA36" i="80" s="1"/>
  <c r="F38" i="80"/>
  <c r="AA38" i="80" s="1"/>
  <c r="F39" i="80"/>
  <c r="AA39" i="80" s="1"/>
  <c r="F40" i="80"/>
  <c r="AA40" i="80" s="1"/>
  <c r="F41" i="80"/>
  <c r="AA41" i="80" s="1"/>
  <c r="F42" i="80"/>
  <c r="F43" i="80"/>
  <c r="AA43" i="80" s="1"/>
  <c r="F44" i="80"/>
  <c r="AA44" i="80" s="1"/>
  <c r="F45" i="80"/>
  <c r="F46" i="80"/>
  <c r="AA46" i="80" s="1"/>
  <c r="T47" i="80"/>
  <c r="H8" i="80"/>
  <c r="AB8" i="80"/>
  <c r="H9" i="80"/>
  <c r="AB9" i="80"/>
  <c r="H10" i="80"/>
  <c r="AB10" i="80"/>
  <c r="H12" i="80"/>
  <c r="AB12" i="80"/>
  <c r="H13" i="80"/>
  <c r="AB13" i="80"/>
  <c r="H14" i="80"/>
  <c r="AB14" i="80"/>
  <c r="H17" i="80"/>
  <c r="AB17" i="80"/>
  <c r="H23" i="80"/>
  <c r="AB23" i="80"/>
  <c r="H25" i="80"/>
  <c r="AB25" i="80"/>
  <c r="H26" i="80"/>
  <c r="AB26" i="80"/>
  <c r="H27" i="80"/>
  <c r="AB27" i="80"/>
  <c r="H28" i="80"/>
  <c r="AB28" i="80"/>
  <c r="H29" i="80"/>
  <c r="AB29" i="80"/>
  <c r="H30" i="80"/>
  <c r="AB30" i="80"/>
  <c r="H31" i="80"/>
  <c r="AB31" i="80"/>
  <c r="H32" i="80"/>
  <c r="AB32" i="80"/>
  <c r="H34" i="80"/>
  <c r="AB34" i="80"/>
  <c r="H35" i="80"/>
  <c r="AB35" i="80"/>
  <c r="H36" i="80"/>
  <c r="AB36" i="80"/>
  <c r="H39" i="80"/>
  <c r="AB39" i="80"/>
  <c r="H40" i="80"/>
  <c r="AB40" i="80"/>
  <c r="H41" i="80"/>
  <c r="AB41" i="80"/>
  <c r="H42" i="80"/>
  <c r="AB42" i="80"/>
  <c r="H44" i="80"/>
  <c r="AB44" i="80"/>
  <c r="H45" i="80"/>
  <c r="AB45" i="80"/>
  <c r="H46" i="80"/>
  <c r="AB46" i="80"/>
  <c r="P49" i="80"/>
  <c r="P48" i="80"/>
  <c r="P47" i="80"/>
  <c r="Q46" i="80"/>
  <c r="Z46" i="80" s="1"/>
  <c r="W46" i="80"/>
  <c r="U46" i="80"/>
  <c r="S46" i="80"/>
  <c r="Q45" i="80"/>
  <c r="Z45" i="80"/>
  <c r="W45" i="80"/>
  <c r="U45" i="80"/>
  <c r="Q44" i="80"/>
  <c r="Z44" i="80" s="1"/>
  <c r="W44" i="80"/>
  <c r="U44" i="80"/>
  <c r="S44" i="80"/>
  <c r="Q43" i="80"/>
  <c r="Z43" i="80"/>
  <c r="Q42" i="80"/>
  <c r="Z42" i="80"/>
  <c r="W42" i="80"/>
  <c r="U42" i="80"/>
  <c r="Q41" i="80"/>
  <c r="Z41" i="80" s="1"/>
  <c r="W41" i="80"/>
  <c r="U41" i="80"/>
  <c r="S41" i="80"/>
  <c r="Q40" i="80"/>
  <c r="Z40" i="80" s="1"/>
  <c r="W40" i="80"/>
  <c r="S40" i="80"/>
  <c r="Q39" i="80"/>
  <c r="Z39" i="80" s="1"/>
  <c r="S39" i="80"/>
  <c r="Q38" i="80"/>
  <c r="Z38" i="80"/>
  <c r="S38" i="80"/>
  <c r="Q37" i="80"/>
  <c r="Z37" i="80" s="1"/>
  <c r="Q36" i="80"/>
  <c r="Z36" i="80"/>
  <c r="U36" i="80"/>
  <c r="Q35" i="80"/>
  <c r="Z35" i="80" s="1"/>
  <c r="S35" i="80"/>
  <c r="Q34" i="80"/>
  <c r="Z34" i="80"/>
  <c r="Q33" i="80"/>
  <c r="Z33" i="80"/>
  <c r="Q32" i="80"/>
  <c r="Z32" i="80" s="1"/>
  <c r="W32" i="80"/>
  <c r="U32" i="80"/>
  <c r="S32" i="80"/>
  <c r="Q31" i="80"/>
  <c r="Z31" i="80"/>
  <c r="W31" i="80"/>
  <c r="U31" i="80"/>
  <c r="S31" i="80"/>
  <c r="Q30" i="80"/>
  <c r="Z30" i="80" s="1"/>
  <c r="W30" i="80"/>
  <c r="U30" i="80"/>
  <c r="S30" i="80"/>
  <c r="Q29" i="80"/>
  <c r="Z29" i="80"/>
  <c r="W29" i="80"/>
  <c r="U29" i="80"/>
  <c r="S29" i="80"/>
  <c r="Q28" i="80"/>
  <c r="Z28" i="80" s="1"/>
  <c r="W28" i="80"/>
  <c r="U28" i="80"/>
  <c r="S28" i="80"/>
  <c r="Q27" i="80"/>
  <c r="Z27" i="80"/>
  <c r="W27" i="80"/>
  <c r="U27" i="80"/>
  <c r="S27" i="80"/>
  <c r="Q26" i="80"/>
  <c r="Z26" i="80" s="1"/>
  <c r="W26" i="80"/>
  <c r="U26" i="80"/>
  <c r="S26" i="80"/>
  <c r="Q25" i="80"/>
  <c r="Z25" i="80"/>
  <c r="W25" i="80"/>
  <c r="U25" i="80"/>
  <c r="S25" i="80"/>
  <c r="Q23" i="80"/>
  <c r="Z23" i="80" s="1"/>
  <c r="U23" i="80"/>
  <c r="C23" i="80"/>
  <c r="Q21" i="80"/>
  <c r="Z21" i="80" s="1"/>
  <c r="C21" i="80"/>
  <c r="Q19" i="80"/>
  <c r="Z19" i="80"/>
  <c r="C19" i="80"/>
  <c r="Q17" i="80"/>
  <c r="Z17" i="80" s="1"/>
  <c r="W17" i="80"/>
  <c r="U17" i="80"/>
  <c r="C17" i="80"/>
  <c r="Q15" i="80"/>
  <c r="Z15" i="80"/>
  <c r="C15" i="80"/>
  <c r="Q14" i="80"/>
  <c r="Z14" i="80" s="1"/>
  <c r="W14" i="80"/>
  <c r="U14" i="80"/>
  <c r="S14" i="80"/>
  <c r="Q13" i="80"/>
  <c r="Z13" i="80"/>
  <c r="W13" i="80"/>
  <c r="U13" i="80"/>
  <c r="S13" i="80"/>
  <c r="Q12" i="80"/>
  <c r="Z12" i="80" s="1"/>
  <c r="W12" i="80"/>
  <c r="U12" i="80"/>
  <c r="S12" i="80"/>
  <c r="Q11" i="80"/>
  <c r="Z11" i="80"/>
  <c r="Q10" i="80"/>
  <c r="Z10" i="80"/>
  <c r="W10" i="80"/>
  <c r="U10" i="80"/>
  <c r="S10" i="80"/>
  <c r="Q9" i="80"/>
  <c r="Z9" i="80" s="1"/>
  <c r="W9" i="80"/>
  <c r="U9" i="80"/>
  <c r="S9" i="80"/>
  <c r="W8" i="80"/>
  <c r="U8" i="80"/>
  <c r="S8" i="80"/>
  <c r="W7" i="1"/>
  <c r="V7" i="1"/>
  <c r="C33" i="21"/>
  <c r="H13" i="3"/>
  <c r="G13" i="3" s="1"/>
  <c r="B15" i="3"/>
  <c r="F182" i="77"/>
  <c r="F181" i="77"/>
  <c r="F180" i="77"/>
  <c r="F179" i="77"/>
  <c r="F178" i="77"/>
  <c r="F177" i="77"/>
  <c r="F176" i="77"/>
  <c r="F175" i="77"/>
  <c r="F174" i="77"/>
  <c r="F173" i="77"/>
  <c r="F172" i="77"/>
  <c r="F171" i="77"/>
  <c r="F170" i="77"/>
  <c r="F169" i="77"/>
  <c r="F168" i="77"/>
  <c r="F167" i="77"/>
  <c r="F166" i="77"/>
  <c r="F165" i="77"/>
  <c r="F164" i="77"/>
  <c r="F163" i="77"/>
  <c r="F162" i="77"/>
  <c r="F161" i="77"/>
  <c r="F160" i="77"/>
  <c r="F159" i="77"/>
  <c r="F158" i="77"/>
  <c r="F157" i="77"/>
  <c r="F156" i="77"/>
  <c r="F155" i="77"/>
  <c r="F154" i="77"/>
  <c r="F153" i="77"/>
  <c r="F152" i="77"/>
  <c r="F151" i="77"/>
  <c r="F150" i="77"/>
  <c r="F149" i="77"/>
  <c r="F148" i="77"/>
  <c r="F147" i="77"/>
  <c r="F146" i="77"/>
  <c r="F145" i="77"/>
  <c r="F144" i="77"/>
  <c r="F143" i="77"/>
  <c r="F142" i="77"/>
  <c r="F141"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5" i="77"/>
  <c r="F4" i="77"/>
  <c r="F3" i="77"/>
  <c r="F2" i="77"/>
  <c r="I5" i="3"/>
  <c r="J5" i="3"/>
  <c r="F19" i="6" s="1"/>
  <c r="E19" i="6" s="1"/>
  <c r="A6" i="1"/>
  <c r="A7" i="1"/>
  <c r="A8" i="1"/>
  <c r="G1" i="79"/>
  <c r="D3" i="4"/>
  <c r="C1" i="73"/>
  <c r="L1" i="73" s="1"/>
  <c r="B2" i="1"/>
  <c r="M47" i="81" s="1"/>
  <c r="BB19" i="3"/>
  <c r="BB20" i="3"/>
  <c r="BB21" i="3"/>
  <c r="BB22" i="3"/>
  <c r="BB23" i="3"/>
  <c r="BB24" i="3"/>
  <c r="BB25" i="3"/>
  <c r="BB13" i="3"/>
  <c r="BB14" i="3"/>
  <c r="BC13" i="3"/>
  <c r="BC14" i="3"/>
  <c r="K5" i="3"/>
  <c r="F20" i="6"/>
  <c r="E20" i="6" s="1"/>
  <c r="BC19" i="3"/>
  <c r="BA19" i="3" s="1"/>
  <c r="AZ19" i="3" s="1"/>
  <c r="BD19" i="3"/>
  <c r="BE19" i="3"/>
  <c r="BF19" i="3"/>
  <c r="BG19" i="3"/>
  <c r="BH19" i="3"/>
  <c r="BI19" i="3"/>
  <c r="BJ19" i="3"/>
  <c r="BK19" i="3"/>
  <c r="BC20" i="3"/>
  <c r="BA20" i="3" s="1"/>
  <c r="BD20" i="3"/>
  <c r="BE20" i="3"/>
  <c r="BF20" i="3"/>
  <c r="BG20" i="3"/>
  <c r="BH20" i="3"/>
  <c r="BI20" i="3"/>
  <c r="BJ20" i="3"/>
  <c r="BK20" i="3"/>
  <c r="BC21" i="3"/>
  <c r="BA21" i="3" s="1"/>
  <c r="AZ21" i="3" s="1"/>
  <c r="BD21" i="3"/>
  <c r="BE21" i="3"/>
  <c r="BF21" i="3"/>
  <c r="BG21" i="3"/>
  <c r="BH21" i="3"/>
  <c r="BI21" i="3"/>
  <c r="BJ21" i="3"/>
  <c r="BK21" i="3"/>
  <c r="BC22" i="3"/>
  <c r="BA22" i="3" s="1"/>
  <c r="AZ22" i="3" s="1"/>
  <c r="BD22" i="3"/>
  <c r="BE22" i="3"/>
  <c r="BF22" i="3"/>
  <c r="BG22" i="3"/>
  <c r="BH22" i="3"/>
  <c r="BI22" i="3"/>
  <c r="BJ22" i="3"/>
  <c r="BK22" i="3"/>
  <c r="BC23" i="3"/>
  <c r="BA23" i="3" s="1"/>
  <c r="AZ23" i="3" s="1"/>
  <c r="BD23" i="3"/>
  <c r="BE23" i="3"/>
  <c r="BF23" i="3"/>
  <c r="BG23" i="3"/>
  <c r="BH23" i="3"/>
  <c r="BI23" i="3"/>
  <c r="BJ23" i="3"/>
  <c r="BK23" i="3"/>
  <c r="BC24" i="3"/>
  <c r="BA24" i="3" s="1"/>
  <c r="BD24" i="3"/>
  <c r="BE24" i="3"/>
  <c r="BF24" i="3"/>
  <c r="BG24" i="3"/>
  <c r="BH24" i="3"/>
  <c r="BI24" i="3"/>
  <c r="BJ24" i="3"/>
  <c r="BK24" i="3"/>
  <c r="BC25" i="3"/>
  <c r="BA25" i="3" s="1"/>
  <c r="AZ25" i="3" s="1"/>
  <c r="BD25" i="3"/>
  <c r="BE25" i="3"/>
  <c r="BF25" i="3"/>
  <c r="BG25" i="3"/>
  <c r="BH25" i="3"/>
  <c r="BI25" i="3"/>
  <c r="BJ25" i="3"/>
  <c r="BK25" i="3"/>
  <c r="BD13" i="3"/>
  <c r="BE13" i="3"/>
  <c r="BF13" i="3"/>
  <c r="BG13" i="3"/>
  <c r="BH13" i="3"/>
  <c r="BI13" i="3"/>
  <c r="BJ13" i="3"/>
  <c r="BK13" i="3"/>
  <c r="BA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M5" i="3"/>
  <c r="G21" i="6" s="1"/>
  <c r="E21" i="6" s="1"/>
  <c r="L21" i="6"/>
  <c r="BM19" i="3"/>
  <c r="BN19" i="3"/>
  <c r="BO19" i="3"/>
  <c r="BP19" i="3"/>
  <c r="BT19" i="3"/>
  <c r="BL19" i="3"/>
  <c r="BM20" i="3"/>
  <c r="BL20" i="3" s="1"/>
  <c r="BN20" i="3"/>
  <c r="BO20" i="3"/>
  <c r="BP20" i="3"/>
  <c r="BT20" i="3"/>
  <c r="BM21" i="3"/>
  <c r="BN21" i="3"/>
  <c r="BO21" i="3"/>
  <c r="BP21" i="3"/>
  <c r="BT21" i="3"/>
  <c r="BL21" i="3"/>
  <c r="BM22" i="3"/>
  <c r="BL22" i="3" s="1"/>
  <c r="BN22" i="3"/>
  <c r="BO22" i="3"/>
  <c r="BP22" i="3"/>
  <c r="BT22" i="3"/>
  <c r="BM23" i="3"/>
  <c r="BN23" i="3"/>
  <c r="BO23" i="3"/>
  <c r="BP23" i="3"/>
  <c r="BT23" i="3"/>
  <c r="BL23" i="3"/>
  <c r="BM24" i="3"/>
  <c r="BL24" i="3" s="1"/>
  <c r="BN24" i="3"/>
  <c r="BO24" i="3"/>
  <c r="BP24" i="3"/>
  <c r="BT24" i="3"/>
  <c r="BM25" i="3"/>
  <c r="BN25" i="3"/>
  <c r="BO25" i="3"/>
  <c r="BP25" i="3"/>
  <c r="BT25" i="3"/>
  <c r="BL25" i="3"/>
  <c r="BM13" i="3"/>
  <c r="BO13" i="3"/>
  <c r="BP13" i="3"/>
  <c r="BN13" i="3"/>
  <c r="BL13" i="3"/>
  <c r="AZ13" i="3" s="1"/>
  <c r="H19" i="3"/>
  <c r="AC19" i="3"/>
  <c r="G19" i="3"/>
  <c r="H20" i="3"/>
  <c r="AC20" i="3"/>
  <c r="G20" i="3" s="1"/>
  <c r="H21" i="3"/>
  <c r="AC21" i="3"/>
  <c r="G21" i="3"/>
  <c r="H22" i="3"/>
  <c r="AC22" i="3"/>
  <c r="G22" i="3" s="1"/>
  <c r="H23" i="3"/>
  <c r="AC23" i="3"/>
  <c r="G23" i="3"/>
  <c r="H24" i="3"/>
  <c r="AC24" i="3"/>
  <c r="G24" i="3" s="1"/>
  <c r="H25" i="3"/>
  <c r="AC25" i="3"/>
  <c r="G25" i="3"/>
  <c r="AC13" i="3"/>
  <c r="H14" i="3"/>
  <c r="G14" i="3" s="1"/>
  <c r="AT5" i="3"/>
  <c r="R8" i="1"/>
  <c r="K8" i="1"/>
  <c r="M8" i="1"/>
  <c r="S8" i="1"/>
  <c r="T8" i="1" s="1"/>
  <c r="F20" i="79"/>
  <c r="J1" i="73"/>
  <c r="F21" i="79"/>
  <c r="G15" i="4"/>
  <c r="F8" i="1"/>
  <c r="M47" i="79"/>
  <c r="L46" i="79" s="1"/>
  <c r="AE8" i="1"/>
  <c r="BM29" i="3"/>
  <c r="BL29" i="3" s="1"/>
  <c r="BN29" i="3"/>
  <c r="BO29" i="3"/>
  <c r="BP29" i="3"/>
  <c r="BT29" i="3"/>
  <c r="BB29" i="3"/>
  <c r="BC29" i="3"/>
  <c r="BD29" i="3"/>
  <c r="BE29" i="3"/>
  <c r="BF29" i="3"/>
  <c r="BG29" i="3"/>
  <c r="BH29" i="3"/>
  <c r="BI29" i="3"/>
  <c r="BJ29" i="3"/>
  <c r="BK29" i="3"/>
  <c r="BA29" i="3"/>
  <c r="BM30" i="3"/>
  <c r="BL30" i="3" s="1"/>
  <c r="BN30" i="3"/>
  <c r="BO30" i="3"/>
  <c r="BP30" i="3"/>
  <c r="BT30" i="3"/>
  <c r="BB30" i="3"/>
  <c r="BC30" i="3"/>
  <c r="BD30" i="3"/>
  <c r="BE30" i="3"/>
  <c r="BF30" i="3"/>
  <c r="BG30" i="3"/>
  <c r="BH30" i="3"/>
  <c r="BI30" i="3"/>
  <c r="BJ30" i="3"/>
  <c r="BK30" i="3"/>
  <c r="BA30" i="3"/>
  <c r="BM31" i="3"/>
  <c r="BL31" i="3" s="1"/>
  <c r="BN31" i="3"/>
  <c r="BO31" i="3"/>
  <c r="BP31" i="3"/>
  <c r="BT31" i="3"/>
  <c r="BB31" i="3"/>
  <c r="BC31" i="3"/>
  <c r="BD31" i="3"/>
  <c r="BE31" i="3"/>
  <c r="BF31" i="3"/>
  <c r="BG31" i="3"/>
  <c r="BH31" i="3"/>
  <c r="BI31" i="3"/>
  <c r="BJ31" i="3"/>
  <c r="BK31" i="3"/>
  <c r="BA31" i="3"/>
  <c r="BM32" i="3"/>
  <c r="BL32" i="3" s="1"/>
  <c r="BN32" i="3"/>
  <c r="BO32" i="3"/>
  <c r="BP32" i="3"/>
  <c r="BT32" i="3"/>
  <c r="BB32" i="3"/>
  <c r="BC32" i="3"/>
  <c r="BD32" i="3"/>
  <c r="BE32" i="3"/>
  <c r="BF32" i="3"/>
  <c r="BG32" i="3"/>
  <c r="BH32" i="3"/>
  <c r="BI32" i="3"/>
  <c r="BJ32" i="3"/>
  <c r="BK32" i="3"/>
  <c r="BA32" i="3"/>
  <c r="BM33" i="3"/>
  <c r="BL33" i="3" s="1"/>
  <c r="BN33" i="3"/>
  <c r="BO33" i="3"/>
  <c r="BP33" i="3"/>
  <c r="BT33" i="3"/>
  <c r="BB33" i="3"/>
  <c r="BC33" i="3"/>
  <c r="BD33" i="3"/>
  <c r="BE33" i="3"/>
  <c r="BF33" i="3"/>
  <c r="BG33" i="3"/>
  <c r="BH33" i="3"/>
  <c r="BI33" i="3"/>
  <c r="BJ33" i="3"/>
  <c r="BK33" i="3"/>
  <c r="BA33" i="3"/>
  <c r="BM34" i="3"/>
  <c r="BL34" i="3" s="1"/>
  <c r="BN34" i="3"/>
  <c r="BO34" i="3"/>
  <c r="BP34" i="3"/>
  <c r="BT34" i="3"/>
  <c r="BB34" i="3"/>
  <c r="BC34" i="3"/>
  <c r="BD34" i="3"/>
  <c r="BE34" i="3"/>
  <c r="BF34" i="3"/>
  <c r="BG34" i="3"/>
  <c r="BH34" i="3"/>
  <c r="BI34" i="3"/>
  <c r="BJ34" i="3"/>
  <c r="BK34" i="3"/>
  <c r="BA34" i="3"/>
  <c r="G1" i="15"/>
  <c r="AC29" i="3"/>
  <c r="H29" i="3"/>
  <c r="G29" i="3"/>
  <c r="AC30" i="3"/>
  <c r="H30" i="3"/>
  <c r="G30" i="3"/>
  <c r="AC31" i="3"/>
  <c r="H31" i="3"/>
  <c r="G31" i="3" s="1"/>
  <c r="AC32" i="3"/>
  <c r="H32" i="3"/>
  <c r="G32" i="3"/>
  <c r="AC33" i="3"/>
  <c r="H33" i="3"/>
  <c r="G33" i="3" s="1"/>
  <c r="AC34" i="3"/>
  <c r="H34" i="3"/>
  <c r="G34" i="3"/>
  <c r="F20" i="15"/>
  <c r="F21" i="15"/>
  <c r="E15" i="4"/>
  <c r="J50" i="15"/>
  <c r="M47" i="15"/>
  <c r="L46" i="15" s="1"/>
  <c r="BM14" i="3"/>
  <c r="BM15" i="3"/>
  <c r="BM16" i="3"/>
  <c r="BM17" i="3"/>
  <c r="BM18" i="3"/>
  <c r="BM26" i="3"/>
  <c r="BM27" i="3"/>
  <c r="BM28" i="3"/>
  <c r="BM35" i="3"/>
  <c r="BM36" i="3"/>
  <c r="BM37" i="3"/>
  <c r="BM38" i="3"/>
  <c r="BM39" i="3"/>
  <c r="BM40" i="3"/>
  <c r="BM41" i="3"/>
  <c r="BM42" i="3"/>
  <c r="BO14" i="3"/>
  <c r="BO15" i="3"/>
  <c r="BO16" i="3"/>
  <c r="BO17" i="3"/>
  <c r="BO18" i="3"/>
  <c r="BO26" i="3"/>
  <c r="BO27" i="3"/>
  <c r="BO28" i="3"/>
  <c r="BO35" i="3"/>
  <c r="BO36" i="3"/>
  <c r="BO37" i="3"/>
  <c r="BP14" i="3"/>
  <c r="BP15" i="3"/>
  <c r="BP16" i="3"/>
  <c r="BP17" i="3"/>
  <c r="BP18" i="3"/>
  <c r="BP26" i="3"/>
  <c r="BP27" i="3"/>
  <c r="BP28" i="3"/>
  <c r="BP35" i="3"/>
  <c r="BP36" i="3"/>
  <c r="BP37" i="3"/>
  <c r="D69" i="21"/>
  <c r="E69" i="21"/>
  <c r="C7" i="21"/>
  <c r="C58" i="21"/>
  <c r="R47" i="21"/>
  <c r="F32" i="21"/>
  <c r="AA32" i="21" s="1"/>
  <c r="H32" i="21"/>
  <c r="AB32" i="21" s="1"/>
  <c r="T47" i="21"/>
  <c r="H42" i="21"/>
  <c r="AB42" i="21"/>
  <c r="J32" i="21"/>
  <c r="AC32" i="21"/>
  <c r="V47" i="21"/>
  <c r="J42" i="21"/>
  <c r="AC42" i="21" s="1"/>
  <c r="O6" i="1"/>
  <c r="P6" i="1"/>
  <c r="P16" i="1" s="1"/>
  <c r="C11" i="12" s="1"/>
  <c r="C15" i="12" s="1"/>
  <c r="O7" i="1"/>
  <c r="P7" i="1"/>
  <c r="O8" i="1"/>
  <c r="P8" i="1"/>
  <c r="O9" i="1"/>
  <c r="P9" i="1"/>
  <c r="O10" i="1"/>
  <c r="P10" i="1"/>
  <c r="O11" i="1"/>
  <c r="P11" i="1"/>
  <c r="O12" i="1"/>
  <c r="P12" i="1"/>
  <c r="O13" i="1"/>
  <c r="P13" i="1"/>
  <c r="O14" i="1"/>
  <c r="P14" i="1"/>
  <c r="E17" i="12"/>
  <c r="F15" i="79"/>
  <c r="F17" i="79"/>
  <c r="F18" i="79"/>
  <c r="F33" i="79"/>
  <c r="J50" i="79"/>
  <c r="J51" i="79" s="1"/>
  <c r="D8" i="1"/>
  <c r="K59" i="79"/>
  <c r="P74" i="79"/>
  <c r="Q72" i="79"/>
  <c r="F61" i="79"/>
  <c r="P61" i="79"/>
  <c r="Q59" i="79"/>
  <c r="F59" i="79"/>
  <c r="Q58" i="79"/>
  <c r="I54" i="79"/>
  <c r="Q51" i="79"/>
  <c r="D46" i="79"/>
  <c r="F31" i="79"/>
  <c r="M19" i="79"/>
  <c r="D24" i="79"/>
  <c r="D23" i="79"/>
  <c r="D22" i="79"/>
  <c r="M17" i="79"/>
  <c r="I38" i="39"/>
  <c r="G38" i="39"/>
  <c r="E38" i="39"/>
  <c r="I46" i="39"/>
  <c r="G46" i="39"/>
  <c r="E46" i="39"/>
  <c r="E118" i="39"/>
  <c r="F118" i="39" s="1"/>
  <c r="G118" i="39" s="1"/>
  <c r="H118" i="39" s="1"/>
  <c r="I118" i="39" s="1"/>
  <c r="J118" i="39" s="1"/>
  <c r="K118" i="39" s="1"/>
  <c r="D118" i="39"/>
  <c r="E117" i="39"/>
  <c r="F117" i="39" s="1"/>
  <c r="G117" i="39" s="1"/>
  <c r="H117" i="39" s="1"/>
  <c r="I117" i="39" s="1"/>
  <c r="J117" i="39" s="1"/>
  <c r="K117" i="39" s="1"/>
  <c r="D117" i="39"/>
  <c r="E71" i="39"/>
  <c r="F71" i="39" s="1"/>
  <c r="G71" i="39" s="1"/>
  <c r="H71" i="39" s="1"/>
  <c r="I71" i="39" s="1"/>
  <c r="D71" i="39"/>
  <c r="I7" i="39"/>
  <c r="G7" i="39"/>
  <c r="E7" i="39"/>
  <c r="I5" i="39"/>
  <c r="G5" i="39"/>
  <c r="E5" i="39"/>
  <c r="D104" i="21"/>
  <c r="E104" i="21" s="1"/>
  <c r="F104" i="21" s="1"/>
  <c r="G104" i="21" s="1"/>
  <c r="H104" i="21" s="1"/>
  <c r="I104" i="21" s="1"/>
  <c r="J104" i="21" s="1"/>
  <c r="D103" i="21"/>
  <c r="E103" i="21" s="1"/>
  <c r="F103" i="21" s="1"/>
  <c r="G103" i="21" s="1"/>
  <c r="H103" i="21" s="1"/>
  <c r="BD14" i="3"/>
  <c r="BA14" i="3" s="1"/>
  <c r="BE14" i="3"/>
  <c r="BF14" i="3"/>
  <c r="BG14" i="3"/>
  <c r="BH14" i="3"/>
  <c r="BI14" i="3"/>
  <c r="BJ14" i="3"/>
  <c r="BK14" i="3"/>
  <c r="BN14" i="3"/>
  <c r="BT14" i="3"/>
  <c r="BL14" i="3"/>
  <c r="BB17" i="3"/>
  <c r="BC17" i="3"/>
  <c r="BA17" i="3" s="1"/>
  <c r="AZ17" i="3" s="1"/>
  <c r="BD17" i="3"/>
  <c r="BE17" i="3"/>
  <c r="BF17" i="3"/>
  <c r="BG17" i="3"/>
  <c r="BH17" i="3"/>
  <c r="BI17" i="3"/>
  <c r="BJ17" i="3"/>
  <c r="BK17" i="3"/>
  <c r="BN17" i="3"/>
  <c r="BT17" i="3"/>
  <c r="BL17" i="3"/>
  <c r="BB18" i="3"/>
  <c r="BC18" i="3"/>
  <c r="BD18" i="3"/>
  <c r="BE18" i="3"/>
  <c r="BF18" i="3"/>
  <c r="BG18" i="3"/>
  <c r="BH18" i="3"/>
  <c r="BI18" i="3"/>
  <c r="BJ18" i="3"/>
  <c r="BK18" i="3"/>
  <c r="BA18" i="3"/>
  <c r="BN18" i="3"/>
  <c r="BT18" i="3"/>
  <c r="BL18" i="3" s="1"/>
  <c r="AZ18" i="3" s="1"/>
  <c r="BB15" i="3"/>
  <c r="BC15" i="3"/>
  <c r="BA15" i="3" s="1"/>
  <c r="AZ15" i="3" s="1"/>
  <c r="BD15" i="3"/>
  <c r="BE15" i="3"/>
  <c r="BF15" i="3"/>
  <c r="BG15" i="3"/>
  <c r="BH15" i="3"/>
  <c r="BI15" i="3"/>
  <c r="BJ15" i="3"/>
  <c r="BK15" i="3"/>
  <c r="BN15" i="3"/>
  <c r="BT15" i="3"/>
  <c r="BL15" i="3"/>
  <c r="BB16" i="3"/>
  <c r="BC16" i="3"/>
  <c r="BD16" i="3"/>
  <c r="BE16" i="3"/>
  <c r="BF16" i="3"/>
  <c r="BG16" i="3"/>
  <c r="BH16" i="3"/>
  <c r="BI16" i="3"/>
  <c r="BJ16" i="3"/>
  <c r="BK16" i="3"/>
  <c r="BA16" i="3"/>
  <c r="BN16" i="3"/>
  <c r="BT16" i="3"/>
  <c r="BL16" i="3" s="1"/>
  <c r="AZ16" i="3" s="1"/>
  <c r="BB26" i="3"/>
  <c r="BC26" i="3"/>
  <c r="BA26" i="3" s="1"/>
  <c r="AZ26" i="3" s="1"/>
  <c r="BD26" i="3"/>
  <c r="BE26" i="3"/>
  <c r="BF26" i="3"/>
  <c r="BG26" i="3"/>
  <c r="BH26" i="3"/>
  <c r="BI26" i="3"/>
  <c r="BJ26" i="3"/>
  <c r="BK26" i="3"/>
  <c r="BN26" i="3"/>
  <c r="BT26" i="3"/>
  <c r="BL26" i="3"/>
  <c r="BB27" i="3"/>
  <c r="BC27" i="3"/>
  <c r="BD27" i="3"/>
  <c r="BE27" i="3"/>
  <c r="BF27" i="3"/>
  <c r="BG27" i="3"/>
  <c r="BH27" i="3"/>
  <c r="BI27" i="3"/>
  <c r="BJ27" i="3"/>
  <c r="BK27" i="3"/>
  <c r="BA27" i="3"/>
  <c r="BN27" i="3"/>
  <c r="BT27" i="3"/>
  <c r="BL27" i="3" s="1"/>
  <c r="AZ27" i="3" s="1"/>
  <c r="BB28" i="3"/>
  <c r="BC28" i="3"/>
  <c r="BA28" i="3" s="1"/>
  <c r="AZ28" i="3" s="1"/>
  <c r="BD28" i="3"/>
  <c r="BE28" i="3"/>
  <c r="BF28" i="3"/>
  <c r="BG28" i="3"/>
  <c r="BH28" i="3"/>
  <c r="BI28" i="3"/>
  <c r="BJ28" i="3"/>
  <c r="BK28" i="3"/>
  <c r="BN28" i="3"/>
  <c r="BT28" i="3"/>
  <c r="BL28" i="3"/>
  <c r="BB35" i="3"/>
  <c r="BC35" i="3"/>
  <c r="BD35" i="3"/>
  <c r="BE35" i="3"/>
  <c r="BF35" i="3"/>
  <c r="BG35" i="3"/>
  <c r="BH35" i="3"/>
  <c r="BI35" i="3"/>
  <c r="BJ35" i="3"/>
  <c r="BK35" i="3"/>
  <c r="BA35" i="3"/>
  <c r="BN35" i="3"/>
  <c r="BT35" i="3"/>
  <c r="BL35" i="3" s="1"/>
  <c r="AZ35" i="3" s="1"/>
  <c r="BB36" i="3"/>
  <c r="BC36" i="3"/>
  <c r="BA36" i="3" s="1"/>
  <c r="AZ36" i="3" s="1"/>
  <c r="BD36" i="3"/>
  <c r="BE36" i="3"/>
  <c r="BF36" i="3"/>
  <c r="BG36" i="3"/>
  <c r="BH36" i="3"/>
  <c r="BI36" i="3"/>
  <c r="BJ36" i="3"/>
  <c r="BK36" i="3"/>
  <c r="BN36" i="3"/>
  <c r="BT36" i="3"/>
  <c r="BL36" i="3"/>
  <c r="BN37" i="3"/>
  <c r="BT37" i="3"/>
  <c r="BL37" i="3"/>
  <c r="BC37" i="3"/>
  <c r="BB37" i="3"/>
  <c r="BA37" i="3" s="1"/>
  <c r="AZ37" i="3" s="1"/>
  <c r="BD37" i="3"/>
  <c r="BE37" i="3"/>
  <c r="BF37" i="3"/>
  <c r="BG37" i="3"/>
  <c r="BH37" i="3"/>
  <c r="BI37" i="3"/>
  <c r="BJ37" i="3"/>
  <c r="BK37" i="3"/>
  <c r="BD38" i="3"/>
  <c r="BD39" i="3"/>
  <c r="BD10" i="3"/>
  <c r="BE10" i="3"/>
  <c r="AC14" i="3"/>
  <c r="H17" i="3"/>
  <c r="AC17" i="3"/>
  <c r="G17" i="3" s="1"/>
  <c r="H18" i="3"/>
  <c r="AC18" i="3"/>
  <c r="G18" i="3"/>
  <c r="H15" i="3"/>
  <c r="AC15" i="3"/>
  <c r="G15" i="3" s="1"/>
  <c r="H16" i="3"/>
  <c r="AC16" i="3"/>
  <c r="G16" i="3"/>
  <c r="H26" i="3"/>
  <c r="AC26" i="3"/>
  <c r="G26" i="3" s="1"/>
  <c r="H27" i="3"/>
  <c r="AC27" i="3"/>
  <c r="G27" i="3"/>
  <c r="H28" i="3"/>
  <c r="AC28" i="3"/>
  <c r="G28" i="3" s="1"/>
  <c r="H35" i="3"/>
  <c r="AC35" i="3"/>
  <c r="G35" i="3"/>
  <c r="H36" i="3"/>
  <c r="AC36" i="3"/>
  <c r="G36" i="3" s="1"/>
  <c r="AC37" i="3"/>
  <c r="H37" i="3"/>
  <c r="G37" i="3" s="1"/>
  <c r="O5" i="3"/>
  <c r="BT38" i="3"/>
  <c r="J7" i="1"/>
  <c r="AH5" i="3"/>
  <c r="C11" i="4"/>
  <c r="B7" i="4"/>
  <c r="G1" i="67"/>
  <c r="D15" i="4"/>
  <c r="F7" i="1"/>
  <c r="F9" i="1"/>
  <c r="M47" i="67"/>
  <c r="J50" i="67"/>
  <c r="J51" i="67" s="1"/>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Q7" i="71"/>
  <c r="Q8" i="71"/>
  <c r="Q9" i="71"/>
  <c r="AB8" i="71" s="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Y8" i="71" s="1"/>
  <c r="Z8" i="71" s="1"/>
  <c r="O10" i="71"/>
  <c r="O11" i="71"/>
  <c r="O12" i="71"/>
  <c r="O13" i="71"/>
  <c r="O14" i="71"/>
  <c r="O15" i="71"/>
  <c r="O16" i="71"/>
  <c r="O17" i="71"/>
  <c r="O18" i="71"/>
  <c r="O19" i="71"/>
  <c r="O20" i="71"/>
  <c r="O21" i="71"/>
  <c r="O22" i="71"/>
  <c r="O23" i="71"/>
  <c r="O24" i="71"/>
  <c r="O25" i="71"/>
  <c r="O26" i="71"/>
  <c r="Y5" i="71"/>
  <c r="N6" i="71"/>
  <c r="N7" i="71"/>
  <c r="N8" i="71"/>
  <c r="N9" i="71"/>
  <c r="X8" i="71" s="1"/>
  <c r="N10" i="71"/>
  <c r="N11" i="71"/>
  <c r="N12" i="71"/>
  <c r="N13" i="71"/>
  <c r="N14" i="71"/>
  <c r="N15" i="71"/>
  <c r="N16" i="71"/>
  <c r="N17" i="71"/>
  <c r="N18" i="71"/>
  <c r="N19" i="71"/>
  <c r="N20" i="71"/>
  <c r="N21" i="71"/>
  <c r="N22" i="71"/>
  <c r="N23" i="71"/>
  <c r="N24" i="71"/>
  <c r="N25" i="71"/>
  <c r="N26" i="71"/>
  <c r="X5" i="71"/>
  <c r="AD7" i="71"/>
  <c r="AH7" i="71"/>
  <c r="AG7" i="71"/>
  <c r="AE7" i="71"/>
  <c r="AF7" i="71" s="1"/>
  <c r="L3" i="71"/>
  <c r="AH3" i="71" s="1"/>
  <c r="K3" i="71"/>
  <c r="AG3" i="71" s="1"/>
  <c r="J3" i="71"/>
  <c r="AE3" i="71" s="1"/>
  <c r="I3" i="71"/>
  <c r="AH8" i="71"/>
  <c r="AG8" i="71"/>
  <c r="AE8" i="71"/>
  <c r="AF8" i="71"/>
  <c r="AD8" i="71"/>
  <c r="AA8" i="71"/>
  <c r="AH9" i="71"/>
  <c r="AG9" i="71"/>
  <c r="AE9" i="71"/>
  <c r="AF9" i="71" s="1"/>
  <c r="AD9" i="71"/>
  <c r="AA9" i="71"/>
  <c r="M19" i="43"/>
  <c r="D12" i="71"/>
  <c r="AH10" i="71"/>
  <c r="AG10" i="71"/>
  <c r="AE10" i="71"/>
  <c r="AF10" i="71"/>
  <c r="AD10" i="71"/>
  <c r="BB38" i="3"/>
  <c r="BA38" i="3" s="1"/>
  <c r="BC38" i="3"/>
  <c r="BE38" i="3"/>
  <c r="BF38" i="3"/>
  <c r="BG38" i="3"/>
  <c r="BH38" i="3"/>
  <c r="BI38" i="3"/>
  <c r="BJ38" i="3"/>
  <c r="BK38" i="3"/>
  <c r="BN38" i="3"/>
  <c r="BL38" i="3" s="1"/>
  <c r="BO38" i="3"/>
  <c r="BP38" i="3"/>
  <c r="BQ38" i="3"/>
  <c r="BR38" i="3"/>
  <c r="BB39" i="3"/>
  <c r="BC39" i="3"/>
  <c r="BE39" i="3"/>
  <c r="BF39" i="3"/>
  <c r="BG39" i="3"/>
  <c r="BH39" i="3"/>
  <c r="BI39" i="3"/>
  <c r="BJ39" i="3"/>
  <c r="BK39" i="3"/>
  <c r="BA39" i="3"/>
  <c r="AZ39" i="3" s="1"/>
  <c r="BN39" i="3"/>
  <c r="BO39" i="3"/>
  <c r="BP39" i="3"/>
  <c r="BQ39" i="3"/>
  <c r="BR39" i="3"/>
  <c r="BS39" i="3"/>
  <c r="BT39" i="3"/>
  <c r="BL39" i="3"/>
  <c r="BB40" i="3"/>
  <c r="BC40" i="3"/>
  <c r="BD40" i="3"/>
  <c r="BE40" i="3"/>
  <c r="BF40" i="3"/>
  <c r="BG40" i="3"/>
  <c r="BH40" i="3"/>
  <c r="BI40" i="3"/>
  <c r="BJ40" i="3"/>
  <c r="BK40" i="3"/>
  <c r="BA40" i="3"/>
  <c r="AZ40" i="3" s="1"/>
  <c r="BN40" i="3"/>
  <c r="BO40" i="3"/>
  <c r="BP40" i="3"/>
  <c r="BQ40" i="3"/>
  <c r="BR40" i="3"/>
  <c r="BS40" i="3"/>
  <c r="BT40" i="3"/>
  <c r="BL40" i="3"/>
  <c r="BB41" i="3"/>
  <c r="BC41" i="3"/>
  <c r="BD41" i="3"/>
  <c r="BE41" i="3"/>
  <c r="BF41" i="3"/>
  <c r="BG41" i="3"/>
  <c r="BH41" i="3"/>
  <c r="BI41" i="3"/>
  <c r="BJ41" i="3"/>
  <c r="BK41" i="3"/>
  <c r="BA41" i="3"/>
  <c r="AZ41" i="3" s="1"/>
  <c r="BN41" i="3"/>
  <c r="BO41" i="3"/>
  <c r="BP41" i="3"/>
  <c r="BQ41" i="3"/>
  <c r="BR41" i="3"/>
  <c r="BS41" i="3"/>
  <c r="BT41" i="3"/>
  <c r="BL41" i="3"/>
  <c r="BB42" i="3"/>
  <c r="BC42" i="3"/>
  <c r="BD42" i="3"/>
  <c r="BE42" i="3"/>
  <c r="BF42" i="3"/>
  <c r="BG42" i="3"/>
  <c r="BH42" i="3"/>
  <c r="BI42" i="3"/>
  <c r="BJ42" i="3"/>
  <c r="BK42" i="3"/>
  <c r="BA42" i="3"/>
  <c r="AZ42" i="3" s="1"/>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D353" i="3"/>
  <c r="BE353" i="3"/>
  <c r="BF353" i="3"/>
  <c r="BG353" i="3"/>
  <c r="BA353" i="3" s="1"/>
  <c r="AZ353" i="3" s="1"/>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L356" i="3" s="1"/>
  <c r="AZ356" i="3" s="1"/>
  <c r="BB357" i="3"/>
  <c r="BC357" i="3"/>
  <c r="BD357" i="3"/>
  <c r="BE357" i="3"/>
  <c r="BF357" i="3"/>
  <c r="BG357" i="3"/>
  <c r="BH357" i="3"/>
  <c r="BI357" i="3"/>
  <c r="BJ357" i="3"/>
  <c r="BK357" i="3"/>
  <c r="BA357" i="3"/>
  <c r="BM357" i="3"/>
  <c r="BN357" i="3"/>
  <c r="BO357" i="3"/>
  <c r="BP357" i="3"/>
  <c r="BQ357" i="3"/>
  <c r="BR357" i="3"/>
  <c r="BS357" i="3"/>
  <c r="BT357" i="3"/>
  <c r="BL357" i="3" s="1"/>
  <c r="AZ357" i="3" s="1"/>
  <c r="BB358" i="3"/>
  <c r="BC358" i="3"/>
  <c r="BD358" i="3"/>
  <c r="BE358" i="3"/>
  <c r="BF358" i="3"/>
  <c r="BG358" i="3"/>
  <c r="BH358" i="3"/>
  <c r="BI358" i="3"/>
  <c r="BJ358" i="3"/>
  <c r="BK358" i="3"/>
  <c r="BA358" i="3"/>
  <c r="BM358" i="3"/>
  <c r="BN358" i="3"/>
  <c r="BO358" i="3"/>
  <c r="BP358" i="3"/>
  <c r="BQ358" i="3"/>
  <c r="BR358" i="3"/>
  <c r="BS358" i="3"/>
  <c r="BT358" i="3"/>
  <c r="BL358" i="3" s="1"/>
  <c r="AZ358" i="3" s="1"/>
  <c r="BB359" i="3"/>
  <c r="BC359" i="3"/>
  <c r="BD359" i="3"/>
  <c r="BE359" i="3"/>
  <c r="BF359" i="3"/>
  <c r="BG359" i="3"/>
  <c r="BH359" i="3"/>
  <c r="BI359" i="3"/>
  <c r="BJ359" i="3"/>
  <c r="BK359" i="3"/>
  <c r="BA359" i="3"/>
  <c r="BM359" i="3"/>
  <c r="BN359" i="3"/>
  <c r="BO359" i="3"/>
  <c r="BP359" i="3"/>
  <c r="BQ359" i="3"/>
  <c r="BR359" i="3"/>
  <c r="BS359" i="3"/>
  <c r="BT359" i="3"/>
  <c r="BL359" i="3"/>
  <c r="AZ359" i="3" s="1"/>
  <c r="BB360" i="3"/>
  <c r="BC360" i="3"/>
  <c r="BD360" i="3"/>
  <c r="BE360" i="3"/>
  <c r="BF360" i="3"/>
  <c r="BG360" i="3"/>
  <c r="BH360" i="3"/>
  <c r="BI360" i="3"/>
  <c r="BJ360" i="3"/>
  <c r="BK360" i="3"/>
  <c r="BA360" i="3"/>
  <c r="BM360" i="3"/>
  <c r="BN360" i="3"/>
  <c r="BO360" i="3"/>
  <c r="BP360" i="3"/>
  <c r="BL360" i="3" s="1"/>
  <c r="AZ360" i="3" s="1"/>
  <c r="BQ360" i="3"/>
  <c r="BR360" i="3"/>
  <c r="BS360" i="3"/>
  <c r="BT360" i="3"/>
  <c r="BB361" i="3"/>
  <c r="BC361" i="3"/>
  <c r="BD361" i="3"/>
  <c r="BE361" i="3"/>
  <c r="BF361" i="3"/>
  <c r="BG361" i="3"/>
  <c r="BH361" i="3"/>
  <c r="BI361" i="3"/>
  <c r="BJ361" i="3"/>
  <c r="BK361" i="3"/>
  <c r="BA361" i="3" s="1"/>
  <c r="AZ361" i="3" s="1"/>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s="1"/>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D366" i="3"/>
  <c r="BE366" i="3"/>
  <c r="BF366" i="3"/>
  <c r="BG366" i="3"/>
  <c r="BA366" i="3" s="1"/>
  <c r="AZ366" i="3" s="1"/>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L367" i="3" s="1"/>
  <c r="AZ367" i="3" s="1"/>
  <c r="BQ367" i="3"/>
  <c r="BR367" i="3"/>
  <c r="BS367" i="3"/>
  <c r="BT367" i="3"/>
  <c r="BB368" i="3"/>
  <c r="BC368" i="3"/>
  <c r="BD368" i="3"/>
  <c r="BE368" i="3"/>
  <c r="BF368" i="3"/>
  <c r="BG368" i="3"/>
  <c r="BH368" i="3"/>
  <c r="BI368" i="3"/>
  <c r="BJ368" i="3"/>
  <c r="BK368" i="3"/>
  <c r="BA368" i="3" s="1"/>
  <c r="AZ368" i="3" s="1"/>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L369" i="3" s="1"/>
  <c r="AZ369" i="3" s="1"/>
  <c r="BB370" i="3"/>
  <c r="BC370" i="3"/>
  <c r="BD370" i="3"/>
  <c r="BE370" i="3"/>
  <c r="BF370" i="3"/>
  <c r="BG370" i="3"/>
  <c r="BH370" i="3"/>
  <c r="BI370" i="3"/>
  <c r="BJ370" i="3"/>
  <c r="BK370" i="3"/>
  <c r="BA370" i="3" s="1"/>
  <c r="AZ370" i="3" s="1"/>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L371" i="3" s="1"/>
  <c r="AZ371" i="3" s="1"/>
  <c r="BB372" i="3"/>
  <c r="BC372" i="3"/>
  <c r="BD372" i="3"/>
  <c r="BE372" i="3"/>
  <c r="BF372" i="3"/>
  <c r="BG372" i="3"/>
  <c r="BH372" i="3"/>
  <c r="BI372" i="3"/>
  <c r="BJ372" i="3"/>
  <c r="BK372" i="3"/>
  <c r="BA372" i="3" s="1"/>
  <c r="AZ372" i="3" s="1"/>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L373" i="3"/>
  <c r="AZ373" i="3" s="1"/>
  <c r="BB374" i="3"/>
  <c r="BC374" i="3"/>
  <c r="BD374" i="3"/>
  <c r="BE374" i="3"/>
  <c r="BF374" i="3"/>
  <c r="BG374" i="3"/>
  <c r="BH374" i="3"/>
  <c r="BI374" i="3"/>
  <c r="BJ374" i="3"/>
  <c r="BK374" i="3"/>
  <c r="BA374" i="3"/>
  <c r="BM374" i="3"/>
  <c r="BN374" i="3"/>
  <c r="BO374" i="3"/>
  <c r="BP374" i="3"/>
  <c r="BQ374" i="3"/>
  <c r="BR374" i="3"/>
  <c r="BS374" i="3"/>
  <c r="BT374" i="3"/>
  <c r="BL374" i="3" s="1"/>
  <c r="AZ374" i="3" s="1"/>
  <c r="BB375" i="3"/>
  <c r="BC375" i="3"/>
  <c r="BD375" i="3"/>
  <c r="BE375" i="3"/>
  <c r="BF375" i="3"/>
  <c r="BG375" i="3"/>
  <c r="BH375" i="3"/>
  <c r="BI375" i="3"/>
  <c r="BJ375" i="3"/>
  <c r="BK375" i="3"/>
  <c r="BA375" i="3"/>
  <c r="BM375" i="3"/>
  <c r="BN375" i="3"/>
  <c r="BO375" i="3"/>
  <c r="BP375" i="3"/>
  <c r="BQ375" i="3"/>
  <c r="BR375" i="3"/>
  <c r="BL375" i="3" s="1"/>
  <c r="AZ375" i="3" s="1"/>
  <c r="BS375" i="3"/>
  <c r="BT375" i="3"/>
  <c r="BB376" i="3"/>
  <c r="BC376" i="3"/>
  <c r="BD376" i="3"/>
  <c r="BE376" i="3"/>
  <c r="BF376" i="3"/>
  <c r="BG376" i="3"/>
  <c r="BH376" i="3"/>
  <c r="BI376" i="3"/>
  <c r="BJ376" i="3"/>
  <c r="BK376" i="3"/>
  <c r="BA376" i="3"/>
  <c r="BM376" i="3"/>
  <c r="BN376" i="3"/>
  <c r="BO376" i="3"/>
  <c r="BP376" i="3"/>
  <c r="BQ376" i="3"/>
  <c r="BR376" i="3"/>
  <c r="BS376" i="3"/>
  <c r="BT376" i="3"/>
  <c r="BL376" i="3" s="1"/>
  <c r="AZ376" i="3" s="1"/>
  <c r="BB377" i="3"/>
  <c r="BC377" i="3"/>
  <c r="BD377" i="3"/>
  <c r="BE377" i="3"/>
  <c r="BF377" i="3"/>
  <c r="BG377" i="3"/>
  <c r="BH377" i="3"/>
  <c r="BI377" i="3"/>
  <c r="BJ377" i="3"/>
  <c r="BK377" i="3"/>
  <c r="BA377" i="3" s="1"/>
  <c r="AZ377" i="3" s="1"/>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L378" i="3" s="1"/>
  <c r="AZ378" i="3" s="1"/>
  <c r="BB379" i="3"/>
  <c r="BC379" i="3"/>
  <c r="BD379" i="3"/>
  <c r="BE379" i="3"/>
  <c r="BF379" i="3"/>
  <c r="BG379" i="3"/>
  <c r="BH379" i="3"/>
  <c r="BI379" i="3"/>
  <c r="BJ379" i="3"/>
  <c r="BK379" i="3"/>
  <c r="BA379" i="3"/>
  <c r="BM379" i="3"/>
  <c r="BN379" i="3"/>
  <c r="BO379" i="3"/>
  <c r="BP379" i="3"/>
  <c r="BQ379" i="3"/>
  <c r="BR379" i="3"/>
  <c r="BS379" i="3"/>
  <c r="BT379" i="3"/>
  <c r="BL379" i="3"/>
  <c r="AZ379" i="3" s="1"/>
  <c r="BB380" i="3"/>
  <c r="BC380" i="3"/>
  <c r="BD380" i="3"/>
  <c r="BE380" i="3"/>
  <c r="BF380" i="3"/>
  <c r="BG380" i="3"/>
  <c r="BH380" i="3"/>
  <c r="BI380" i="3"/>
  <c r="BJ380" i="3"/>
  <c r="BK380" i="3"/>
  <c r="BA380" i="3"/>
  <c r="BM380" i="3"/>
  <c r="BN380" i="3"/>
  <c r="BO380" i="3"/>
  <c r="BP380" i="3"/>
  <c r="BL380" i="3" s="1"/>
  <c r="AZ380" i="3" s="1"/>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L382" i="3" s="1"/>
  <c r="AZ382" i="3" s="1"/>
  <c r="BS382" i="3"/>
  <c r="BT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D384" i="3"/>
  <c r="BE384" i="3"/>
  <c r="BF384" i="3"/>
  <c r="BG384" i="3"/>
  <c r="BH384" i="3"/>
  <c r="BI384" i="3"/>
  <c r="BA384" i="3" s="1"/>
  <c r="AZ384" i="3" s="1"/>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L385" i="3" s="1"/>
  <c r="AZ385" i="3" s="1"/>
  <c r="BQ385" i="3"/>
  <c r="BR385" i="3"/>
  <c r="BS385" i="3"/>
  <c r="BT385" i="3"/>
  <c r="BB386" i="3"/>
  <c r="BC386" i="3"/>
  <c r="BD386" i="3"/>
  <c r="BE386" i="3"/>
  <c r="BF386" i="3"/>
  <c r="BG386" i="3"/>
  <c r="BH386" i="3"/>
  <c r="BI386" i="3"/>
  <c r="BA386" i="3" s="1"/>
  <c r="AZ386" i="3" s="1"/>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L387" i="3" s="1"/>
  <c r="AZ387" i="3" s="1"/>
  <c r="BS387" i="3"/>
  <c r="BT387" i="3"/>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J390" i="3"/>
  <c r="BK390" i="3"/>
  <c r="BA390" i="3"/>
  <c r="BM390" i="3"/>
  <c r="BN390" i="3"/>
  <c r="BO390" i="3"/>
  <c r="BP390" i="3"/>
  <c r="BQ390" i="3"/>
  <c r="BR390" i="3"/>
  <c r="BL390" i="3" s="1"/>
  <c r="AZ390" i="3" s="1"/>
  <c r="BS390" i="3"/>
  <c r="BT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L392" i="3" s="1"/>
  <c r="AZ392" i="3" s="1"/>
  <c r="BS392" i="3"/>
  <c r="BT392" i="3"/>
  <c r="BB393" i="3"/>
  <c r="BC393" i="3"/>
  <c r="BD393" i="3"/>
  <c r="BE393" i="3"/>
  <c r="BF393" i="3"/>
  <c r="BG393" i="3"/>
  <c r="BH393" i="3"/>
  <c r="BI393" i="3"/>
  <c r="BA393" i="3" s="1"/>
  <c r="AZ393" i="3" s="1"/>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L394" i="3" s="1"/>
  <c r="AZ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L395" i="3"/>
  <c r="AZ395" i="3" s="1"/>
  <c r="BB396" i="3"/>
  <c r="BC396" i="3"/>
  <c r="BD396" i="3"/>
  <c r="BE396" i="3"/>
  <c r="BF396" i="3"/>
  <c r="BG396" i="3"/>
  <c r="BH396" i="3"/>
  <c r="BI396" i="3"/>
  <c r="BJ396" i="3"/>
  <c r="BK396" i="3"/>
  <c r="BA396" i="3"/>
  <c r="BM396" i="3"/>
  <c r="BN396" i="3"/>
  <c r="BO396" i="3"/>
  <c r="BP396" i="3"/>
  <c r="BQ396" i="3"/>
  <c r="BR396" i="3"/>
  <c r="BL396" i="3" s="1"/>
  <c r="AZ396" i="3" s="1"/>
  <c r="BS396" i="3"/>
  <c r="BT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s="1"/>
  <c r="AZ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M18" i="9"/>
  <c r="B118" i="9"/>
  <c r="B14" i="74" s="1"/>
  <c r="AD11" i="71"/>
  <c r="AG11" i="71"/>
  <c r="AH11" i="71"/>
  <c r="AE11" i="71"/>
  <c r="AF11" i="71"/>
  <c r="X9" i="71"/>
  <c r="AB10" i="71"/>
  <c r="AA10" i="71"/>
  <c r="Y9" i="71"/>
  <c r="Z9" i="71" s="1"/>
  <c r="Y10" i="71"/>
  <c r="Z10" i="71" s="1"/>
  <c r="C11" i="71"/>
  <c r="C10" i="71" s="1"/>
  <c r="F11" i="71"/>
  <c r="F10" i="71" s="1"/>
  <c r="F9" i="71" s="1"/>
  <c r="E11" i="71"/>
  <c r="E10" i="71"/>
  <c r="E9" i="71" s="1"/>
  <c r="B11" i="71"/>
  <c r="B10" i="71" s="1"/>
  <c r="B9" i="71" s="1"/>
  <c r="B8" i="71" s="1"/>
  <c r="B7" i="71" s="1"/>
  <c r="V11" i="71"/>
  <c r="AB11" i="71"/>
  <c r="Y11" i="71"/>
  <c r="Z11" i="71"/>
  <c r="X11" i="71"/>
  <c r="AA11" i="71"/>
  <c r="A2" i="53"/>
  <c r="K59" i="67"/>
  <c r="P61" i="67" s="1"/>
  <c r="K59" i="15"/>
  <c r="P74" i="15" s="1"/>
  <c r="P61" i="15"/>
  <c r="D116" i="39"/>
  <c r="E116" i="39"/>
  <c r="F116" i="39"/>
  <c r="G116" i="39"/>
  <c r="H116" i="39"/>
  <c r="I116" i="39"/>
  <c r="J116" i="39"/>
  <c r="K116" i="39"/>
  <c r="L116" i="39"/>
  <c r="M116" i="39"/>
  <c r="C116" i="39"/>
  <c r="A21" i="62"/>
  <c r="A20" i="62"/>
  <c r="A22" i="51"/>
  <c r="A21" i="51"/>
  <c r="A20" i="51"/>
  <c r="L21" i="4"/>
  <c r="L20" i="4"/>
  <c r="A14" i="62"/>
  <c r="A13" i="62"/>
  <c r="B59" i="72" s="1"/>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0" i="72"/>
  <c r="B67"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O40" i="71"/>
  <c r="C41" i="71" s="1"/>
  <c r="Q40" i="71"/>
  <c r="F41" i="71" s="1"/>
  <c r="F42" i="71" s="1"/>
  <c r="F43" i="71" s="1"/>
  <c r="V43" i="71" s="1"/>
  <c r="P40" i="71"/>
  <c r="E41" i="7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s="1"/>
  <c r="U19" i="71" s="1"/>
  <c r="AA16" i="71"/>
  <c r="B21" i="71"/>
  <c r="B22" i="71"/>
  <c r="B23" i="71" s="1"/>
  <c r="S23" i="71" s="1"/>
  <c r="X20" i="71"/>
  <c r="B25" i="71"/>
  <c r="B26" i="71" s="1"/>
  <c r="B27" i="71" s="1"/>
  <c r="S27" i="71" s="1"/>
  <c r="X24" i="71"/>
  <c r="E25" i="71"/>
  <c r="E26" i="71"/>
  <c r="E27" i="71" s="1"/>
  <c r="U27" i="71" s="1"/>
  <c r="AA24" i="71"/>
  <c r="N55" i="71"/>
  <c r="E21" i="71"/>
  <c r="E22" i="71"/>
  <c r="E23" i="71" s="1"/>
  <c r="U23" i="71" s="1"/>
  <c r="AA20" i="71"/>
  <c r="C17" i="71"/>
  <c r="Y16" i="71"/>
  <c r="Z16" i="71"/>
  <c r="AB16" i="71"/>
  <c r="X17" i="71"/>
  <c r="AA17" i="71"/>
  <c r="X18" i="71"/>
  <c r="AA18" i="71"/>
  <c r="X19" i="71"/>
  <c r="AA19" i="71"/>
  <c r="C21" i="71"/>
  <c r="C22" i="71" s="1"/>
  <c r="Y20" i="71"/>
  <c r="Z20" i="71" s="1"/>
  <c r="AB20" i="71"/>
  <c r="X21" i="71"/>
  <c r="AA21" i="71"/>
  <c r="X22" i="71"/>
  <c r="AA22" i="71"/>
  <c r="X23" i="71"/>
  <c r="AA23" i="71"/>
  <c r="C25" i="71"/>
  <c r="Y24" i="71"/>
  <c r="Z24" i="71" s="1"/>
  <c r="AB24" i="71"/>
  <c r="X25" i="71"/>
  <c r="AA25" i="71"/>
  <c r="F38" i="71"/>
  <c r="F39" i="71"/>
  <c r="V39" i="71" s="1"/>
  <c r="C15" i="71"/>
  <c r="Y3" i="71"/>
  <c r="Z3" i="71"/>
  <c r="Y12" i="71"/>
  <c r="Z12" i="71"/>
  <c r="Y13" i="71"/>
  <c r="Z13" i="71"/>
  <c r="Y14" i="71"/>
  <c r="Z14" i="71"/>
  <c r="Y15" i="71"/>
  <c r="Z15" i="71"/>
  <c r="B15" i="71"/>
  <c r="B14" i="71"/>
  <c r="B13" i="71" s="1"/>
  <c r="X12" i="71"/>
  <c r="X13" i="71"/>
  <c r="X14" i="71"/>
  <c r="X15" i="71"/>
  <c r="C18" i="71"/>
  <c r="D17" i="71"/>
  <c r="D21" i="71"/>
  <c r="C26" i="71"/>
  <c r="D25" i="71"/>
  <c r="E42" i="71"/>
  <c r="E43" i="71" s="1"/>
  <c r="U43" i="71" s="1"/>
  <c r="E50" i="71"/>
  <c r="E51" i="71" s="1"/>
  <c r="U51" i="71" s="1"/>
  <c r="U55" i="71"/>
  <c r="E54" i="71"/>
  <c r="C50" i="71"/>
  <c r="D49" i="71"/>
  <c r="N54" i="71"/>
  <c r="B53"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s="1"/>
  <c r="AB12" i="71"/>
  <c r="AB13" i="71"/>
  <c r="AB14" i="71"/>
  <c r="AB15" i="71"/>
  <c r="E15" i="71"/>
  <c r="E14" i="71" s="1"/>
  <c r="E13" i="71" s="1"/>
  <c r="AA3" i="71"/>
  <c r="AA12" i="71"/>
  <c r="AA13" i="71"/>
  <c r="AA14" i="71"/>
  <c r="AA15" i="71"/>
  <c r="D15" i="71"/>
  <c r="U15" i="71" s="1"/>
  <c r="C53" i="71"/>
  <c r="D53" i="71" s="1"/>
  <c r="O54" i="71"/>
  <c r="D54" i="71"/>
  <c r="C51" i="71"/>
  <c r="D50" i="71"/>
  <c r="D70" i="71"/>
  <c r="C69" i="71"/>
  <c r="D69" i="71" s="1"/>
  <c r="D62" i="71"/>
  <c r="C61" i="71"/>
  <c r="D61" i="71"/>
  <c r="N52" i="71"/>
  <c r="N53" i="71"/>
  <c r="D74" i="71"/>
  <c r="C73" i="71"/>
  <c r="D73" i="71" s="1"/>
  <c r="D66" i="71"/>
  <c r="C65" i="71"/>
  <c r="D65" i="71"/>
  <c r="D58" i="71"/>
  <c r="C57" i="71"/>
  <c r="D57" i="71" s="1"/>
  <c r="P54" i="71"/>
  <c r="E53" i="71"/>
  <c r="C27" i="71"/>
  <c r="T27" i="71" s="1"/>
  <c r="D26" i="71"/>
  <c r="C19" i="71"/>
  <c r="T19" i="71" s="1"/>
  <c r="D18" i="71"/>
  <c r="C13" i="71"/>
  <c r="D13" i="71" s="1"/>
  <c r="D14" i="71"/>
  <c r="V15" i="71"/>
  <c r="P52" i="71"/>
  <c r="P53" i="71"/>
  <c r="O53" i="71"/>
  <c r="O52" i="71"/>
  <c r="D19" i="71"/>
  <c r="D27" i="71"/>
  <c r="T51" i="71"/>
  <c r="D51" i="71"/>
  <c r="O27" i="6"/>
  <c r="N27" i="6"/>
  <c r="P20" i="6"/>
  <c r="P21" i="6"/>
  <c r="P22" i="6"/>
  <c r="P23" i="6"/>
  <c r="P24" i="6"/>
  <c r="P25" i="6"/>
  <c r="P26" i="6"/>
  <c r="P19" i="6"/>
  <c r="AP8" i="1"/>
  <c r="AP9" i="1"/>
  <c r="AP10" i="1"/>
  <c r="AP11" i="1"/>
  <c r="AP12" i="1"/>
  <c r="AP13" i="1"/>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3" i="21"/>
  <c r="F21" i="21"/>
  <c r="AA21" i="21" s="1"/>
  <c r="D81" i="21"/>
  <c r="H19" i="21" s="1"/>
  <c r="G20" i="20"/>
  <c r="B86" i="43" s="1"/>
  <c r="C22" i="20"/>
  <c r="B75" i="43" s="1"/>
  <c r="B55" i="43"/>
  <c r="C25" i="40"/>
  <c r="S25" i="40"/>
  <c r="S29" i="39"/>
  <c r="S18" i="36"/>
  <c r="U18" i="36"/>
  <c r="S21" i="34"/>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4"/>
  <c r="AB21" i="34" s="1"/>
  <c r="F83" i="33"/>
  <c r="H21" i="33"/>
  <c r="U21" i="33" s="1"/>
  <c r="F21" i="33"/>
  <c r="H1" i="69"/>
  <c r="W25" i="40"/>
  <c r="U25" i="40"/>
  <c r="U29" i="39"/>
  <c r="W29" i="39"/>
  <c r="W18" i="36"/>
  <c r="AB21" i="37"/>
  <c r="U21" i="37"/>
  <c r="S21" i="37"/>
  <c r="U21" i="34"/>
  <c r="AB21" i="33"/>
  <c r="AA21" i="33"/>
  <c r="S21" i="33"/>
  <c r="U18" i="35"/>
  <c r="AC18" i="35"/>
  <c r="W18" i="35"/>
  <c r="J21" i="37"/>
  <c r="AC21" i="37" s="1"/>
  <c r="J21" i="34"/>
  <c r="AC21" i="34" s="1"/>
  <c r="G83" i="33"/>
  <c r="J21" i="33"/>
  <c r="AC21" i="33" s="1"/>
  <c r="F38" i="69"/>
  <c r="E37" i="69"/>
  <c r="F36" i="69"/>
  <c r="F35" i="69"/>
  <c r="F21" i="69"/>
  <c r="C21" i="69"/>
  <c r="F20" i="69"/>
  <c r="E10" i="69"/>
  <c r="E9" i="69"/>
  <c r="C7" i="69"/>
  <c r="W21" i="37"/>
  <c r="W21" i="34"/>
  <c r="W21" i="33"/>
  <c r="J21" i="21"/>
  <c r="W21" i="21"/>
  <c r="C40" i="69"/>
  <c r="F38" i="68"/>
  <c r="E37" i="68"/>
  <c r="F36" i="68"/>
  <c r="F35" i="68"/>
  <c r="F21" i="68"/>
  <c r="C21" i="68" s="1"/>
  <c r="F20"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G2" i="43"/>
  <c r="H113" i="43" s="1"/>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G11" i="1" s="1"/>
  <c r="D12" i="1"/>
  <c r="G12" i="1" s="1"/>
  <c r="D13" i="1"/>
  <c r="D7" i="1"/>
  <c r="G7" i="1" s="1"/>
  <c r="B8" i="1"/>
  <c r="E8" i="1" s="1"/>
  <c r="A9" i="1"/>
  <c r="K9" i="1" s="1"/>
  <c r="M9" i="1" s="1"/>
  <c r="A10" i="1"/>
  <c r="K10" i="1" s="1"/>
  <c r="M10" i="1" s="1"/>
  <c r="A11" i="1"/>
  <c r="K11" i="1" s="1"/>
  <c r="M11" i="1" s="1"/>
  <c r="A12" i="1"/>
  <c r="K12" i="1" s="1"/>
  <c r="M12" i="1" s="1"/>
  <c r="A13" i="1"/>
  <c r="K13" i="1" s="1"/>
  <c r="M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A15" i="62" s="1"/>
  <c r="B61" i="72" s="1"/>
  <c r="A5" i="62"/>
  <c r="B72" i="72" s="1"/>
  <c r="A4" i="62"/>
  <c r="B70" i="72" s="1"/>
  <c r="F33" i="9"/>
  <c r="B37" i="48"/>
  <c r="B2" i="72"/>
  <c r="B13" i="53"/>
  <c r="B29" i="72"/>
  <c r="R35" i="4"/>
  <c r="Q35" i="4"/>
  <c r="P35" i="4"/>
  <c r="O35" i="4"/>
  <c r="N35" i="4"/>
  <c r="M35" i="4"/>
  <c r="L35" i="4"/>
  <c r="K34" i="4"/>
  <c r="T34" i="4" s="1"/>
  <c r="G13" i="1"/>
  <c r="I15" i="4"/>
  <c r="H15"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43" i="1"/>
  <c r="D78" i="9"/>
  <c r="D24" i="15"/>
  <c r="E22" i="6"/>
  <c r="E23" i="6"/>
  <c r="E24" i="6"/>
  <c r="E25" i="6"/>
  <c r="E26" i="6"/>
  <c r="BC10" i="3"/>
  <c r="BB10" i="3"/>
  <c r="AD5" i="3"/>
  <c r="AL5" i="3"/>
  <c r="AP5" i="3"/>
  <c r="F35" i="11"/>
  <c r="F36" i="11"/>
  <c r="F38" i="11"/>
  <c r="E37" i="11"/>
  <c r="F20" i="11"/>
  <c r="F21" i="11"/>
  <c r="C21" i="11"/>
  <c r="F7" i="11"/>
  <c r="C7" i="11"/>
  <c r="C5" i="11" s="1"/>
  <c r="F12" i="12"/>
  <c r="F13" i="12"/>
  <c r="F15" i="12"/>
  <c r="E14" i="12"/>
  <c r="BC11" i="3"/>
  <c r="BD11" i="3"/>
  <c r="BB11" i="3"/>
  <c r="E19" i="12"/>
  <c r="E20" i="12"/>
  <c r="F22" i="12"/>
  <c r="F23" i="12"/>
  <c r="C17" i="9"/>
  <c r="D17" i="9"/>
  <c r="C18" i="9" s="1"/>
  <c r="D18" i="9" s="1"/>
  <c r="I55" i="9"/>
  <c r="F55" i="9"/>
  <c r="O53" i="9" s="1"/>
  <c r="D89" i="9"/>
  <c r="C89" i="9" s="1"/>
  <c r="C87" i="9" s="1"/>
  <c r="J55" i="9"/>
  <c r="B31" i="1"/>
  <c r="B52" i="1"/>
  <c r="M20" i="15"/>
  <c r="T4" i="1"/>
  <c r="F15" i="15"/>
  <c r="F17" i="15"/>
  <c r="F18"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s="1"/>
  <c r="G66" i="21" s="1"/>
  <c r="H66" i="21" s="1"/>
  <c r="I66" i="21" s="1"/>
  <c r="D111" i="21"/>
  <c r="E111" i="21"/>
  <c r="F111" i="21"/>
  <c r="C111" i="21"/>
  <c r="D79" i="21"/>
  <c r="E79" i="21"/>
  <c r="F79" i="21" s="1"/>
  <c r="G79" i="21" s="1"/>
  <c r="D85" i="21"/>
  <c r="E81" i="21"/>
  <c r="F81" i="21" s="1"/>
  <c r="G81" i="21" s="1"/>
  <c r="D77" i="21"/>
  <c r="E77" i="21"/>
  <c r="F77" i="21" s="1"/>
  <c r="G77" i="21" s="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s="1"/>
  <c r="Q44" i="21"/>
  <c r="Z44" i="21" s="1"/>
  <c r="Q45" i="21"/>
  <c r="Z45" i="21" s="1"/>
  <c r="Q46" i="21"/>
  <c r="Z46" i="21" s="1"/>
  <c r="P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40"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26" i="21"/>
  <c r="U12" i="21"/>
  <c r="F43" i="33"/>
  <c r="AA43" i="33"/>
  <c r="W15" i="34"/>
  <c r="AC15" i="34"/>
  <c r="W16" i="35"/>
  <c r="W40" i="37"/>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A12" i="52"/>
  <c r="B56" i="72"/>
  <c r="G4" i="4"/>
  <c r="I4" i="4"/>
  <c r="K5" i="4"/>
  <c r="B47" i="48" s="1"/>
  <c r="A2" i="9"/>
  <c r="F59" i="43"/>
  <c r="H62" i="43"/>
  <c r="BJ5" i="3"/>
  <c r="BH5" i="3"/>
  <c r="BF5" i="3"/>
  <c r="AC5" i="3"/>
  <c r="BK5" i="3"/>
  <c r="BI5" i="3"/>
  <c r="BG5" i="3"/>
  <c r="BE5" i="3"/>
  <c r="U36" i="40"/>
  <c r="F36" i="43"/>
  <c r="F81" i="43"/>
  <c r="H83" i="43"/>
  <c r="F48" i="43"/>
  <c r="H52" i="43"/>
  <c r="F70" i="43"/>
  <c r="H73" i="43"/>
  <c r="M11" i="43"/>
  <c r="D17" i="43"/>
  <c r="F39" i="43"/>
  <c r="I17" i="43"/>
  <c r="F35" i="43"/>
  <c r="J17" i="43"/>
  <c r="U17" i="39"/>
  <c r="S14" i="35"/>
  <c r="U35" i="21"/>
  <c r="AC35" i="21"/>
  <c r="U10" i="21"/>
  <c r="G8" i="1"/>
  <c r="G9" i="1"/>
  <c r="G10" i="1"/>
  <c r="F48" i="9"/>
  <c r="O52" i="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c r="G97" i="39" s="1"/>
  <c r="C40" i="11"/>
  <c r="H75" i="43"/>
  <c r="H50"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c r="H86" i="43"/>
  <c r="H82" i="43"/>
  <c r="H87" i="43"/>
  <c r="AE9" i="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S39" i="40" s="1"/>
  <c r="S12" i="1"/>
  <c r="R12" i="1"/>
  <c r="B12" i="1"/>
  <c r="E12" i="1"/>
  <c r="S10" i="1"/>
  <c r="AQ10" i="1"/>
  <c r="R10" i="1"/>
  <c r="B10" i="1"/>
  <c r="E10" i="1" s="1"/>
  <c r="D1" i="66"/>
  <c r="E10" i="66" s="1"/>
  <c r="S13" i="1"/>
  <c r="R13" i="1"/>
  <c r="S11" i="1"/>
  <c r="AQ11" i="1"/>
  <c r="R11" i="1"/>
  <c r="S9" i="1"/>
  <c r="R9" i="1"/>
  <c r="B41" i="1"/>
  <c r="F31" i="12"/>
  <c r="H100" i="43"/>
  <c r="C30" i="66"/>
  <c r="E26" i="66" s="1"/>
  <c r="AC34" i="33"/>
  <c r="F53" i="9"/>
  <c r="S22" i="31"/>
  <c r="J100" i="43"/>
  <c r="AB37" i="40"/>
  <c r="S35" i="40"/>
  <c r="U35" i="40"/>
  <c r="W38"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36" i="21"/>
  <c r="J15" i="21"/>
  <c r="AC15" i="21" s="1"/>
  <c r="F23" i="21"/>
  <c r="E85" i="21"/>
  <c r="AA14" i="21"/>
  <c r="AB8" i="21"/>
  <c r="S8" i="21"/>
  <c r="M3" i="43"/>
  <c r="M1" i="43"/>
  <c r="N8" i="43"/>
  <c r="D120" i="9"/>
  <c r="F34" i="67"/>
  <c r="F62" i="67" s="1"/>
  <c r="M20" i="67"/>
  <c r="F34" i="15"/>
  <c r="F62" i="15"/>
  <c r="J56" i="9"/>
  <c r="J57" i="9"/>
  <c r="A24" i="51"/>
  <c r="B18" i="72"/>
  <c r="U29" i="34"/>
  <c r="G1" i="68"/>
  <c r="K1" i="12"/>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0" i="39" s="1"/>
  <c r="D68" i="39"/>
  <c r="E68" i="39" s="1"/>
  <c r="C7" i="35"/>
  <c r="C48" i="35"/>
  <c r="D48" i="35" s="1"/>
  <c r="E48" i="35" s="1"/>
  <c r="C7" i="33"/>
  <c r="C58" i="33"/>
  <c r="D58" i="33" s="1"/>
  <c r="E58" i="33" s="1"/>
  <c r="C7" i="40"/>
  <c r="C63" i="40"/>
  <c r="M47" i="9"/>
  <c r="G19" i="43"/>
  <c r="T35" i="4"/>
  <c r="A19" i="51"/>
  <c r="B14" i="72" s="1"/>
  <c r="C46" i="36"/>
  <c r="D46" i="36" s="1"/>
  <c r="E46" i="36" s="1"/>
  <c r="C59" i="34"/>
  <c r="D59" i="34" s="1"/>
  <c r="E59" i="34" s="1"/>
  <c r="C52" i="37"/>
  <c r="D52" i="37"/>
  <c r="A4" i="51"/>
  <c r="B6" i="72"/>
  <c r="H66" i="43"/>
  <c r="H65" i="43"/>
  <c r="H64" i="43"/>
  <c r="H63" i="43"/>
  <c r="H55" i="43"/>
  <c r="H56" i="43"/>
  <c r="H72" i="43"/>
  <c r="B6" i="1"/>
  <c r="E6" i="1" s="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c r="L101" i="21" s="1"/>
  <c r="M101" i="21" s="1"/>
  <c r="AA26" i="21"/>
  <c r="AB14" i="21"/>
  <c r="AB46" i="21"/>
  <c r="AB31" i="21"/>
  <c r="U13" i="21"/>
  <c r="AB13" i="21"/>
  <c r="W8" i="21"/>
  <c r="H15" i="21"/>
  <c r="U15" i="21"/>
  <c r="J17" i="21"/>
  <c r="AC17" i="21"/>
  <c r="W39" i="21"/>
  <c r="AC14" i="21"/>
  <c r="W30" i="21"/>
  <c r="S46" i="21"/>
  <c r="H45" i="21"/>
  <c r="U45" i="21"/>
  <c r="F29" i="21"/>
  <c r="S29" i="21"/>
  <c r="F13" i="21"/>
  <c r="AA13" i="21"/>
  <c r="H9" i="21"/>
  <c r="J9" i="21"/>
  <c r="AC9" i="21" s="1"/>
  <c r="AA31" i="21"/>
  <c r="W2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s="1"/>
  <c r="F30" i="69"/>
  <c r="F32" i="15"/>
  <c r="F60" i="15"/>
  <c r="M18" i="15"/>
  <c r="F28" i="15"/>
  <c r="T11" i="1"/>
  <c r="AR11" i="1"/>
  <c r="T9" i="1"/>
  <c r="AA39" i="40"/>
  <c r="S12" i="33"/>
  <c r="AA12" i="33"/>
  <c r="D68" i="9"/>
  <c r="F54" i="9"/>
  <c r="J32" i="39"/>
  <c r="AC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B15" i="21"/>
  <c r="J23" i="21"/>
  <c r="F85" i="21"/>
  <c r="G85" i="21" s="1"/>
  <c r="H23" i="21"/>
  <c r="AB23" i="21" s="1"/>
  <c r="S13" i="21"/>
  <c r="D6" i="52"/>
  <c r="D121" i="9"/>
  <c r="D7" i="52" s="1"/>
  <c r="K120" i="9"/>
  <c r="A18" i="62" s="1"/>
  <c r="B64" i="72" s="1"/>
  <c r="J59" i="9"/>
  <c r="J61" i="9" s="1"/>
  <c r="AR8" i="1"/>
  <c r="AQ8" i="1"/>
  <c r="R22" i="31"/>
  <c r="B21" i="31" s="1"/>
  <c r="AB45" i="21"/>
  <c r="W32" i="21"/>
  <c r="AB9" i="21"/>
  <c r="U9" i="21"/>
  <c r="S32" i="21"/>
  <c r="W9" i="21"/>
  <c r="U32" i="21"/>
  <c r="AA10" i="21"/>
  <c r="S10" i="21"/>
  <c r="C30" i="11"/>
  <c r="U32" i="39"/>
  <c r="AB32" i="39"/>
  <c r="W32" i="39"/>
  <c r="W19" i="37"/>
  <c r="AC19" i="37"/>
  <c r="AB11" i="37"/>
  <c r="U11" i="37"/>
  <c r="I63" i="37"/>
  <c r="J63" i="37" s="1"/>
  <c r="K63" i="37" s="1"/>
  <c r="L63" i="37" s="1"/>
  <c r="M63" i="37" s="1"/>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O16" i="1"/>
  <c r="AC11" i="37"/>
  <c r="W11" i="37"/>
  <c r="W11" i="34"/>
  <c r="AG6" i="1"/>
  <c r="H109" i="9"/>
  <c r="D124" i="9"/>
  <c r="H14" i="74"/>
  <c r="B7" i="74" s="1"/>
  <c r="C92" i="9"/>
  <c r="C94" i="9"/>
  <c r="H112" i="9"/>
  <c r="D21" i="53"/>
  <c r="B39" i="72" s="1"/>
  <c r="H111" i="9"/>
  <c r="D126" i="9" s="1"/>
  <c r="I14" i="74" s="1"/>
  <c r="B8" i="74" s="1"/>
  <c r="D59" i="9"/>
  <c r="M55" i="9"/>
  <c r="D127" i="9"/>
  <c r="D13" i="52" s="1"/>
  <c r="AD3" i="71"/>
  <c r="P21" i="43"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6" i="36"/>
  <c r="G46" i="36" s="1"/>
  <c r="H46" i="36"/>
  <c r="I46" i="36" s="1"/>
  <c r="J46" i="36" s="1"/>
  <c r="C9" i="71"/>
  <c r="D9" i="71" s="1"/>
  <c r="D10" i="71"/>
  <c r="D11" i="71"/>
  <c r="U11" i="71"/>
  <c r="S11" i="71"/>
  <c r="T11" i="71"/>
  <c r="AB9" i="71"/>
  <c r="X7" i="71"/>
  <c r="X6" i="71"/>
  <c r="AA7" i="71"/>
  <c r="AA6" i="71"/>
  <c r="X10" i="71"/>
  <c r="Z5" i="71"/>
  <c r="Y6" i="71"/>
  <c r="Z6" i="71" s="1"/>
  <c r="AB7" i="71"/>
  <c r="AB6" i="71"/>
  <c r="B6" i="71"/>
  <c r="B5" i="71" s="1"/>
  <c r="S7" i="71"/>
  <c r="F8" i="71"/>
  <c r="F7" i="71" s="1"/>
  <c r="F6" i="71"/>
  <c r="F5" i="71" s="1"/>
  <c r="Y7" i="71"/>
  <c r="Z7" i="71" s="1"/>
  <c r="AB3" i="71"/>
  <c r="X3" i="71"/>
  <c r="C8" i="71"/>
  <c r="D8" i="71" s="1"/>
  <c r="E8" i="71"/>
  <c r="E7" i="71"/>
  <c r="AF3" i="71"/>
  <c r="P24" i="43"/>
  <c r="B66" i="40" s="1"/>
  <c r="C19" i="68"/>
  <c r="I54" i="15"/>
  <c r="F31" i="15"/>
  <c r="M17" i="67"/>
  <c r="F59" i="67"/>
  <c r="F59" i="15"/>
  <c r="M17" i="15"/>
  <c r="F31" i="67"/>
  <c r="G20" i="43"/>
  <c r="G17" i="43"/>
  <c r="C16" i="43" s="1"/>
  <c r="C5" i="43" s="1"/>
  <c r="D70" i="39"/>
  <c r="C7" i="71"/>
  <c r="C6" i="71" s="1"/>
  <c r="E41" i="43"/>
  <c r="C41" i="43" s="1"/>
  <c r="C20" i="43"/>
  <c r="F11" i="12"/>
  <c r="F34" i="11"/>
  <c r="AC34" i="21"/>
  <c r="AC38" i="21"/>
  <c r="S39" i="21"/>
  <c r="U43" i="21"/>
  <c r="AA43" i="21"/>
  <c r="H113" i="21"/>
  <c r="H37" i="21"/>
  <c r="F37" i="21"/>
  <c r="J37" i="21"/>
  <c r="AB36" i="21"/>
  <c r="S35" i="21"/>
  <c r="AC40" i="21"/>
  <c r="AA38" i="21"/>
  <c r="AB38" i="21"/>
  <c r="U34" i="21"/>
  <c r="U40" i="21"/>
  <c r="W36" i="80"/>
  <c r="S34" i="80"/>
  <c r="S36" i="80"/>
  <c r="U34" i="80"/>
  <c r="H38" i="80"/>
  <c r="J38" i="80"/>
  <c r="U40" i="80"/>
  <c r="W39" i="80"/>
  <c r="H43" i="80"/>
  <c r="AB43" i="80" s="1"/>
  <c r="J43" i="80"/>
  <c r="AC43" i="80" s="1"/>
  <c r="W43" i="80"/>
  <c r="S43" i="80"/>
  <c r="U43" i="80"/>
  <c r="U39" i="80"/>
  <c r="U35" i="80"/>
  <c r="W35" i="80"/>
  <c r="W34" i="80"/>
  <c r="H21" i="80"/>
  <c r="AB21" i="80"/>
  <c r="F21" i="80"/>
  <c r="AA21" i="80"/>
  <c r="S19" i="80"/>
  <c r="H19" i="80"/>
  <c r="J19" i="80"/>
  <c r="AC19" i="80"/>
  <c r="S17" i="80"/>
  <c r="H15" i="80"/>
  <c r="AB15" i="80" s="1"/>
  <c r="J15" i="80"/>
  <c r="W21" i="80"/>
  <c r="S21" i="80"/>
  <c r="U21" i="80"/>
  <c r="W23" i="80"/>
  <c r="S23" i="80"/>
  <c r="W19" i="80"/>
  <c r="S15" i="80"/>
  <c r="H21" i="21"/>
  <c r="AB21" i="21"/>
  <c r="E83" i="21"/>
  <c r="F83" i="21"/>
  <c r="G83" i="21" s="1"/>
  <c r="AC21" i="21"/>
  <c r="S21" i="21"/>
  <c r="AB19" i="21"/>
  <c r="U19" i="21"/>
  <c r="AC19" i="21"/>
  <c r="F19" i="21"/>
  <c r="U21" i="21"/>
  <c r="U17" i="21"/>
  <c r="W15" i="21"/>
  <c r="U23" i="21"/>
  <c r="E52" i="37"/>
  <c r="O19" i="43"/>
  <c r="C19" i="43"/>
  <c r="P22" i="43"/>
  <c r="D58" i="21"/>
  <c r="E58" i="21"/>
  <c r="F58" i="21" s="1"/>
  <c r="F6" i="1"/>
  <c r="J51" i="15"/>
  <c r="C42" i="1"/>
  <c r="C74" i="81" s="1"/>
  <c r="C7" i="80"/>
  <c r="C58" i="80"/>
  <c r="D58" i="80" s="1"/>
  <c r="E4" i="49"/>
  <c r="F11" i="21"/>
  <c r="H11" i="21"/>
  <c r="J11" i="21"/>
  <c r="F69" i="21"/>
  <c r="G69" i="21" s="1"/>
  <c r="H69" i="21" s="1"/>
  <c r="I69" i="21" s="1"/>
  <c r="J69" i="21" s="1"/>
  <c r="K69" i="21" s="1"/>
  <c r="L69" i="21" s="1"/>
  <c r="M69" i="21" s="1"/>
  <c r="F69" i="80"/>
  <c r="G69" i="80" s="1"/>
  <c r="H69" i="80" s="1"/>
  <c r="I69" i="80" s="1"/>
  <c r="J69" i="80" s="1"/>
  <c r="K69" i="80" s="1"/>
  <c r="L69" i="80" s="1"/>
  <c r="M69" i="80" s="1"/>
  <c r="J11" i="80"/>
  <c r="F11" i="80"/>
  <c r="H11" i="80"/>
  <c r="W37" i="21"/>
  <c r="AC37" i="21"/>
  <c r="AB37" i="21"/>
  <c r="U37" i="21"/>
  <c r="AA37" i="21"/>
  <c r="S37" i="21"/>
  <c r="AC38" i="80"/>
  <c r="W38" i="80"/>
  <c r="U38" i="80"/>
  <c r="AB38" i="80"/>
  <c r="AB19" i="80"/>
  <c r="U19" i="80"/>
  <c r="AC15" i="80"/>
  <c r="W15" i="80"/>
  <c r="AA19" i="21"/>
  <c r="S19" i="21"/>
  <c r="C77" i="81"/>
  <c r="C48" i="69"/>
  <c r="C28" i="67"/>
  <c r="C30" i="69"/>
  <c r="C24" i="12"/>
  <c r="G6" i="1"/>
  <c r="T14" i="43"/>
  <c r="V14" i="43" s="1"/>
  <c r="T13" i="43"/>
  <c r="V13" i="43" s="1"/>
  <c r="T9" i="43"/>
  <c r="V9" i="43" s="1"/>
  <c r="T12" i="43"/>
  <c r="V12" i="43" s="1"/>
  <c r="T10" i="43"/>
  <c r="V10" i="43" s="1"/>
  <c r="T11" i="43"/>
  <c r="V11" i="43" s="1"/>
  <c r="F52" i="37"/>
  <c r="G52" i="37" s="1"/>
  <c r="H52" i="37" s="1"/>
  <c r="I52" i="37" s="1"/>
  <c r="J52" i="37" s="1"/>
  <c r="K52" i="37" s="1"/>
  <c r="L52" i="37" s="1"/>
  <c r="M52" i="37" s="1"/>
  <c r="N52" i="37" s="1"/>
  <c r="O52" i="37" s="1"/>
  <c r="E58" i="80"/>
  <c r="F58" i="80" s="1"/>
  <c r="G58" i="80"/>
  <c r="H58" i="80" s="1"/>
  <c r="I58" i="80" s="1"/>
  <c r="AB11" i="21"/>
  <c r="U11" i="21"/>
  <c r="AC11" i="21"/>
  <c r="W11" i="21"/>
  <c r="AA11" i="21"/>
  <c r="S11" i="21"/>
  <c r="AB11" i="80"/>
  <c r="U11" i="80"/>
  <c r="W11" i="80"/>
  <c r="AC11" i="80"/>
  <c r="S11" i="80"/>
  <c r="AA11" i="80"/>
  <c r="H7" i="37"/>
  <c r="F7" i="37"/>
  <c r="AA7" i="37" s="1"/>
  <c r="R42" i="37" s="1"/>
  <c r="J7" i="37"/>
  <c r="AC7" i="37"/>
  <c r="V42" i="37" s="1"/>
  <c r="I42" i="37" s="1"/>
  <c r="W7" i="37"/>
  <c r="U7" i="37"/>
  <c r="AB7" i="37"/>
  <c r="T42" i="37"/>
  <c r="G42" i="37" s="1"/>
  <c r="S7" i="37"/>
  <c r="F40" i="79"/>
  <c r="F35" i="67"/>
  <c r="F36" i="15"/>
  <c r="M26" i="15"/>
  <c r="F20" i="31"/>
  <c r="F37" i="15"/>
  <c r="F9" i="15"/>
  <c r="D5" i="73"/>
  <c r="F37" i="79"/>
  <c r="B12" i="76"/>
  <c r="M23" i="15"/>
  <c r="B13" i="76"/>
  <c r="D6" i="73"/>
  <c r="F36" i="67"/>
  <c r="M29" i="67"/>
  <c r="AO13" i="1"/>
  <c r="F7" i="73"/>
  <c r="M23" i="79"/>
  <c r="F7" i="67"/>
  <c r="F3" i="73"/>
  <c r="D2" i="36"/>
  <c r="F16" i="15"/>
  <c r="M6" i="67"/>
  <c r="E13" i="76"/>
  <c r="F13" i="15"/>
  <c r="M9" i="15"/>
  <c r="F38" i="79"/>
  <c r="M24" i="79"/>
  <c r="L48" i="15"/>
  <c r="L47" i="79"/>
  <c r="F42" i="79"/>
  <c r="F8" i="15"/>
  <c r="M8" i="67"/>
  <c r="D2" i="33"/>
  <c r="F41" i="67"/>
  <c r="M24" i="15"/>
  <c r="L47" i="15"/>
  <c r="B10" i="76"/>
  <c r="D3" i="73"/>
  <c r="M22" i="67"/>
  <c r="F42" i="15"/>
  <c r="C76" i="15"/>
  <c r="E2" i="68"/>
  <c r="M21" i="67"/>
  <c r="F6" i="67"/>
  <c r="AO11" i="1"/>
  <c r="AO12" i="1"/>
  <c r="J15" i="67"/>
  <c r="E10" i="76"/>
  <c r="M6" i="15"/>
  <c r="F40" i="67"/>
  <c r="D2" i="34"/>
  <c r="B8" i="76"/>
  <c r="F8" i="79"/>
  <c r="F37" i="67"/>
  <c r="M28" i="15"/>
  <c r="M8" i="15"/>
  <c r="E8" i="76"/>
  <c r="F26" i="67"/>
  <c r="G1" i="73"/>
  <c r="M28" i="79"/>
  <c r="E12" i="76"/>
  <c r="F36" i="79"/>
  <c r="D7" i="73"/>
  <c r="E11" i="76"/>
  <c r="M6" i="79"/>
  <c r="M27" i="67"/>
  <c r="B11" i="76"/>
  <c r="J15" i="79"/>
  <c r="M22" i="15"/>
  <c r="F38" i="67"/>
  <c r="F26" i="79"/>
  <c r="L48" i="67"/>
  <c r="C76" i="67"/>
  <c r="F43" i="67"/>
  <c r="M24" i="67"/>
  <c r="F16" i="79"/>
  <c r="M28" i="67"/>
  <c r="F9" i="79"/>
  <c r="B7" i="76"/>
  <c r="L47" i="67"/>
  <c r="F40" i="15"/>
  <c r="M27" i="15"/>
  <c r="M27" i="79"/>
  <c r="D2" i="80"/>
  <c r="D4" i="73"/>
  <c r="M26" i="67"/>
  <c r="M8" i="79"/>
  <c r="F38" i="15"/>
  <c r="D2" i="35"/>
  <c r="AO8" i="1"/>
  <c r="M22" i="79"/>
  <c r="F16" i="67"/>
  <c r="F42" i="67"/>
  <c r="F6" i="79"/>
  <c r="F5" i="73"/>
  <c r="F4" i="73"/>
  <c r="D2" i="37"/>
  <c r="AO10" i="1"/>
  <c r="F6" i="73"/>
  <c r="F26" i="15"/>
  <c r="E7" i="76"/>
  <c r="F13" i="79"/>
  <c r="F6" i="15"/>
  <c r="M23" i="67"/>
  <c r="L48" i="79"/>
  <c r="M9" i="67"/>
  <c r="C76" i="79"/>
  <c r="E9" i="76"/>
  <c r="M26" i="79"/>
  <c r="F9" i="67"/>
  <c r="B9" i="76"/>
  <c r="F13" i="67"/>
  <c r="AO9" i="1"/>
  <c r="M9" i="79"/>
  <c r="F8" i="67"/>
  <c r="J15" i="15"/>
  <c r="E2" i="69"/>
  <c r="D2" i="21"/>
  <c r="E15" i="49" l="1"/>
  <c r="E22" i="49"/>
  <c r="E9" i="49"/>
  <c r="B8" i="49"/>
  <c r="E16" i="49"/>
  <c r="E14" i="49"/>
  <c r="E7" i="49"/>
  <c r="B10" i="49"/>
  <c r="B11" i="49"/>
  <c r="B15" i="49"/>
  <c r="B5" i="49"/>
  <c r="B13" i="49"/>
  <c r="E4" i="4" s="1"/>
  <c r="B5" i="62" s="1"/>
  <c r="B73" i="72" s="1"/>
  <c r="E5" i="49"/>
  <c r="B9" i="49"/>
  <c r="C4" i="4" s="1"/>
  <c r="K4" i="4" s="1"/>
  <c r="B46" i="48" s="1"/>
  <c r="B4" i="72" s="1"/>
  <c r="B6" i="49"/>
  <c r="E11" i="49"/>
  <c r="E8" i="49"/>
  <c r="E21" i="49"/>
  <c r="B16" i="49"/>
  <c r="B22" i="49"/>
  <c r="E10" i="49"/>
  <c r="E6" i="49"/>
  <c r="B14" i="49"/>
  <c r="B7" i="49"/>
  <c r="B4" i="49"/>
  <c r="E13" i="49"/>
  <c r="B40" i="1"/>
  <c r="C27" i="67"/>
  <c r="F51" i="67"/>
  <c r="F65" i="67"/>
  <c r="B9" i="70"/>
  <c r="F51" i="79"/>
  <c r="F68" i="67"/>
  <c r="Q71" i="79"/>
  <c r="B12" i="70"/>
  <c r="J57" i="79"/>
  <c r="J55" i="79" s="1"/>
  <c r="J58" i="79" s="1"/>
  <c r="Q50" i="79" s="1"/>
  <c r="J59" i="79"/>
  <c r="J53" i="79"/>
  <c r="J60" i="79"/>
  <c r="Q48" i="79" s="1"/>
  <c r="L60" i="79"/>
  <c r="B11" i="70"/>
  <c r="C6" i="67"/>
  <c r="J20" i="67"/>
  <c r="Q71" i="15"/>
  <c r="C27" i="15"/>
  <c r="B10" i="70"/>
  <c r="I1" i="73"/>
  <c r="B39" i="1" s="1"/>
  <c r="M59" i="15"/>
  <c r="N59" i="15"/>
  <c r="L58" i="15"/>
  <c r="L59" i="15"/>
  <c r="F69" i="67"/>
  <c r="F70" i="67"/>
  <c r="F51" i="15"/>
  <c r="B8" i="70"/>
  <c r="L58" i="79"/>
  <c r="L59" i="79"/>
  <c r="M59" i="79"/>
  <c r="N59" i="79"/>
  <c r="F66" i="15"/>
  <c r="J60" i="15"/>
  <c r="Q48" i="15" s="1"/>
  <c r="J53" i="15"/>
  <c r="L56" i="15" s="1"/>
  <c r="L57" i="15"/>
  <c r="J57" i="15"/>
  <c r="J55" i="15" s="1"/>
  <c r="J58" i="15" s="1"/>
  <c r="Q50" i="15" s="1"/>
  <c r="L60" i="15"/>
  <c r="J59" i="15"/>
  <c r="F66" i="79"/>
  <c r="E20" i="43"/>
  <c r="F68" i="15"/>
  <c r="L59" i="67"/>
  <c r="L58" i="67"/>
  <c r="N59" i="67"/>
  <c r="M59" i="67"/>
  <c r="M7" i="67"/>
  <c r="J6" i="67" s="1"/>
  <c r="F50" i="67"/>
  <c r="B13" i="70"/>
  <c r="F71" i="67"/>
  <c r="Q71" i="67"/>
  <c r="F64" i="67"/>
  <c r="I54" i="67"/>
  <c r="J57" i="67"/>
  <c r="J55" i="67" s="1"/>
  <c r="J58" i="67" s="1"/>
  <c r="Q50" i="67" s="1"/>
  <c r="L56" i="67"/>
  <c r="J53" i="67"/>
  <c r="C27" i="79"/>
  <c r="F66" i="67"/>
  <c r="F65" i="79"/>
  <c r="F65" i="15"/>
  <c r="B20" i="31"/>
  <c r="F64" i="79"/>
  <c r="F64" i="15"/>
  <c r="F63" i="67"/>
  <c r="C62" i="67" s="1"/>
  <c r="C34" i="67"/>
  <c r="F68" i="79"/>
  <c r="J58" i="80"/>
  <c r="K58" i="80" s="1"/>
  <c r="L58" i="80" s="1"/>
  <c r="M58" i="80" s="1"/>
  <c r="N58" i="80" s="1"/>
  <c r="O58" i="80" s="1"/>
  <c r="J7" i="80"/>
  <c r="F7" i="80"/>
  <c r="H7" i="80"/>
  <c r="G46" i="37"/>
  <c r="H46" i="37" s="1"/>
  <c r="G47" i="37"/>
  <c r="H47" i="37" s="1"/>
  <c r="I46" i="37"/>
  <c r="J46" i="37" s="1"/>
  <c r="R43" i="37"/>
  <c r="E42" i="37"/>
  <c r="C5" i="71"/>
  <c r="D5" i="71" s="1"/>
  <c r="D6" i="71"/>
  <c r="K46" i="36"/>
  <c r="L46" i="36" s="1"/>
  <c r="M46" i="36" s="1"/>
  <c r="N46" i="36" s="1"/>
  <c r="O46" i="36" s="1"/>
  <c r="J7" i="36"/>
  <c r="F7" i="36"/>
  <c r="H7" i="36"/>
  <c r="F59" i="34"/>
  <c r="G59" i="34" s="1"/>
  <c r="H59" i="34" s="1"/>
  <c r="I59" i="34" s="1"/>
  <c r="J59" i="34" s="1"/>
  <c r="K59" i="34" s="1"/>
  <c r="L59" i="34" s="1"/>
  <c r="M59" i="34" s="1"/>
  <c r="N59" i="34" s="1"/>
  <c r="O59" i="34" s="1"/>
  <c r="J7" i="34"/>
  <c r="F58" i="33"/>
  <c r="F48" i="35"/>
  <c r="G48" i="35" s="1"/>
  <c r="H48" i="35" s="1"/>
  <c r="I48" i="35" s="1"/>
  <c r="J48" i="35" s="1"/>
  <c r="K48" i="35" s="1"/>
  <c r="L48" i="35" s="1"/>
  <c r="M48" i="35" s="1"/>
  <c r="N48" i="35" s="1"/>
  <c r="O48" i="35" s="1"/>
  <c r="J7" i="35"/>
  <c r="F7" i="35"/>
  <c r="H7" i="35"/>
  <c r="G58" i="21"/>
  <c r="T15" i="43"/>
  <c r="V15" i="43" s="1"/>
  <c r="T16" i="43"/>
  <c r="V16" i="43" s="1"/>
  <c r="T8" i="43"/>
  <c r="V8" i="43" s="1"/>
  <c r="C74" i="9"/>
  <c r="C30" i="68"/>
  <c r="C48" i="68"/>
  <c r="C77" i="9"/>
  <c r="C28" i="15"/>
  <c r="C13" i="12"/>
  <c r="U15" i="80"/>
  <c r="P25" i="43"/>
  <c r="P23" i="43"/>
  <c r="B71" i="39" s="1"/>
  <c r="D5" i="43"/>
  <c r="D12" i="52"/>
  <c r="D19" i="53"/>
  <c r="AC23" i="37"/>
  <c r="D63" i="40"/>
  <c r="C65" i="40"/>
  <c r="S11" i="37"/>
  <c r="AA11" i="37"/>
  <c r="AR9" i="1"/>
  <c r="AQ9" i="1"/>
  <c r="AA32" i="37"/>
  <c r="S32" i="37"/>
  <c r="AA27" i="36"/>
  <c r="S27" i="36"/>
  <c r="T7" i="71"/>
  <c r="D7" i="71"/>
  <c r="U7" i="71" s="1"/>
  <c r="E6" i="71"/>
  <c r="E5" i="71" s="1"/>
  <c r="V7" i="71"/>
  <c r="D10" i="52"/>
  <c r="D125" i="9"/>
  <c r="D11" i="52" s="1"/>
  <c r="H110" i="9"/>
  <c r="D18" i="53" s="1"/>
  <c r="B35" i="72" s="1"/>
  <c r="D16" i="53"/>
  <c r="F68" i="39"/>
  <c r="E70" i="39"/>
  <c r="S23" i="21"/>
  <c r="AA23" i="21"/>
  <c r="S23" i="37"/>
  <c r="AA23" i="37"/>
  <c r="AR13" i="1"/>
  <c r="AQ13" i="1"/>
  <c r="T13" i="1"/>
  <c r="U33" i="34"/>
  <c r="AB33" i="34"/>
  <c r="J9" i="34"/>
  <c r="H9" i="34"/>
  <c r="H36" i="35"/>
  <c r="J36" i="35"/>
  <c r="C42" i="71"/>
  <c r="D41" i="71"/>
  <c r="AB34" i="33"/>
  <c r="AA40" i="34"/>
  <c r="S43" i="34"/>
  <c r="AA33" i="34"/>
  <c r="S20" i="35"/>
  <c r="AB20" i="36"/>
  <c r="S30" i="40"/>
  <c r="AA32" i="40"/>
  <c r="AC36" i="40"/>
  <c r="AA34" i="33"/>
  <c r="F54" i="81"/>
  <c r="F52" i="81"/>
  <c r="D68" i="81"/>
  <c r="F53" i="81"/>
  <c r="F28" i="79"/>
  <c r="C28" i="79" s="1"/>
  <c r="M18" i="79"/>
  <c r="F32" i="79"/>
  <c r="F60" i="79" s="1"/>
  <c r="AA39" i="34"/>
  <c r="S15" i="37"/>
  <c r="AB33" i="40"/>
  <c r="S14" i="40"/>
  <c r="AA25" i="21"/>
  <c r="AC46" i="21"/>
  <c r="W44" i="21"/>
  <c r="W47" i="34"/>
  <c r="AB28" i="37"/>
  <c r="U35" i="35"/>
  <c r="S44" i="34"/>
  <c r="W31" i="34"/>
  <c r="AB30" i="21"/>
  <c r="AA13" i="35"/>
  <c r="S41" i="33"/>
  <c r="AB23" i="34"/>
  <c r="U33" i="35"/>
  <c r="F9" i="34"/>
  <c r="J34" i="35"/>
  <c r="H34" i="35"/>
  <c r="F34" i="35"/>
  <c r="F25" i="37"/>
  <c r="C23" i="71"/>
  <c r="D22" i="71"/>
  <c r="D29" i="71"/>
  <c r="C30" i="71"/>
  <c r="C34" i="71"/>
  <c r="D34" i="71" s="1"/>
  <c r="D33" i="71"/>
  <c r="C38" i="71"/>
  <c r="D37" i="71"/>
  <c r="C46" i="71"/>
  <c r="D45" i="71"/>
  <c r="M20" i="79"/>
  <c r="F34" i="79"/>
  <c r="D93" i="81"/>
  <c r="D78" i="81"/>
  <c r="F54" i="71"/>
  <c r="K56" i="81"/>
  <c r="M56" i="81"/>
  <c r="J56" i="81"/>
  <c r="J57" i="81" s="1"/>
  <c r="J59" i="81" s="1"/>
  <c r="J61" i="81" s="1"/>
  <c r="N56" i="81"/>
  <c r="P74" i="67"/>
  <c r="F3" i="35"/>
  <c r="M100" i="43"/>
  <c r="I100" i="43"/>
  <c r="E100" i="43"/>
  <c r="D100" i="43"/>
  <c r="A118" i="81"/>
  <c r="A2" i="81"/>
  <c r="C40" i="68"/>
  <c r="S18" i="35"/>
  <c r="C29" i="39"/>
  <c r="B66" i="43"/>
  <c r="AZ152" i="3"/>
  <c r="BL154" i="3"/>
  <c r="AZ154" i="3" s="1"/>
  <c r="BA153" i="3"/>
  <c r="AZ153" i="3" s="1"/>
  <c r="BL152" i="3"/>
  <c r="AZ57" i="3"/>
  <c r="AZ49" i="3"/>
  <c r="BL59" i="3"/>
  <c r="AZ59" i="3" s="1"/>
  <c r="BA58" i="3"/>
  <c r="AZ58" i="3" s="1"/>
  <c r="BL55" i="3"/>
  <c r="AZ55" i="3" s="1"/>
  <c r="BA54" i="3"/>
  <c r="AZ54" i="3" s="1"/>
  <c r="BL51" i="3"/>
  <c r="AZ51" i="3" s="1"/>
  <c r="BA50" i="3"/>
  <c r="AZ50" i="3" s="1"/>
  <c r="BL47" i="3"/>
  <c r="AZ47" i="3" s="1"/>
  <c r="BA46" i="3"/>
  <c r="AZ46" i="3" s="1"/>
  <c r="BM5" i="3"/>
  <c r="BQ5" i="3"/>
  <c r="BO5" i="3"/>
  <c r="AZ38" i="3"/>
  <c r="BB5" i="3"/>
  <c r="BT5" i="3"/>
  <c r="F33" i="21"/>
  <c r="J33" i="21"/>
  <c r="I103" i="21"/>
  <c r="H33" i="21"/>
  <c r="C12" i="12"/>
  <c r="BP5" i="3"/>
  <c r="AZ34" i="3"/>
  <c r="AZ33" i="3"/>
  <c r="AZ32" i="3"/>
  <c r="AZ31" i="3"/>
  <c r="AZ30" i="3"/>
  <c r="AZ29" i="3"/>
  <c r="BS5" i="3"/>
  <c r="BA60" i="3"/>
  <c r="AZ60" i="3" s="1"/>
  <c r="BL57" i="3"/>
  <c r="BA56" i="3"/>
  <c r="AZ56" i="3" s="1"/>
  <c r="BL53" i="3"/>
  <c r="AZ53" i="3" s="1"/>
  <c r="BA52" i="3"/>
  <c r="AZ52" i="3" s="1"/>
  <c r="BL49" i="3"/>
  <c r="BA48" i="3"/>
  <c r="AZ48" i="3" s="1"/>
  <c r="BL45" i="3"/>
  <c r="BR5" i="3"/>
  <c r="G28" i="6" s="1"/>
  <c r="G30" i="6" s="1"/>
  <c r="G31" i="6" s="1"/>
  <c r="BN5" i="3"/>
  <c r="G29" i="6" s="1"/>
  <c r="AZ14" i="3"/>
  <c r="AZ24" i="3"/>
  <c r="AZ20" i="3"/>
  <c r="D3" i="80"/>
  <c r="K7" i="1"/>
  <c r="BC5" i="3"/>
  <c r="M18" i="81"/>
  <c r="B118" i="81" s="1"/>
  <c r="B15" i="74" s="1"/>
  <c r="B1" i="74" s="1"/>
  <c r="C7" i="74" s="1"/>
  <c r="E32" i="6"/>
  <c r="K6" i="1"/>
  <c r="D3" i="21"/>
  <c r="A3" i="3"/>
  <c r="G5" i="3"/>
  <c r="B3" i="3" s="1"/>
  <c r="AA45" i="80"/>
  <c r="S45" i="80"/>
  <c r="H113" i="80"/>
  <c r="J37" i="80"/>
  <c r="H37" i="80"/>
  <c r="F37" i="80"/>
  <c r="BD5" i="3"/>
  <c r="AA42" i="80"/>
  <c r="S42" i="80"/>
  <c r="C94" i="81"/>
  <c r="C92" i="81"/>
  <c r="K145" i="80"/>
  <c r="K143" i="80"/>
  <c r="K141" i="80"/>
  <c r="F103" i="80"/>
  <c r="D102" i="80"/>
  <c r="C14" i="67"/>
  <c r="F7" i="79"/>
  <c r="F43" i="15"/>
  <c r="F7" i="15"/>
  <c r="C16" i="67"/>
  <c r="M29" i="79"/>
  <c r="F43" i="79"/>
  <c r="M29" i="15"/>
  <c r="C17" i="67"/>
  <c r="B4" i="62" l="1"/>
  <c r="B71" i="72" s="1"/>
  <c r="M7" i="15"/>
  <c r="J6" i="15" s="1"/>
  <c r="F50" i="15"/>
  <c r="C6" i="15"/>
  <c r="F71" i="15"/>
  <c r="F71" i="79"/>
  <c r="M7" i="79"/>
  <c r="J6" i="79" s="1"/>
  <c r="F50" i="79"/>
  <c r="C49" i="79" s="1"/>
  <c r="C6" i="79"/>
  <c r="C15" i="67"/>
  <c r="C18" i="67"/>
  <c r="J18" i="67"/>
  <c r="U37" i="80"/>
  <c r="AB37" i="80"/>
  <c r="E15" i="6"/>
  <c r="E13" i="6"/>
  <c r="E10" i="6"/>
  <c r="E14" i="6"/>
  <c r="E12" i="6"/>
  <c r="F29" i="6"/>
  <c r="E29" i="6" s="1"/>
  <c r="E8" i="6"/>
  <c r="F62" i="79"/>
  <c r="C31" i="71"/>
  <c r="D30" i="71"/>
  <c r="AA34" i="35"/>
  <c r="S34" i="35"/>
  <c r="AC34" i="35"/>
  <c r="W34" i="35"/>
  <c r="U9" i="34"/>
  <c r="AB9" i="34"/>
  <c r="G68" i="39"/>
  <c r="F70" i="39"/>
  <c r="D17" i="53"/>
  <c r="B36" i="72" s="1"/>
  <c r="B34" i="72"/>
  <c r="D65" i="40"/>
  <c r="E63" i="40"/>
  <c r="B38" i="72"/>
  <c r="D20" i="53"/>
  <c r="B40" i="72" s="1"/>
  <c r="C39" i="43"/>
  <c r="C36" i="43"/>
  <c r="C37" i="43"/>
  <c r="C34" i="43"/>
  <c r="C38" i="43"/>
  <c r="C35" i="43"/>
  <c r="C33" i="43"/>
  <c r="C8" i="74"/>
  <c r="H58" i="21"/>
  <c r="U7" i="35"/>
  <c r="AB7" i="35"/>
  <c r="T38" i="35" s="1"/>
  <c r="G38" i="35" s="1"/>
  <c r="AC7" i="35"/>
  <c r="V38" i="35" s="1"/>
  <c r="I38" i="35" s="1"/>
  <c r="W7" i="35"/>
  <c r="G58" i="33"/>
  <c r="AC7" i="34"/>
  <c r="V49" i="34" s="1"/>
  <c r="I49" i="34" s="1"/>
  <c r="W7" i="34"/>
  <c r="U7" i="36"/>
  <c r="AB7" i="36"/>
  <c r="T36" i="36" s="1"/>
  <c r="G36" i="36" s="1"/>
  <c r="W7" i="36"/>
  <c r="AC7" i="36"/>
  <c r="V36" i="36" s="1"/>
  <c r="I36" i="36" s="1"/>
  <c r="E47" i="37"/>
  <c r="F47" i="37" s="1"/>
  <c r="E46" i="37"/>
  <c r="F46" i="37" s="1"/>
  <c r="U7" i="80"/>
  <c r="AB7" i="80"/>
  <c r="W7" i="80"/>
  <c r="AC7" i="80"/>
  <c r="Q61" i="67"/>
  <c r="Q74" i="67"/>
  <c r="O28" i="43"/>
  <c r="M28" i="43"/>
  <c r="P28" i="43"/>
  <c r="N28" i="43"/>
  <c r="Q66" i="15"/>
  <c r="Q57" i="15"/>
  <c r="Q52" i="15"/>
  <c r="F1" i="15"/>
  <c r="Q73" i="79"/>
  <c r="Q60" i="79"/>
  <c r="C49" i="15"/>
  <c r="Q61" i="15"/>
  <c r="Q74" i="15"/>
  <c r="F11" i="15"/>
  <c r="C53" i="15" s="1"/>
  <c r="M11" i="79"/>
  <c r="F11" i="67"/>
  <c r="M11" i="15"/>
  <c r="F11" i="79"/>
  <c r="C53" i="79" s="1"/>
  <c r="M11" i="67"/>
  <c r="J10" i="67" s="1"/>
  <c r="J5" i="67" s="1"/>
  <c r="C32" i="67"/>
  <c r="Q66" i="79"/>
  <c r="Q57" i="79"/>
  <c r="Q52" i="79"/>
  <c r="F1" i="79"/>
  <c r="I4" i="6"/>
  <c r="C38"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Q16" i="1"/>
  <c r="M6" i="1"/>
  <c r="H16" i="1"/>
  <c r="AP6" i="1"/>
  <c r="C36" i="69" s="1"/>
  <c r="J103" i="21"/>
  <c r="J102" i="21" s="1"/>
  <c r="I102" i="21"/>
  <c r="H102" i="21"/>
  <c r="AA33" i="21"/>
  <c r="S33" i="21"/>
  <c r="W36" i="35"/>
  <c r="AC36" i="35"/>
  <c r="E102" i="80"/>
  <c r="G103" i="80"/>
  <c r="AA37" i="80"/>
  <c r="S37" i="80"/>
  <c r="AC37" i="80"/>
  <c r="W37" i="80"/>
  <c r="I3" i="6"/>
  <c r="M7" i="1"/>
  <c r="AP7" i="1"/>
  <c r="BA5" i="3"/>
  <c r="E27" i="6" s="1"/>
  <c r="BL5" i="3"/>
  <c r="E11" i="6"/>
  <c r="AB33" i="21"/>
  <c r="U33" i="21"/>
  <c r="AC33" i="21"/>
  <c r="W33" i="21"/>
  <c r="F28" i="6"/>
  <c r="AZ45" i="3"/>
  <c r="AZ5" i="3" s="1"/>
  <c r="E5" i="6"/>
  <c r="F53" i="71"/>
  <c r="Q54" i="71"/>
  <c r="C47" i="71"/>
  <c r="D46" i="71"/>
  <c r="C39" i="71"/>
  <c r="D38" i="71"/>
  <c r="D23" i="71"/>
  <c r="M20" i="43" s="1"/>
  <c r="T23" i="71"/>
  <c r="AA25" i="37"/>
  <c r="S25" i="37"/>
  <c r="AB34" i="35"/>
  <c r="U34" i="35"/>
  <c r="AA9" i="34"/>
  <c r="S9" i="34"/>
  <c r="C43" i="71"/>
  <c r="D42" i="71"/>
  <c r="AB36" i="35"/>
  <c r="U36" i="35"/>
  <c r="W9" i="34"/>
  <c r="AC9" i="34"/>
  <c r="AA7" i="35"/>
  <c r="R38" i="35" s="1"/>
  <c r="S7" i="35"/>
  <c r="H7" i="34"/>
  <c r="F7" i="34"/>
  <c r="AA7" i="36"/>
  <c r="R36" i="36" s="1"/>
  <c r="S7" i="36"/>
  <c r="G16" i="1"/>
  <c r="C42" i="37"/>
  <c r="C43" i="37"/>
  <c r="I47" i="37"/>
  <c r="J47" i="37" s="1"/>
  <c r="AA7" i="80"/>
  <c r="S7" i="80"/>
  <c r="F1" i="67"/>
  <c r="Q52" i="67"/>
  <c r="Q60" i="67"/>
  <c r="Q73" i="67"/>
  <c r="Q61" i="79"/>
  <c r="Q74" i="79"/>
  <c r="Q73" i="15"/>
  <c r="Q60" i="15"/>
  <c r="L56" i="79"/>
  <c r="C49" i="67"/>
  <c r="F22" i="68"/>
  <c r="F24" i="15"/>
  <c r="C24" i="15" s="1"/>
  <c r="F22" i="11"/>
  <c r="F24" i="67"/>
  <c r="C24" i="67" s="1"/>
  <c r="F24" i="79"/>
  <c r="C24" i="79" s="1"/>
  <c r="F25" i="12"/>
  <c r="C26" i="12" s="1"/>
  <c r="D25" i="12" s="1"/>
  <c r="F22" i="69"/>
  <c r="AE7" i="1"/>
  <c r="C16" i="15"/>
  <c r="AE6" i="1"/>
  <c r="C16" i="79"/>
  <c r="C48" i="79" l="1"/>
  <c r="C60" i="79" s="1"/>
  <c r="C19" i="67"/>
  <c r="C20" i="67" s="1"/>
  <c r="C26" i="67" s="1"/>
  <c r="E3" i="6"/>
  <c r="AY6" i="3"/>
  <c r="J26" i="67"/>
  <c r="J29" i="67" s="1"/>
  <c r="J24" i="67"/>
  <c r="H10" i="39"/>
  <c r="F10" i="39"/>
  <c r="F10" i="40"/>
  <c r="H10" i="40"/>
  <c r="J10" i="39"/>
  <c r="J10" i="40"/>
  <c r="E36" i="36"/>
  <c r="R37" i="36"/>
  <c r="H103" i="80"/>
  <c r="F102" i="80"/>
  <c r="C36" i="11"/>
  <c r="C36" i="68"/>
  <c r="AA7" i="34"/>
  <c r="R49" i="34" s="1"/>
  <c r="S7" i="34"/>
  <c r="E38" i="35"/>
  <c r="R39" i="35"/>
  <c r="Q53" i="71"/>
  <c r="Q52" i="71"/>
  <c r="E28" i="6"/>
  <c r="F30" i="6"/>
  <c r="F27" i="68"/>
  <c r="F27" i="69"/>
  <c r="F28" i="12"/>
  <c r="C29" i="12" s="1"/>
  <c r="D28" i="12" s="1"/>
  <c r="F27" i="11"/>
  <c r="AC6" i="3"/>
  <c r="H6" i="3"/>
  <c r="E6" i="3" s="1"/>
  <c r="J38" i="39"/>
  <c r="H38" i="39"/>
  <c r="F38" i="39"/>
  <c r="C48" i="15"/>
  <c r="I53" i="34"/>
  <c r="J53" i="34" s="1"/>
  <c r="H58" i="33"/>
  <c r="I42" i="35"/>
  <c r="J42" i="35" s="1"/>
  <c r="I43" i="35"/>
  <c r="J43" i="35" s="1"/>
  <c r="I58" i="21"/>
  <c r="E35" i="43"/>
  <c r="G35" i="43"/>
  <c r="I35" i="43" s="1"/>
  <c r="G34" i="43"/>
  <c r="I34" i="43" s="1"/>
  <c r="E34" i="43"/>
  <c r="G36" i="43"/>
  <c r="I36" i="43" s="1"/>
  <c r="E36" i="43"/>
  <c r="E65" i="40"/>
  <c r="F63" i="40"/>
  <c r="F27" i="6"/>
  <c r="F31" i="6" s="1"/>
  <c r="E51" i="40"/>
  <c r="E16" i="6"/>
  <c r="E56" i="39"/>
  <c r="E57" i="40"/>
  <c r="E62" i="39"/>
  <c r="E60" i="40"/>
  <c r="E65" i="39"/>
  <c r="C32" i="79"/>
  <c r="C10" i="79"/>
  <c r="C33" i="79"/>
  <c r="C5" i="79"/>
  <c r="J18" i="79"/>
  <c r="J10" i="79"/>
  <c r="J5" i="79" s="1"/>
  <c r="C26" i="69"/>
  <c r="D22" i="69" s="1"/>
  <c r="C44" i="69"/>
  <c r="D41" i="69" s="1"/>
  <c r="C44" i="11"/>
  <c r="D41" i="11" s="1"/>
  <c r="C26" i="11"/>
  <c r="D22" i="11" s="1"/>
  <c r="C23" i="11"/>
  <c r="C26" i="68"/>
  <c r="D22" i="68" s="1"/>
  <c r="C24" i="68"/>
  <c r="U7" i="34"/>
  <c r="AB7" i="34"/>
  <c r="T49" i="34" s="1"/>
  <c r="G49" i="34" s="1"/>
  <c r="D43" i="71"/>
  <c r="T43" i="71"/>
  <c r="D39" i="71"/>
  <c r="T39" i="71"/>
  <c r="D47" i="71"/>
  <c r="T47" i="71"/>
  <c r="D9" i="68"/>
  <c r="D19" i="12"/>
  <c r="C19" i="12" s="1"/>
  <c r="D9" i="11"/>
  <c r="C9" i="11" s="1"/>
  <c r="D9" i="69"/>
  <c r="E61" i="39"/>
  <c r="E56" i="40"/>
  <c r="C11" i="39"/>
  <c r="G3" i="43"/>
  <c r="C66" i="79"/>
  <c r="C53" i="67"/>
  <c r="C48" i="67" s="1"/>
  <c r="C10" i="67"/>
  <c r="C5" i="67" s="1"/>
  <c r="I40" i="36"/>
  <c r="J40" i="36" s="1"/>
  <c r="I41" i="36"/>
  <c r="J41" i="36" s="1"/>
  <c r="G40" i="36"/>
  <c r="H40" i="36" s="1"/>
  <c r="G41" i="36"/>
  <c r="H41" i="36" s="1"/>
  <c r="G42" i="35"/>
  <c r="H42" i="35" s="1"/>
  <c r="G43" i="35"/>
  <c r="H43" i="35" s="1"/>
  <c r="G33" i="43"/>
  <c r="I33" i="43" s="1"/>
  <c r="E33" i="43"/>
  <c r="E38" i="43"/>
  <c r="G38" i="43"/>
  <c r="I38" i="43" s="1"/>
  <c r="G37" i="43"/>
  <c r="I37" i="43" s="1"/>
  <c r="E37" i="43"/>
  <c r="G39" i="43"/>
  <c r="I39" i="43" s="1"/>
  <c r="E39" i="43"/>
  <c r="G70" i="39"/>
  <c r="H68" i="39"/>
  <c r="D31" i="71"/>
  <c r="T31" i="71"/>
  <c r="C44" i="68"/>
  <c r="D41" i="68" s="1"/>
  <c r="L20" i="6"/>
  <c r="L19" i="6"/>
  <c r="L27" i="6" s="1"/>
  <c r="K15" i="1"/>
  <c r="E59" i="40"/>
  <c r="E64" i="39"/>
  <c r="E63" i="39"/>
  <c r="E58" i="40"/>
  <c r="C33" i="15"/>
  <c r="C32" i="15"/>
  <c r="C10" i="15"/>
  <c r="C5" i="15" s="1"/>
  <c r="J10" i="15"/>
  <c r="J5" i="15" s="1"/>
  <c r="J18" i="15"/>
  <c r="F41" i="15"/>
  <c r="F41" i="79"/>
  <c r="F69" i="79" l="1"/>
  <c r="F69" i="15"/>
  <c r="C23" i="67"/>
  <c r="C29" i="67" s="1"/>
  <c r="C38" i="15"/>
  <c r="C60" i="67"/>
  <c r="C66" i="67"/>
  <c r="J24" i="79"/>
  <c r="J26" i="79"/>
  <c r="J29" i="79" s="1"/>
  <c r="J24" i="15"/>
  <c r="J26" i="15"/>
  <c r="J29" i="15" s="1"/>
  <c r="I68" i="39"/>
  <c r="H70" i="39"/>
  <c r="C38" i="67"/>
  <c r="F22" i="43"/>
  <c r="K101" i="43"/>
  <c r="F101" i="43"/>
  <c r="N101" i="43"/>
  <c r="E22" i="43"/>
  <c r="L101" i="43"/>
  <c r="H101" i="43"/>
  <c r="G22" i="43"/>
  <c r="S2" i="43"/>
  <c r="T2" i="43" s="1"/>
  <c r="V2" i="43" s="1"/>
  <c r="S5" i="43"/>
  <c r="T5" i="43" s="1"/>
  <c r="V5" i="43" s="1"/>
  <c r="S6" i="43"/>
  <c r="T6" i="43" s="1"/>
  <c r="V6" i="43" s="1"/>
  <c r="S3" i="43"/>
  <c r="T3" i="43" s="1"/>
  <c r="V3" i="43" s="1"/>
  <c r="J22" i="43"/>
  <c r="B113" i="43"/>
  <c r="C101" i="43"/>
  <c r="N104" i="46"/>
  <c r="M101" i="43"/>
  <c r="E101" i="43"/>
  <c r="AH11" i="43"/>
  <c r="AH13" i="43" s="1"/>
  <c r="AD11" i="43"/>
  <c r="AD13" i="43" s="1"/>
  <c r="Z11" i="43"/>
  <c r="Z13" i="43" s="1"/>
  <c r="AI11" i="43"/>
  <c r="AI13" i="43" s="1"/>
  <c r="AE11" i="43"/>
  <c r="AE13" i="43" s="1"/>
  <c r="AA11" i="43"/>
  <c r="AA13" i="43" s="1"/>
  <c r="S4" i="43"/>
  <c r="T4" i="43" s="1"/>
  <c r="V4" i="43" s="1"/>
  <c r="G101" i="43"/>
  <c r="J101" i="43"/>
  <c r="H22" i="43"/>
  <c r="D101" i="43"/>
  <c r="I101" i="43"/>
  <c r="AJ11" i="43"/>
  <c r="AJ13" i="43" s="1"/>
  <c r="AF11" i="43"/>
  <c r="AF13" i="43" s="1"/>
  <c r="AB11" i="43"/>
  <c r="AB13" i="43" s="1"/>
  <c r="Z7" i="43"/>
  <c r="AG11" i="43"/>
  <c r="AG13" i="43" s="1"/>
  <c r="AC11" i="43"/>
  <c r="AC13" i="43" s="1"/>
  <c r="Y11" i="43"/>
  <c r="Y13" i="43" s="1"/>
  <c r="C23" i="43"/>
  <c r="C21" i="43" s="1"/>
  <c r="S7" i="43"/>
  <c r="T7" i="43" s="1"/>
  <c r="V7" i="43" s="1"/>
  <c r="C9" i="69"/>
  <c r="G53" i="34"/>
  <c r="H53" i="34" s="1"/>
  <c r="G54" i="34"/>
  <c r="H54" i="34" s="1"/>
  <c r="E66" i="39"/>
  <c r="G63" i="40"/>
  <c r="F65" i="40"/>
  <c r="C60" i="15"/>
  <c r="C66" i="15"/>
  <c r="AB38" i="39"/>
  <c r="U38" i="39"/>
  <c r="C47" i="11"/>
  <c r="D45" i="11" s="1"/>
  <c r="C29" i="11"/>
  <c r="D27" i="11" s="1"/>
  <c r="C47" i="69"/>
  <c r="D45" i="69" s="1"/>
  <c r="C29" i="69"/>
  <c r="D27" i="69" s="1"/>
  <c r="C39" i="35"/>
  <c r="B2" i="35" s="1"/>
  <c r="B3" i="35" s="1"/>
  <c r="C38" i="35"/>
  <c r="I103" i="80"/>
  <c r="H102" i="80" s="1"/>
  <c r="H33" i="80"/>
  <c r="F33" i="80"/>
  <c r="J33" i="80"/>
  <c r="C37" i="36"/>
  <c r="B2" i="36" s="1"/>
  <c r="B3" i="36" s="1"/>
  <c r="C36" i="36"/>
  <c r="W10" i="40"/>
  <c r="AC10" i="40"/>
  <c r="AB10" i="40"/>
  <c r="U10" i="40"/>
  <c r="AA10" i="39"/>
  <c r="S1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11" i="39"/>
  <c r="J11" i="39"/>
  <c r="F11" i="39"/>
  <c r="C9" i="68"/>
  <c r="C38" i="79"/>
  <c r="J58" i="21"/>
  <c r="I58" i="33"/>
  <c r="AA38" i="39"/>
  <c r="S38" i="39"/>
  <c r="W38" i="39"/>
  <c r="AC38" i="39"/>
  <c r="C29" i="68"/>
  <c r="D27" i="68" s="1"/>
  <c r="C47" i="68"/>
  <c r="D45" i="68" s="1"/>
  <c r="K14" i="1"/>
  <c r="K21" i="6"/>
  <c r="M21" i="6" s="1"/>
  <c r="I21" i="6" s="1"/>
  <c r="S21" i="6" s="1"/>
  <c r="K20" i="6"/>
  <c r="K24" i="6"/>
  <c r="M24" i="6" s="1"/>
  <c r="I24" i="6" s="1"/>
  <c r="S24" i="6" s="1"/>
  <c r="K22" i="6"/>
  <c r="M22" i="6" s="1"/>
  <c r="I22" i="6" s="1"/>
  <c r="S22" i="6" s="1"/>
  <c r="K25" i="6"/>
  <c r="M25" i="6" s="1"/>
  <c r="I25" i="6" s="1"/>
  <c r="S25" i="6" s="1"/>
  <c r="K23" i="6"/>
  <c r="M23" i="6" s="1"/>
  <c r="I23" i="6" s="1"/>
  <c r="S23" i="6" s="1"/>
  <c r="E30" i="6"/>
  <c r="E31" i="6" s="1"/>
  <c r="K26" i="6"/>
  <c r="M26" i="6" s="1"/>
  <c r="I26" i="6" s="1"/>
  <c r="S26" i="6" s="1"/>
  <c r="K19" i="6"/>
  <c r="E43" i="35"/>
  <c r="F43" i="35" s="1"/>
  <c r="E42" i="35"/>
  <c r="F42" i="35" s="1"/>
  <c r="E49" i="34"/>
  <c r="R50" i="34"/>
  <c r="G102" i="80"/>
  <c r="E40" i="36"/>
  <c r="F40" i="36" s="1"/>
  <c r="E41" i="36"/>
  <c r="F41" i="36" s="1"/>
  <c r="W10" i="39"/>
  <c r="AC10" i="39"/>
  <c r="S10" i="40"/>
  <c r="AA10" i="40"/>
  <c r="U10" i="39"/>
  <c r="AB10" i="39"/>
  <c r="E6" i="6"/>
  <c r="D14" i="12"/>
  <c r="D3" i="34"/>
  <c r="D37" i="11"/>
  <c r="C37" i="11" s="1"/>
  <c r="D3" i="37"/>
  <c r="B2" i="37" s="1"/>
  <c r="B3" i="37" s="1"/>
  <c r="D19" i="11"/>
  <c r="C19" i="11" s="1"/>
  <c r="D3" i="33"/>
  <c r="C17" i="4"/>
  <c r="B4" i="52" s="1"/>
  <c r="B43" i="72" s="1"/>
  <c r="Q49" i="67" l="1"/>
  <c r="C36" i="67"/>
  <c r="C13" i="67"/>
  <c r="Q70" i="67" s="1"/>
  <c r="J14" i="67"/>
  <c r="J13" i="67" s="1"/>
  <c r="J23" i="67" s="1"/>
  <c r="C57" i="67"/>
  <c r="C64" i="67" s="1"/>
  <c r="J59" i="67"/>
  <c r="J60" i="67" s="1"/>
  <c r="L46" i="67" s="1"/>
  <c r="C33" i="67"/>
  <c r="C31" i="67" s="1"/>
  <c r="J19" i="67"/>
  <c r="J17" i="67" s="1"/>
  <c r="D10" i="68"/>
  <c r="D20" i="12"/>
  <c r="C20" i="12" s="1"/>
  <c r="D10" i="11"/>
  <c r="C10" i="11" s="1"/>
  <c r="D10" i="69"/>
  <c r="C50" i="34"/>
  <c r="B2" i="34" s="1"/>
  <c r="B3" i="34" s="1"/>
  <c r="C49" i="34"/>
  <c r="M19" i="6"/>
  <c r="S6" i="1"/>
  <c r="K27" i="6"/>
  <c r="J58" i="33"/>
  <c r="AC11" i="39"/>
  <c r="W11" i="39"/>
  <c r="AC33" i="80"/>
  <c r="V48" i="80" s="1"/>
  <c r="I48" i="80" s="1"/>
  <c r="W33" i="80"/>
  <c r="AB33" i="80"/>
  <c r="T48" i="80" s="1"/>
  <c r="G48" i="80" s="1"/>
  <c r="U33" i="80"/>
  <c r="D109" i="43"/>
  <c r="D104" i="43"/>
  <c r="D106" i="43"/>
  <c r="D103" i="43"/>
  <c r="D107" i="43"/>
  <c r="D102" i="43"/>
  <c r="D105" i="43"/>
  <c r="J104" i="43"/>
  <c r="J105" i="43"/>
  <c r="J103" i="43"/>
  <c r="J106" i="43"/>
  <c r="J109" i="43"/>
  <c r="J102" i="43"/>
  <c r="J107" i="43"/>
  <c r="M109" i="43"/>
  <c r="M102" i="43"/>
  <c r="M106" i="43"/>
  <c r="M107" i="43"/>
  <c r="M104" i="43"/>
  <c r="M105" i="43"/>
  <c r="M103" i="43"/>
  <c r="C104" i="43"/>
  <c r="C105" i="43"/>
  <c r="C102" i="43"/>
  <c r="C107" i="43"/>
  <c r="C109" i="43"/>
  <c r="C106" i="43"/>
  <c r="C103" i="43"/>
  <c r="H103" i="43"/>
  <c r="H104" i="43"/>
  <c r="H105" i="43"/>
  <c r="H106" i="43"/>
  <c r="H102" i="43"/>
  <c r="H107" i="43"/>
  <c r="H109" i="43"/>
  <c r="D22" i="43"/>
  <c r="F107" i="43"/>
  <c r="F106" i="43"/>
  <c r="F109" i="43"/>
  <c r="F105" i="43"/>
  <c r="F104" i="43"/>
  <c r="F102" i="43"/>
  <c r="F103" i="43"/>
  <c r="I70" i="39"/>
  <c r="J68" i="39"/>
  <c r="Q48" i="67"/>
  <c r="C20" i="11"/>
  <c r="C25" i="11" s="1"/>
  <c r="C28" i="11"/>
  <c r="C27" i="11" s="1"/>
  <c r="C24" i="11"/>
  <c r="C22" i="11" s="1"/>
  <c r="C31" i="11" s="1"/>
  <c r="D17" i="12"/>
  <c r="C17" i="12" s="1"/>
  <c r="C14" i="12"/>
  <c r="C16" i="12" s="1"/>
  <c r="E54" i="34"/>
  <c r="F54" i="34" s="1"/>
  <c r="E53" i="34"/>
  <c r="F53" i="34" s="1"/>
  <c r="I54" i="34"/>
  <c r="J54" i="34" s="1"/>
  <c r="S7" i="1"/>
  <c r="M20" i="6"/>
  <c r="I20" i="6" s="1"/>
  <c r="M14" i="1"/>
  <c r="K16" i="1"/>
  <c r="C34" i="69"/>
  <c r="K58" i="21"/>
  <c r="S11" i="39"/>
  <c r="AA11" i="39"/>
  <c r="U11" i="39"/>
  <c r="AB11" i="39"/>
  <c r="D21" i="6"/>
  <c r="D20" i="6"/>
  <c r="D22" i="6"/>
  <c r="D24" i="6"/>
  <c r="R24" i="6" s="1"/>
  <c r="D26" i="6"/>
  <c r="D28" i="6"/>
  <c r="D30" i="6" s="1"/>
  <c r="D29" i="6"/>
  <c r="H21" i="6"/>
  <c r="H20" i="6"/>
  <c r="D19" i="6"/>
  <c r="D23" i="6"/>
  <c r="R23" i="6" s="1"/>
  <c r="D25" i="6"/>
  <c r="C18" i="4"/>
  <c r="D14" i="6"/>
  <c r="D6" i="6"/>
  <c r="D9" i="6"/>
  <c r="D10" i="6"/>
  <c r="H25" i="6"/>
  <c r="H22" i="6"/>
  <c r="H26" i="6"/>
  <c r="D8" i="6"/>
  <c r="D12" i="6"/>
  <c r="D13" i="6"/>
  <c r="H24" i="6"/>
  <c r="D15" i="6"/>
  <c r="D5" i="6"/>
  <c r="D11" i="6"/>
  <c r="E61" i="40"/>
  <c r="H23" i="6"/>
  <c r="AA33" i="80"/>
  <c r="R48" i="80" s="1"/>
  <c r="S33" i="80"/>
  <c r="J103" i="80"/>
  <c r="J102" i="80" s="1"/>
  <c r="G65" i="40"/>
  <c r="H63" i="40"/>
  <c r="C29" i="43"/>
  <c r="I109" i="43"/>
  <c r="I102" i="43"/>
  <c r="I107" i="43"/>
  <c r="I103" i="43"/>
  <c r="I106" i="43"/>
  <c r="I104" i="43"/>
  <c r="I105" i="43"/>
  <c r="G105" i="43"/>
  <c r="G102" i="43"/>
  <c r="G103" i="43"/>
  <c r="G104" i="43"/>
  <c r="G109" i="43"/>
  <c r="G107" i="43"/>
  <c r="G106" i="43"/>
  <c r="E102" i="43"/>
  <c r="E103" i="43"/>
  <c r="E105" i="43"/>
  <c r="E107" i="43"/>
  <c r="E109" i="43"/>
  <c r="E104" i="43"/>
  <c r="E106"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L103" i="43"/>
  <c r="L104" i="43"/>
  <c r="L105" i="43"/>
  <c r="L109" i="43"/>
  <c r="L107" i="43"/>
  <c r="L102" i="43"/>
  <c r="L106" i="43"/>
  <c r="N103" i="43"/>
  <c r="N106" i="43"/>
  <c r="N104" i="43"/>
  <c r="N109" i="43"/>
  <c r="N102" i="43"/>
  <c r="N105" i="43"/>
  <c r="N107" i="43"/>
  <c r="K107" i="43"/>
  <c r="K104" i="43"/>
  <c r="K106" i="43"/>
  <c r="K109" i="43"/>
  <c r="K103" i="43"/>
  <c r="K102" i="43"/>
  <c r="K105" i="43"/>
  <c r="C56" i="67"/>
  <c r="C65" i="67" s="1"/>
  <c r="C61" i="67"/>
  <c r="C59" i="67" s="1"/>
  <c r="C17" i="79"/>
  <c r="C17" i="15"/>
  <c r="C37" i="67" l="1"/>
  <c r="C30" i="67" s="1"/>
  <c r="C39" i="67" s="1"/>
  <c r="C75" i="67"/>
  <c r="J22" i="67"/>
  <c r="J16" i="67"/>
  <c r="J25" i="67" s="1"/>
  <c r="C58" i="67"/>
  <c r="C67" i="67" s="1"/>
  <c r="C68" i="67" s="1"/>
  <c r="I102" i="80"/>
  <c r="R25" i="6"/>
  <c r="M19" i="81"/>
  <c r="C118" i="81" s="1"/>
  <c r="C15" i="74" s="1"/>
  <c r="D27" i="6"/>
  <c r="D31" i="6" s="1"/>
  <c r="R26" i="6"/>
  <c r="R22" i="6"/>
  <c r="R21" i="6"/>
  <c r="L58" i="21"/>
  <c r="L18" i="9"/>
  <c r="S20" i="6"/>
  <c r="K58" i="33"/>
  <c r="I19" i="6"/>
  <c r="M27" i="6"/>
  <c r="C10" i="68"/>
  <c r="B29" i="1" s="1"/>
  <c r="C8" i="68" s="1"/>
  <c r="D19" i="68"/>
  <c r="D37" i="68" s="1"/>
  <c r="C37" i="68" s="1"/>
  <c r="C115" i="43"/>
  <c r="D113" i="43"/>
  <c r="C30" i="43"/>
  <c r="E30" i="43" s="1"/>
  <c r="C27" i="43" s="1"/>
  <c r="E29" i="43"/>
  <c r="C26" i="43" s="1"/>
  <c r="H65" i="40"/>
  <c r="I63" i="40"/>
  <c r="R49" i="80"/>
  <c r="E48" i="80"/>
  <c r="D16" i="6"/>
  <c r="A7" i="51"/>
  <c r="B7" i="72" s="1"/>
  <c r="C4" i="52"/>
  <c r="B45" i="72" s="1"/>
  <c r="A10" i="51"/>
  <c r="B9" i="72" s="1"/>
  <c r="R20" i="6"/>
  <c r="R7" i="1" s="1"/>
  <c r="M19" i="9"/>
  <c r="C118" i="9" s="1"/>
  <c r="C14" i="74" s="1"/>
  <c r="B2" i="74" s="1"/>
  <c r="L19" i="9"/>
  <c r="C38" i="69"/>
  <c r="C35" i="69"/>
  <c r="M16" i="1"/>
  <c r="T7" i="1"/>
  <c r="AQ7" i="1"/>
  <c r="AR7" i="1"/>
  <c r="E7" i="70"/>
  <c r="K68" i="39"/>
  <c r="J70" i="39"/>
  <c r="G52" i="80"/>
  <c r="H52" i="80" s="1"/>
  <c r="G53" i="80"/>
  <c r="H53" i="80" s="1"/>
  <c r="I52" i="80"/>
  <c r="J52" i="80" s="1"/>
  <c r="I53" i="80"/>
  <c r="J53" i="80" s="1"/>
  <c r="T6" i="1"/>
  <c r="S16" i="1"/>
  <c r="AQ6" i="1"/>
  <c r="AR6" i="1"/>
  <c r="E6" i="70"/>
  <c r="C10" i="69"/>
  <c r="C8" i="69" s="1"/>
  <c r="C5" i="69" s="1"/>
  <c r="D19" i="69"/>
  <c r="L51" i="67"/>
  <c r="M21" i="79"/>
  <c r="C14" i="15"/>
  <c r="F35" i="79"/>
  <c r="C14" i="79"/>
  <c r="E6" i="76"/>
  <c r="C40" i="67" l="1"/>
  <c r="Q56" i="67" s="1"/>
  <c r="Q69" i="67"/>
  <c r="Q68" i="67" s="1"/>
  <c r="C18" i="12"/>
  <c r="C21" i="12" s="1"/>
  <c r="C80" i="67"/>
  <c r="C79" i="67" s="1"/>
  <c r="E2" i="76"/>
  <c r="C15" i="15"/>
  <c r="C18" i="15"/>
  <c r="C18" i="79"/>
  <c r="C15" i="79"/>
  <c r="J20" i="79"/>
  <c r="F63" i="79"/>
  <c r="C62" i="79" s="1"/>
  <c r="C34" i="79"/>
  <c r="C31" i="79" s="1"/>
  <c r="Q67" i="67"/>
  <c r="L57" i="67"/>
  <c r="L60" i="67" s="1"/>
  <c r="C22" i="12"/>
  <c r="C23" i="69"/>
  <c r="N16" i="1"/>
  <c r="L16" i="1"/>
  <c r="C34" i="68"/>
  <c r="C34" i="11"/>
  <c r="D8" i="74"/>
  <c r="D7" i="74"/>
  <c r="E53" i="80"/>
  <c r="F53" i="80" s="1"/>
  <c r="E52" i="80"/>
  <c r="F52" i="80" s="1"/>
  <c r="J63" i="40"/>
  <c r="I65" i="40"/>
  <c r="B2" i="43"/>
  <c r="S19" i="6"/>
  <c r="S27" i="6" s="1"/>
  <c r="I27" i="6"/>
  <c r="L18" i="81"/>
  <c r="H19" i="6"/>
  <c r="M58" i="21"/>
  <c r="N58" i="21" s="1"/>
  <c r="O58" i="21" s="1"/>
  <c r="F7" i="21" s="1"/>
  <c r="I6" i="6"/>
  <c r="I5" i="6"/>
  <c r="Q47" i="67"/>
  <c r="Q53" i="67" s="1"/>
  <c r="C43" i="67"/>
  <c r="Q65" i="67"/>
  <c r="D37" i="69"/>
  <c r="C37" i="69" s="1"/>
  <c r="C33" i="69" s="1"/>
  <c r="C19" i="69"/>
  <c r="C24" i="69" s="1"/>
  <c r="E2" i="70"/>
  <c r="L68" i="39"/>
  <c r="K70" i="39"/>
  <c r="T16" i="1"/>
  <c r="C48" i="80"/>
  <c r="C49" i="80"/>
  <c r="L58" i="33"/>
  <c r="H7" i="21"/>
  <c r="C45" i="67"/>
  <c r="C46" i="67" s="1"/>
  <c r="C71" i="67"/>
  <c r="B6" i="76"/>
  <c r="C83" i="67" l="1"/>
  <c r="C82" i="67" s="1"/>
  <c r="D2" i="67"/>
  <c r="C19" i="79"/>
  <c r="C19" i="15"/>
  <c r="B2" i="76"/>
  <c r="B3" i="76" s="1"/>
  <c r="C20" i="15"/>
  <c r="B2" i="80"/>
  <c r="B3" i="80"/>
  <c r="M68" i="39"/>
  <c r="L70" i="39"/>
  <c r="B3" i="67"/>
  <c r="B2" i="67"/>
  <c r="J7" i="21"/>
  <c r="H27" i="6"/>
  <c r="L19" i="81"/>
  <c r="R19" i="6"/>
  <c r="B3" i="43"/>
  <c r="K63" i="40"/>
  <c r="J65" i="40"/>
  <c r="C38" i="68"/>
  <c r="C35" i="68"/>
  <c r="F50" i="11"/>
  <c r="F50" i="68"/>
  <c r="F50" i="69"/>
  <c r="Q57" i="67"/>
  <c r="Q62" i="67" s="1"/>
  <c r="Q66" i="67"/>
  <c r="Q75" i="67" s="1"/>
  <c r="AB7" i="21"/>
  <c r="T48" i="21" s="1"/>
  <c r="G48" i="21" s="1"/>
  <c r="U7" i="21"/>
  <c r="M58" i="33"/>
  <c r="N58" i="33" s="1"/>
  <c r="O58" i="33" s="1"/>
  <c r="F7" i="33" s="1"/>
  <c r="J7" i="33"/>
  <c r="C39" i="69"/>
  <c r="C43" i="69" s="1"/>
  <c r="C42" i="69"/>
  <c r="C46" i="69"/>
  <c r="C45" i="69" s="1"/>
  <c r="AA7" i="21"/>
  <c r="R48" i="21" s="1"/>
  <c r="S7" i="21"/>
  <c r="C35" i="11"/>
  <c r="C33" i="11" s="1"/>
  <c r="C38" i="11"/>
  <c r="C20" i="69"/>
  <c r="C25" i="69" s="1"/>
  <c r="C22" i="69" s="1"/>
  <c r="C20" i="79"/>
  <c r="C23" i="79" s="1"/>
  <c r="C19" i="9"/>
  <c r="C20" i="9"/>
  <c r="C26" i="79" l="1"/>
  <c r="C29" i="79" s="1"/>
  <c r="C23" i="15"/>
  <c r="C33" i="68"/>
  <c r="C42" i="68" s="1"/>
  <c r="C41" i="69"/>
  <c r="C49" i="69" s="1"/>
  <c r="C51" i="69" s="1"/>
  <c r="C21" i="9"/>
  <c r="C102" i="9"/>
  <c r="C103" i="9"/>
  <c r="C39" i="11"/>
  <c r="C43" i="11" s="1"/>
  <c r="C42" i="11"/>
  <c r="S7" i="33"/>
  <c r="AA7" i="33"/>
  <c r="R48" i="33" s="1"/>
  <c r="AC7" i="33"/>
  <c r="V48" i="33" s="1"/>
  <c r="I48" i="33" s="1"/>
  <c r="W7" i="33"/>
  <c r="N68" i="39"/>
  <c r="M70" i="39"/>
  <c r="E48" i="21"/>
  <c r="G52" i="21"/>
  <c r="H52" i="21" s="1"/>
  <c r="H7" i="33"/>
  <c r="C28" i="69"/>
  <c r="C27" i="69" s="1"/>
  <c r="C31" i="69" s="1"/>
  <c r="L63" i="40"/>
  <c r="K65" i="40"/>
  <c r="R6" i="1"/>
  <c r="R27" i="6"/>
  <c r="AC7" i="21"/>
  <c r="V48" i="21" s="1"/>
  <c r="I48" i="21" s="1"/>
  <c r="G53" i="21" s="1"/>
  <c r="H53" i="21" s="1"/>
  <c r="W7" i="21"/>
  <c r="C26" i="15"/>
  <c r="M21" i="15"/>
  <c r="F35" i="15"/>
  <c r="C39" i="68" l="1"/>
  <c r="C43" i="68" s="1"/>
  <c r="C29" i="15"/>
  <c r="C41" i="68"/>
  <c r="C36" i="79"/>
  <c r="J14" i="79"/>
  <c r="J22" i="79" s="1"/>
  <c r="C41" i="11"/>
  <c r="Q49" i="79"/>
  <c r="J19" i="79"/>
  <c r="J17" i="79" s="1"/>
  <c r="C57" i="79"/>
  <c r="C61" i="79" s="1"/>
  <c r="C59" i="79" s="1"/>
  <c r="C13" i="79"/>
  <c r="C37" i="79" s="1"/>
  <c r="C30" i="79" s="1"/>
  <c r="C39" i="79" s="1"/>
  <c r="C52" i="69"/>
  <c r="C57" i="69" s="1"/>
  <c r="C56" i="69" s="1"/>
  <c r="J20" i="15"/>
  <c r="F63" i="15"/>
  <c r="C62" i="15" s="1"/>
  <c r="C34" i="15"/>
  <c r="C31" i="15" s="1"/>
  <c r="B2" i="69"/>
  <c r="B3" i="69" s="1"/>
  <c r="C36" i="15"/>
  <c r="C57" i="15"/>
  <c r="J14" i="15"/>
  <c r="C13" i="15"/>
  <c r="Q49" i="15"/>
  <c r="J19" i="15"/>
  <c r="J17" i="15" s="1"/>
  <c r="E53" i="21"/>
  <c r="F53" i="21" s="1"/>
  <c r="E52" i="21"/>
  <c r="F52" i="21" s="1"/>
  <c r="O68" i="39"/>
  <c r="O70" i="39" s="1"/>
  <c r="N70" i="39"/>
  <c r="I52" i="33"/>
  <c r="J52" i="33" s="1"/>
  <c r="C46" i="68"/>
  <c r="C45" i="68" s="1"/>
  <c r="C49" i="11"/>
  <c r="C51" i="11" s="1"/>
  <c r="C46" i="11"/>
  <c r="C45" i="11" s="1"/>
  <c r="I52" i="21"/>
  <c r="J52" i="21" s="1"/>
  <c r="I53" i="21"/>
  <c r="J53" i="21" s="1"/>
  <c r="R16" i="1"/>
  <c r="L65" i="40"/>
  <c r="M63" i="40"/>
  <c r="AB7" i="33"/>
  <c r="T48" i="33" s="1"/>
  <c r="G48" i="33" s="1"/>
  <c r="U7" i="33"/>
  <c r="R49" i="21"/>
  <c r="R49" i="33"/>
  <c r="E48" i="33"/>
  <c r="J13" i="79" l="1"/>
  <c r="J23" i="79" s="1"/>
  <c r="C64" i="79"/>
  <c r="C49" i="68"/>
  <c r="C51" i="68" s="1"/>
  <c r="C56" i="79"/>
  <c r="C65" i="79" s="1"/>
  <c r="C58" i="79" s="1"/>
  <c r="C67" i="79" s="1"/>
  <c r="C68" i="79" s="1"/>
  <c r="C71" i="79" s="1"/>
  <c r="C75" i="79"/>
  <c r="C80" i="79" s="1"/>
  <c r="C79" i="79" s="1"/>
  <c r="Q70" i="79"/>
  <c r="J16" i="79"/>
  <c r="J25" i="79" s="1"/>
  <c r="E53" i="33"/>
  <c r="F53" i="33" s="1"/>
  <c r="E52" i="33"/>
  <c r="F52" i="33" s="1"/>
  <c r="N63" i="40"/>
  <c r="M65" i="40"/>
  <c r="C52" i="11"/>
  <c r="B2" i="11" s="1"/>
  <c r="B3" i="11" s="1"/>
  <c r="I53" i="33"/>
  <c r="J53" i="33" s="1"/>
  <c r="C40" i="79"/>
  <c r="Q69" i="79"/>
  <c r="J13" i="15"/>
  <c r="J23" i="15" s="1"/>
  <c r="J22" i="15"/>
  <c r="C48" i="33"/>
  <c r="C49" i="33"/>
  <c r="B2" i="33" s="1"/>
  <c r="B3" i="33" s="1"/>
  <c r="C48" i="21"/>
  <c r="C49" i="21"/>
  <c r="G52" i="33"/>
  <c r="H52" i="33" s="1"/>
  <c r="G53" i="33"/>
  <c r="H53" i="33" s="1"/>
  <c r="F7" i="39"/>
  <c r="J7" i="39"/>
  <c r="H7" i="39"/>
  <c r="C37" i="15"/>
  <c r="C75" i="15"/>
  <c r="C56" i="15"/>
  <c r="C65" i="15" s="1"/>
  <c r="Q70" i="15"/>
  <c r="C61" i="15"/>
  <c r="C59" i="15" s="1"/>
  <c r="C64" i="15"/>
  <c r="C30" i="15"/>
  <c r="C39" i="15" s="1"/>
  <c r="L51" i="79"/>
  <c r="Q68" i="79" l="1"/>
  <c r="C46" i="79"/>
  <c r="C58" i="15"/>
  <c r="C67" i="15" s="1"/>
  <c r="C68" i="15" s="1"/>
  <c r="C71" i="15" s="1"/>
  <c r="J16" i="15"/>
  <c r="J25" i="15" s="1"/>
  <c r="Q67" i="79"/>
  <c r="L57" i="79"/>
  <c r="U7" i="39"/>
  <c r="AB7" i="39"/>
  <c r="T47" i="39" s="1"/>
  <c r="G47" i="39" s="1"/>
  <c r="AA7" i="39"/>
  <c r="R47" i="39" s="1"/>
  <c r="S7" i="39"/>
  <c r="C56" i="11"/>
  <c r="C57" i="11" s="1"/>
  <c r="N65" i="40"/>
  <c r="O63" i="40"/>
  <c r="O65" i="40" s="1"/>
  <c r="Q69" i="15"/>
  <c r="Q68" i="15" s="1"/>
  <c r="C40" i="15"/>
  <c r="C46" i="15" s="1"/>
  <c r="C80" i="15"/>
  <c r="C79" i="15" s="1"/>
  <c r="W7" i="39"/>
  <c r="AC7" i="39"/>
  <c r="V47" i="39" s="1"/>
  <c r="I47" i="39" s="1"/>
  <c r="B2" i="21"/>
  <c r="B3" i="21"/>
  <c r="B2" i="79"/>
  <c r="Q56" i="79"/>
  <c r="Q62" i="79" s="1"/>
  <c r="Q65" i="79"/>
  <c r="Q75" i="79" s="1"/>
  <c r="Q47" i="79"/>
  <c r="Q53" i="79" s="1"/>
  <c r="C43" i="79"/>
  <c r="C83" i="79"/>
  <c r="C82" i="79" s="1"/>
  <c r="AO7" i="1"/>
  <c r="L51" i="15"/>
  <c r="C19" i="81"/>
  <c r="D19" i="9"/>
  <c r="C20" i="81"/>
  <c r="C103" i="81" l="1"/>
  <c r="Q67" i="15"/>
  <c r="D21" i="9"/>
  <c r="D102" i="9"/>
  <c r="G19" i="9"/>
  <c r="D22" i="9"/>
  <c r="B7" i="70"/>
  <c r="C21" i="81"/>
  <c r="C102" i="81"/>
  <c r="C6" i="12"/>
  <c r="I51" i="39"/>
  <c r="J51" i="39" s="1"/>
  <c r="G52" i="39"/>
  <c r="H52" i="39" s="1"/>
  <c r="G51" i="39"/>
  <c r="H51" i="39" s="1"/>
  <c r="E8" i="12"/>
  <c r="L6" i="12" s="1"/>
  <c r="B3" i="79"/>
  <c r="C8" i="12"/>
  <c r="B2" i="15"/>
  <c r="C43" i="15"/>
  <c r="Q65" i="15"/>
  <c r="Q75" i="15" s="1"/>
  <c r="Q47" i="15"/>
  <c r="Q53" i="15" s="1"/>
  <c r="Q56" i="15"/>
  <c r="Q62" i="15" s="1"/>
  <c r="C83" i="15"/>
  <c r="C82" i="15" s="1"/>
  <c r="J7" i="40"/>
  <c r="F7" i="40"/>
  <c r="H7" i="40"/>
  <c r="R48" i="39"/>
  <c r="E47" i="39"/>
  <c r="AO6" i="1"/>
  <c r="D20" i="9"/>
  <c r="D19" i="81"/>
  <c r="D102" i="81" l="1"/>
  <c r="D21" i="81"/>
  <c r="G19" i="81"/>
  <c r="D22" i="81"/>
  <c r="B6" i="70"/>
  <c r="B2" i="70" s="1"/>
  <c r="B3" i="70" s="1"/>
  <c r="D103" i="9"/>
  <c r="G20" i="9"/>
  <c r="E51" i="39"/>
  <c r="F51" i="39" s="1"/>
  <c r="E52" i="39"/>
  <c r="F52" i="39" s="1"/>
  <c r="AB7" i="40"/>
  <c r="T42" i="40" s="1"/>
  <c r="G42" i="40" s="1"/>
  <c r="U7" i="40"/>
  <c r="AC7" i="40"/>
  <c r="V42" i="40" s="1"/>
  <c r="I42" i="40" s="1"/>
  <c r="W7" i="40"/>
  <c r="B3" i="15"/>
  <c r="D8" i="12"/>
  <c r="E6" i="12"/>
  <c r="C48" i="39"/>
  <c r="C47" i="39"/>
  <c r="AA7" i="40"/>
  <c r="R42" i="40" s="1"/>
  <c r="S7" i="40"/>
  <c r="C4" i="12"/>
  <c r="I52" i="39"/>
  <c r="J52" i="39" s="1"/>
  <c r="C32" i="9"/>
  <c r="J20" i="9"/>
  <c r="G21" i="9"/>
  <c r="D20" i="81"/>
  <c r="D103" i="81" l="1"/>
  <c r="G20" i="81"/>
  <c r="D6" i="12"/>
  <c r="I46" i="40"/>
  <c r="J46" i="40" s="1"/>
  <c r="G46" i="40"/>
  <c r="H46" i="40" s="1"/>
  <c r="G47" i="40"/>
  <c r="H47" i="40" s="1"/>
  <c r="H118" i="9"/>
  <c r="C23" i="12"/>
  <c r="C31" i="12"/>
  <c r="R43" i="40"/>
  <c r="E42" i="40"/>
  <c r="I47" i="40" s="1"/>
  <c r="J47" i="40" s="1"/>
  <c r="B56" i="39"/>
  <c r="F56" i="39" s="1"/>
  <c r="B57" i="39"/>
  <c r="F57" i="39" s="1"/>
  <c r="B58" i="39"/>
  <c r="F58" i="39" s="1"/>
  <c r="B59" i="39"/>
  <c r="F59" i="39" s="1"/>
  <c r="B60" i="39"/>
  <c r="F60" i="39" s="1"/>
  <c r="B61" i="39"/>
  <c r="F61" i="39" s="1"/>
  <c r="B62" i="39"/>
  <c r="F62" i="39" s="1"/>
  <c r="B63" i="39"/>
  <c r="F63" i="39" s="1"/>
  <c r="B64" i="39"/>
  <c r="F64" i="39" s="1"/>
  <c r="B65" i="39"/>
  <c r="F65" i="39" s="1"/>
  <c r="G21" i="81"/>
  <c r="C32" i="81"/>
  <c r="J20" i="81"/>
  <c r="F66" i="39" l="1"/>
  <c r="B2" i="39" s="1"/>
  <c r="C42" i="40"/>
  <c r="C43" i="40"/>
  <c r="C104" i="9"/>
  <c r="I118" i="9"/>
  <c r="H4" i="52"/>
  <c r="H119" i="9"/>
  <c r="H5" i="52" s="1"/>
  <c r="H101" i="9"/>
  <c r="D14" i="74"/>
  <c r="D2" i="82" s="1"/>
  <c r="H118" i="81"/>
  <c r="E47" i="40"/>
  <c r="F47" i="40" s="1"/>
  <c r="E46" i="40"/>
  <c r="F46" i="40" s="1"/>
  <c r="C27" i="12"/>
  <c r="C25" i="12" s="1"/>
  <c r="C30" i="12"/>
  <c r="C28" i="12" s="1"/>
  <c r="C32" i="12" l="1"/>
  <c r="B2" i="12" s="1"/>
  <c r="B3" i="12" s="1"/>
  <c r="I4" i="52"/>
  <c r="C105" i="9"/>
  <c r="H102" i="9"/>
  <c r="D7" i="53" s="1"/>
  <c r="B21" i="72" s="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6" i="68"/>
  <c r="B3" i="39"/>
  <c r="E14" i="74"/>
  <c r="E2" i="82" s="1"/>
  <c r="F14" i="74"/>
  <c r="H101" i="81"/>
  <c r="D15" i="74"/>
  <c r="D3" i="82" s="1"/>
  <c r="C104" i="81"/>
  <c r="I118" i="81"/>
  <c r="H119" i="81"/>
  <c r="D45" i="9"/>
  <c r="H107" i="9"/>
  <c r="M48" i="9"/>
  <c r="D5" i="53"/>
  <c r="H108" i="9" l="1"/>
  <c r="D15" i="53" s="1"/>
  <c r="B31" i="72" s="1"/>
  <c r="D122" i="9"/>
  <c r="M49" i="9"/>
  <c r="D13" i="53"/>
  <c r="C85" i="9"/>
  <c r="C64" i="9"/>
  <c r="C63" i="9" s="1"/>
  <c r="C67" i="9" s="1"/>
  <c r="C68" i="9" s="1"/>
  <c r="D54" i="9" s="1"/>
  <c r="C93" i="9"/>
  <c r="C86" i="9" s="1"/>
  <c r="C78" i="9"/>
  <c r="C73" i="9" s="1"/>
  <c r="D52" i="9"/>
  <c r="C72" i="9"/>
  <c r="C79" i="9" s="1"/>
  <c r="D53" i="9"/>
  <c r="D55" i="9"/>
  <c r="M53" i="9" s="1"/>
  <c r="H102" i="81"/>
  <c r="C105" i="81"/>
  <c r="G15" i="74"/>
  <c r="E15" i="74"/>
  <c r="E3" i="82" s="1"/>
  <c r="F15" i="74"/>
  <c r="C7" i="68"/>
  <c r="C5" i="68"/>
  <c r="D6" i="53"/>
  <c r="B22" i="72" s="1"/>
  <c r="B20" i="72"/>
  <c r="D45" i="81"/>
  <c r="H107" i="81"/>
  <c r="M48" i="81"/>
  <c r="D122" i="81" l="1"/>
  <c r="D123" i="81" s="1"/>
  <c r="M49" i="81"/>
  <c r="H108" i="81"/>
  <c r="C20" i="68"/>
  <c r="C25" i="68" s="1"/>
  <c r="C23" i="68"/>
  <c r="C28" i="68"/>
  <c r="C27" i="68" s="1"/>
  <c r="C80" i="9"/>
  <c r="E80" i="9" s="1"/>
  <c r="E81" i="9" s="1"/>
  <c r="D14" i="53"/>
  <c r="B32" i="72" s="1"/>
  <c r="B30" i="72"/>
  <c r="D8" i="52"/>
  <c r="G14" i="74"/>
  <c r="D123" i="9"/>
  <c r="D9" i="52" s="1"/>
  <c r="D52" i="81"/>
  <c r="C72" i="81"/>
  <c r="C93" i="81"/>
  <c r="C86" i="81" s="1"/>
  <c r="D55" i="81"/>
  <c r="M53" i="81" s="1"/>
  <c r="D53" i="81"/>
  <c r="C85" i="81"/>
  <c r="C78" i="81"/>
  <c r="C73" i="81" s="1"/>
  <c r="C64" i="81"/>
  <c r="C63" i="81" s="1"/>
  <c r="C67" i="81" s="1"/>
  <c r="C68" i="81" s="1"/>
  <c r="D54" i="81" s="1"/>
  <c r="C95" i="9"/>
  <c r="L64" i="9"/>
  <c r="M64" i="9" s="1"/>
  <c r="L66" i="9"/>
  <c r="M66" i="9" s="1"/>
  <c r="L68" i="9"/>
  <c r="M68" i="9" s="1"/>
  <c r="L63" i="9"/>
  <c r="M63" i="9" s="1"/>
  <c r="L65" i="9"/>
  <c r="M65" i="9" s="1"/>
  <c r="L67" i="9"/>
  <c r="M67" i="9" s="1"/>
  <c r="C95" i="81" l="1"/>
  <c r="C79" i="81"/>
  <c r="C80" i="81" s="1"/>
  <c r="E80" i="81" s="1"/>
  <c r="E81" i="81" s="1"/>
  <c r="C22" i="68"/>
  <c r="C31" i="68" s="1"/>
  <c r="C52" i="68" s="1"/>
  <c r="C96" i="81"/>
  <c r="E96" i="81" s="1"/>
  <c r="E97" i="81" s="1"/>
  <c r="M69" i="9"/>
  <c r="N69" i="9" s="1"/>
  <c r="C96" i="9"/>
  <c r="E96" i="9" s="1"/>
  <c r="E97" i="9" s="1"/>
  <c r="C81" i="9"/>
  <c r="L63" i="81"/>
  <c r="M63" i="81" s="1"/>
  <c r="L64" i="81"/>
  <c r="M64" i="81" s="1"/>
  <c r="L65" i="81"/>
  <c r="M65" i="81" s="1"/>
  <c r="L66" i="81"/>
  <c r="M66" i="81" s="1"/>
  <c r="L67" i="81"/>
  <c r="M67" i="81" s="1"/>
  <c r="L68" i="81"/>
  <c r="M68" i="81" s="1"/>
  <c r="C57" i="68" l="1"/>
  <c r="C56" i="68" s="1"/>
  <c r="B2" i="68"/>
  <c r="B3" i="68" s="1"/>
  <c r="C81" i="81"/>
  <c r="C97" i="9"/>
  <c r="D58" i="9" s="1"/>
  <c r="D56" i="9" s="1"/>
  <c r="M54" i="9" s="1"/>
  <c r="N57" i="9" s="1"/>
  <c r="N58" i="9" s="1"/>
  <c r="M69" i="81"/>
  <c r="N69" i="81" s="1"/>
  <c r="C97" i="81"/>
  <c r="D58" i="81" s="1"/>
  <c r="D56" i="81" s="1"/>
  <c r="M54" i="81" s="1"/>
  <c r="N57" i="81" s="1"/>
  <c r="D35" i="9"/>
  <c r="D34" i="9"/>
  <c r="D35" i="81"/>
  <c r="D34" i="81"/>
  <c r="P57" i="9" l="1"/>
  <c r="N59" i="9"/>
  <c r="N61" i="9" s="1"/>
  <c r="C35" i="81"/>
  <c r="C35" i="9"/>
  <c r="N58" i="81"/>
  <c r="P57" i="81"/>
  <c r="N59" i="81"/>
  <c r="N60" i="9" l="1"/>
  <c r="F118" i="9"/>
  <c r="C34" i="9"/>
  <c r="D118" i="9" s="1"/>
  <c r="N60" i="81"/>
  <c r="N61" i="81"/>
  <c r="F118" i="81"/>
  <c r="C34" i="81"/>
  <c r="D118" i="81" s="1"/>
  <c r="D119" i="81" s="1"/>
  <c r="D4" i="52" l="1"/>
  <c r="B47" i="72" s="1"/>
  <c r="D119" i="9"/>
  <c r="D5" i="52" s="1"/>
  <c r="B49" i="72" s="1"/>
  <c r="G118" i="81"/>
  <c r="E118" i="81" s="1"/>
  <c r="F119" i="81"/>
  <c r="G118" i="9"/>
  <c r="F4" i="52"/>
  <c r="B51" i="72" s="1"/>
  <c r="F119" i="9"/>
  <c r="F5" i="52" s="1"/>
  <c r="B53" i="72" s="1"/>
  <c r="G4" i="52" l="1"/>
  <c r="B52" i="72" s="1"/>
  <c r="E118" i="9"/>
  <c r="E4" i="52" s="1"/>
  <c r="B48" i="72" s="1"/>
  <c r="D16" i="74" l="1"/>
  <c r="D4" i="82" l="1"/>
  <c r="D5" i="82" s="1"/>
  <c r="G16" i="74"/>
  <c r="B6" i="74" s="1"/>
  <c r="E16" i="74"/>
  <c r="E4" i="82" s="1"/>
  <c r="F16" i="74"/>
  <c r="B5" i="74"/>
  <c r="D6" i="74" l="1"/>
  <c r="C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<sst xmlns="http://schemas.openxmlformats.org/spreadsheetml/2006/main" count="11217" uniqueCount="3883">
  <si>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</si>
  <si>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</si>
  <si>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</si>
  <si>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</si>
  <si>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</si>
  <si>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</si>
  <si>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</si>
  <si>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</si>
  <si>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</si>
  <si>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</si>
  <si>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</si>
  <si>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</si>
  <si>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</si>
  <si>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</si>
  <si>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</si>
  <si>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</si>
  <si>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</si>
  <si>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</si>
  <si>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</si>
  <si>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</si>
  <si>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</si>
  <si>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</si>
  <si>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</si>
  <si>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</si>
  <si>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</si>
  <si>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</si>
  <si>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</si>
  <si>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</si>
  <si>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</si>
  <si>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</si>
  <si>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</si>
  <si>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</si>
  <si>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</si>
  <si>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</si>
  <si>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</si>
  <si>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</si>
  <si>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</si>
  <si>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</si>
  <si>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</si>
  <si>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</si>
  <si>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</si>
  <si>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</si>
  <si>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</si>
  <si>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</si>
  <si>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</si>
  <si>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</si>
  <si>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</si>
  <si>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</si>
  <si>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</si>
  <si>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</si>
  <si>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</si>
  <si>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</si>
  <si>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</si>
  <si>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</si>
  <si>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</si>
  <si>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</si>
  <si>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</si>
  <si>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</si>
  <si>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</si>
  <si>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</si>
  <si>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</si>
  <si>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</si>
  <si>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</si>
  <si>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</si>
  <si>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</si>
  <si>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</si>
  <si>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</si>
  <si>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</si>
  <si>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</si>
  <si>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</si>
  <si>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</si>
  <si>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</si>
  <si>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</si>
  <si>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</si>
  <si>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</si>
  <si>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</si>
  <si>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</si>
  <si>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</si>
  <si>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</si>
  <si>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</si>
  <si>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</si>
  <si>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</si>
  <si>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</si>
  <si>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</si>
  <si>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</si>
  <si>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</si>
  <si>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</si>
  <si>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</si>
  <si>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</si>
  <si>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</si>
  <si>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</si>
  <si>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</si>
  <si>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</si>
  <si>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</si>
  <si>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</si>
  <si>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</si>
  <si>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</si>
  <si>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</si>
  <si>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</si>
  <si>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</si>
  <si>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</si>
  <si>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</si>
  <si>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</si>
  <si>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</si>
  <si>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</si>
  <si>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</si>
  <si>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</si>
  <si>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</si>
  <si>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</si>
  <si>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</si>
  <si>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</si>
  <si>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</si>
  <si>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</si>
  <si>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</si>
  <si>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</si>
  <si>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</si>
  <si>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</si>
  <si>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</si>
  <si>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</si>
  <si>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</si>
  <si>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</si>
  <si>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</si>
  <si>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</si>
  <si>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</si>
  <si>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</si>
  <si>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</si>
  <si>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</si>
  <si>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</si>
  <si>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</si>
  <si>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</si>
  <si>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</si>
  <si>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</si>
  <si>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</si>
  <si>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</si>
  <si>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</si>
  <si>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</si>
  <si>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</si>
  <si>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</si>
  <si>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</si>
  <si>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</si>
  <si>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</si>
  <si>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</si>
  <si>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</si>
  <si>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</si>
  <si>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</si>
  <si>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</si>
  <si>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</si>
  <si>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</si>
  <si>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</si>
  <si>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</si>
  <si>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</si>
  <si>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</si>
  <si>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</si>
  <si>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</si>
  <si>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</si>
  <si>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</si>
  <si>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</si>
  <si>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</si>
  <si>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</si>
  <si>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</si>
  <si>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</si>
  <si>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</si>
  <si>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</si>
  <si>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</si>
  <si>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</si>
  <si>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</si>
  <si>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</si>
  <si>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</si>
  <si>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</si>
  <si>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</si>
  <si>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</si>
  <si>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</si>
  <si>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</si>
  <si>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</si>
  <si>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</si>
  <si>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</si>
  <si>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</si>
  <si>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</si>
  <si>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</si>
  <si>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</si>
  <si>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</si>
  <si>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</si>
  <si>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</si>
  <si>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</si>
  <si>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</si>
  <si>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</si>
  <si>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</si>
  <si>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</si>
  <si>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</si>
  <si>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</si>
  <si>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</si>
  <si>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</si>
  <si>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</si>
  <si>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</si>
  <si>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</si>
  <si>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</si>
  <si>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</si>
  <si>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</si>
  <si>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</si>
  <si>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</si>
  <si>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</si>
  <si>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</si>
  <si>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</si>
  <si>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</si>
  <si>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</si>
  <si>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</si>
  <si>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</si>
  <si>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</si>
  <si>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</si>
  <si>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</si>
  <si>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</si>
  <si>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</si>
  <si>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</si>
  <si>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</si>
  <si>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</si>
  <si>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</si>
  <si>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</si>
  <si>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</si>
  <si>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</si>
  <si>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</si>
  <si>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</si>
  <si>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</si>
  <si>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</si>
  <si>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</si>
  <si>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</si>
  <si>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</si>
  <si>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</si>
  <si>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</si>
  <si>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</si>
  <si>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</si>
  <si>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</si>
  <si>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</si>
  <si>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</si>
  <si>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</si>
  <si>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</si>
  <si>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</si>
  <si>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</si>
  <si>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</si>
  <si>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</si>
  <si>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</si>
  <si>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</si>
  <si>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</si>
  <si>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</si>
  <si>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</si>
  <si>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</si>
  <si>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</si>
  <si>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</si>
  <si>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</si>
  <si>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</si>
  <si>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</si>
  <si>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</si>
  <si>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</si>
  <si>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</si>
  <si>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</si>
  <si>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</si>
  <si>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</si>
  <si>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</si>
  <si>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</si>
  <si>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</si>
  <si>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</si>
  <si>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</si>
  <si>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</si>
  <si>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</si>
  <si>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</si>
  <si>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</si>
  <si>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</si>
  <si>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</si>
  <si>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</si>
  <si>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</si>
  <si>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</si>
  <si>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</si>
  <si>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</si>
  <si>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</si>
  <si>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</si>
  <si>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</si>
  <si>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</si>
  <si>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</si>
  <si>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</si>
  <si>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</si>
  <si>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</si>
  <si>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</si>
  <si>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</si>
  <si>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</si>
  <si>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</si>
  <si>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</si>
  <si>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</si>
  <si>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</si>
  <si>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</si>
  <si>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</si>
  <si>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</si>
  <si>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</si>
  <si>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</si>
  <si>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</si>
  <si>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</si>
  <si>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</si>
  <si>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</si>
  <si>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</si>
  <si>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</si>
  <si>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</si>
  <si>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</si>
  <si>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</si>
  <si>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</si>
  <si>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</si>
  <si>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</si>
  <si>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</si>
  <si>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</si>
  <si>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</si>
  <si>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</si>
  <si>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</si>
  <si>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</si>
  <si>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</si>
  <si>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</si>
  <si>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</si>
  <si>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</si>
  <si>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</si>
  <si>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</si>
  <si>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</si>
  <si>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</si>
  <si>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</si>
  <si>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</si>
  <si>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</si>
  <si>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</si>
  <si>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</si>
  <si>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</si>
  <si>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</si>
  <si>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</si>
  <si>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</si>
  <si>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</si>
  <si>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</si>
  <si>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</si>
  <si>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</si>
  <si>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</si>
  <si>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</si>
  <si>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</si>
  <si>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</si>
  <si>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</si>
  <si>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</si>
  <si>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</si>
  <si>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</si>
  <si>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</si>
  <si>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</si>
  <si>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</si>
  <si>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</si>
  <si>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</si>
  <si>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</si>
  <si>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</si>
  <si>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</si>
  <si>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</si>
  <si>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</si>
  <si>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</si>
  <si>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</si>
  <si>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</si>
  <si>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</si>
  <si>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</si>
  <si>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</si>
  <si>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</si>
  <si>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</si>
  <si>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</si>
  <si>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</si>
  <si>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</si>
  <si>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</si>
  <si>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</si>
  <si>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</si>
  <si>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</si>
  <si>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</si>
  <si>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</si>
  <si>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</si>
  <si>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</si>
  <si>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</si>
  <si>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</si>
  <si>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</si>
  <si>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</si>
  <si>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</si>
  <si>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</si>
  <si>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</si>
  <si>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</si>
  <si>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</si>
  <si>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</si>
  <si>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</si>
  <si>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</si>
  <si>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</si>
  <si>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</si>
  <si>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</si>
  <si>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</si>
  <si>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</si>
  <si>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</si>
  <si>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</si>
  <si>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</si>
  <si>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</si>
  <si>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</si>
  <si>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</si>
  <si>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</si>
  <si>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</si>
  <si>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</si>
  <si>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</si>
  <si>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</si>
  <si>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</si>
  <si>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</si>
  <si>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</si>
  <si>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</si>
  <si>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</si>
  <si>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</si>
  <si>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</si>
  <si>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</si>
  <si>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</si>
  <si>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</si>
  <si>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</si>
  <si>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</si>
  <si>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</si>
  <si>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</si>
  <si>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</si>
  <si>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</si>
  <si>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</si>
  <si>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</si>
  <si>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</si>
  <si>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</si>
  <si>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</si>
  <si>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</si>
  <si>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</si>
  <si>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</si>
  <si>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</si>
  <si>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</si>
  <si>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</si>
  <si>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</si>
  <si>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</si>
  <si>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</si>
  <si>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</si>
  <si>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</si>
  <si>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</si>
  <si>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</si>
  <si>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</si>
  <si>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</si>
  <si>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</si>
  <si>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</si>
  <si>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</si>
  <si>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</si>
  <si>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</si>
  <si>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</si>
  <si>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</si>
  <si>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</si>
  <si>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</si>
  <si>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</si>
  <si>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</si>
  <si>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</si>
  <si>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</si>
  <si>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</si>
  <si>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</si>
  <si>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</si>
  <si>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</si>
  <si>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</si>
  <si>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</si>
  <si>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</si>
  <si>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</si>
  <si>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</si>
  <si>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</si>
  <si>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</si>
  <si>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</si>
  <si>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</si>
  <si>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</si>
  <si>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</si>
  <si>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</si>
  <si>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</si>
  <si>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</si>
  <si>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</si>
  <si>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</si>
  <si>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</si>
  <si>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</si>
  <si>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</si>
  <si>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</si>
  <si>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</si>
  <si>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</si>
  <si>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</si>
  <si>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</si>
  <si>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</si>
  <si>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</si>
  <si>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</si>
  <si>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</si>
  <si>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</si>
  <si>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</si>
  <si>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</si>
  <si>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</si>
  <si>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</si>
  <si>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</si>
  <si>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</si>
  <si>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</si>
  <si>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</si>
  <si>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</si>
  <si>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</si>
  <si>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</si>
  <si>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</si>
  <si>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</si>
  <si>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</si>
  <si>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</si>
  <si>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</si>
  <si>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</si>
  <si>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</si>
  <si>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</si>
  <si>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</si>
  <si>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</si>
  <si>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</si>
  <si>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</si>
  <si>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</si>
  <si>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</si>
  <si>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</si>
  <si>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</si>
  <si>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</si>
  <si>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</si>
  <si>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</si>
  <si>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</si>
  <si>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</si>
  <si>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</si>
  <si>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</si>
  <si>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</si>
  <si>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</si>
  <si>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</si>
  <si>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</si>
  <si>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</si>
  <si>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</si>
  <si>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</si>
  <si>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</si>
  <si>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</si>
  <si>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</si>
  <si>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</si>
  <si>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</si>
  <si>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</si>
  <si>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</si>
  <si>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</si>
  <si>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</si>
  <si>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</si>
  <si>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</si>
  <si>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</si>
  <si>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</si>
  <si>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</si>
  <si>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</si>
  <si>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</si>
  <si>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</si>
  <si>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</si>
  <si>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</si>
  <si>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</si>
  <si>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</si>
  <si>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</si>
  <si>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</si>
  <si>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</si>
  <si>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</si>
  <si>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</si>
  <si>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</si>
  <si>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</si>
  <si>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</si>
  <si>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</si>
  <si>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</si>
  <si>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</si>
  <si>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</si>
  <si>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</si>
  <si>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</si>
  <si>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</si>
  <si>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</si>
  <si>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</si>
  <si>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</si>
  <si>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</si>
  <si>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</si>
  <si>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</si>
  <si>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</si>
  <si>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</si>
  <si>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</si>
  <si>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</si>
  <si>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</si>
  <si>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</si>
  <si>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</si>
  <si>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</si>
  <si>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</si>
  <si>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</si>
  <si>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</si>
  <si>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</si>
  <si>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</si>
  <si>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</si>
  <si>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</si>
  <si>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</si>
  <si>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</si>
  <si>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</si>
  <si>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</si>
  <si>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</si>
  <si>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</si>
  <si>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</si>
  <si>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</si>
  <si>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</si>
  <si>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</si>
  <si>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</si>
  <si>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</si>
  <si>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</si>
  <si>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</si>
  <si>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</si>
  <si>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</si>
  <si>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</si>
  <si>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</si>
  <si>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</si>
  <si>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</si>
  <si>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</si>
  <si>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</si>
  <si>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</si>
  <si>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</si>
  <si>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</si>
  <si>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</si>
  <si>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</si>
  <si>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</si>
  <si>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</si>
  <si>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</si>
  <si>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</si>
  <si>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</si>
  <si>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</si>
  <si>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</si>
  <si>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</si>
  <si>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</si>
  <si>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</si>
  <si>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</si>
  <si>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</si>
  <si>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</si>
  <si>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</si>
  <si>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</si>
  <si>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</si>
  <si>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</si>
  <si>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</si>
  <si>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</si>
  <si>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</si>
  <si>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</si>
  <si>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</si>
  <si>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</si>
  <si>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</si>
  <si>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</si>
  <si>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</si>
  <si>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</si>
  <si>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</si>
  <si>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</si>
  <si>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</si>
  <si>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</si>
  <si>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</si>
  <si>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</si>
  <si>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</si>
  <si>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</si>
  <si>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</si>
  <si>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</si>
  <si>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</si>
  <si>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</si>
  <si>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</si>
  <si>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</si>
  <si>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</si>
  <si>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</si>
  <si>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</si>
  <si>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</si>
  <si>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</si>
  <si>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</si>
  <si>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</si>
  <si>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</si>
  <si>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</si>
  <si>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</si>
  <si>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</si>
  <si>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</si>
  <si>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</si>
  <si>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</si>
  <si>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</si>
  <si>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</si>
  <si>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</si>
  <si>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</si>
  <si>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</si>
  <si>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</si>
  <si>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</si>
  <si>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</si>
  <si>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</si>
  <si>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</si>
  <si>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</si>
  <si>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</si>
  <si>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</si>
  <si>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</si>
  <si>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</si>
  <si>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</si>
  <si>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</si>
  <si>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</si>
  <si>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</si>
  <si>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</si>
  <si>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</si>
  <si>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</si>
  <si>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</si>
  <si>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</si>
  <si>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</si>
  <si>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</si>
  <si>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</si>
  <si>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</si>
  <si>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</si>
  <si>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</si>
  <si>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</si>
  <si>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</si>
  <si>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</si>
  <si>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</si>
  <si>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</si>
  <si>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</si>
  <si>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</si>
  <si>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</si>
  <si>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</si>
  <si>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</si>
  <si>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</si>
  <si>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</si>
  <si>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</si>
  <si>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</si>
  <si>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</si>
  <si>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</si>
  <si>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</si>
  <si>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</si>
  <si>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</si>
  <si>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</si>
  <si>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</si>
  <si>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</si>
  <si>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</si>
  <si>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</si>
  <si>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</si>
  <si>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</si>
  <si>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</si>
  <si>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</si>
  <si>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</si>
  <si>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</si>
  <si>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</si>
  <si>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</si>
  <si>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</si>
  <si>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</si>
  <si>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</si>
  <si>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</si>
  <si>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</si>
  <si>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</si>
  <si>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</si>
  <si>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</si>
  <si>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</si>
  <si>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</si>
  <si>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</si>
  <si>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</si>
  <si>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</si>
  <si>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</si>
  <si>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</si>
  <si>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</si>
  <si>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</si>
  <si>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</si>
  <si>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</si>
  <si>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</si>
  <si>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</si>
  <si>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</si>
  <si>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</si>
  <si>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</si>
  <si>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</si>
  <si>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</si>
  <si>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</si>
  <si>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</si>
  <si>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</si>
  <si>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</si>
  <si>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</si>
  <si>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</si>
  <si>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</si>
  <si>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</si>
  <si>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</si>
  <si>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</si>
  <si>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</si>
  <si>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</si>
  <si>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</si>
  <si>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</si>
  <si>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</si>
  <si>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</si>
  <si>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</si>
  <si>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</si>
  <si>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</si>
  <si>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</si>
  <si>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</si>
  <si>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</si>
  <si>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</si>
  <si>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</si>
  <si>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</si>
  <si>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</si>
  <si>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</si>
  <si>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</si>
  <si>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</si>
  <si>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</si>
  <si>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</si>
  <si>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</si>
  <si>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</si>
  <si>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</si>
  <si>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</si>
  <si>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</si>
  <si>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</si>
  <si>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</si>
  <si>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</si>
  <si>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</si>
  <si>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</si>
  <si>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</si>
  <si>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</si>
  <si>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</si>
  <si>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</si>
  <si>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</si>
  <si>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</si>
  <si>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</si>
  <si>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</si>
  <si>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</si>
  <si>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</si>
  <si>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</si>
  <si>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</si>
  <si>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</si>
  <si>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</si>
  <si>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</si>
  <si>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</si>
  <si>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</si>
  <si>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</si>
  <si>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</si>
  <si>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</si>
  <si>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</si>
  <si>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</si>
  <si>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</si>
  <si>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</si>
  <si>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</si>
  <si>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</si>
  <si>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</si>
  <si>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</si>
  <si>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</si>
  <si>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</si>
  <si>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</si>
  <si>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</si>
  <si>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</si>
  <si>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</si>
  <si>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</si>
  <si>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</si>
  <si>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</si>
  <si>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</si>
  <si>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</si>
  <si>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</si>
  <si>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</si>
  <si>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</si>
  <si>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</si>
  <si>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</si>
  <si>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</si>
  <si>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</si>
  <si>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</si>
  <si>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</si>
  <si>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</si>
  <si>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</si>
  <si>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</si>
  <si>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</si>
  <si>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</si>
  <si>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</si>
  <si>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</si>
  <si>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</si>
  <si>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</si>
  <si>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</si>
  <si>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</si>
  <si>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</si>
  <si>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</si>
  <si>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</si>
  <si>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</si>
  <si>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</si>
  <si>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</si>
  <si>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</si>
  <si>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</si>
  <si>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</si>
  <si>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</si>
  <si>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</si>
  <si>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</si>
  <si>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</si>
  <si>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</si>
  <si>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</si>
  <si>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</si>
  <si>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</si>
  <si>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</si>
  <si>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</si>
  <si>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</si>
  <si>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</si>
  <si>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</si>
  <si>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</si>
  <si>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</si>
  <si>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</si>
  <si>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</si>
  <si>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</si>
  <si>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</si>
  <si>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</si>
  <si>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</si>
  <si>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</si>
  <si>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</si>
  <si>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</si>
  <si>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</si>
  <si>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</si>
  <si>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</si>
  <si>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</si>
  <si>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</si>
  <si>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</si>
  <si>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</si>
  <si>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</si>
  <si>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</si>
  <si>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</si>
  <si>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</si>
  <si>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</si>
  <si>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</si>
  <si>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</si>
  <si>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</si>
  <si>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</si>
  <si>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</si>
  <si>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</si>
  <si>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</si>
  <si>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</si>
  <si>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</si>
  <si>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</si>
  <si>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</si>
  <si>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</si>
  <si>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</si>
  <si>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</si>
  <si>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</si>
  <si>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</si>
  <si>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</si>
  <si>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</si>
  <si>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</si>
  <si>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</si>
  <si>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</si>
  <si>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</si>
  <si>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</si>
  <si>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</si>
  <si>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</si>
  <si>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</si>
  <si>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</si>
  <si>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</si>
  <si>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</si>
  <si>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</si>
  <si>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</si>
  <si>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</si>
  <si>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</si>
  <si>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</si>
  <si>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</si>
  <si>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</si>
  <si>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</si>
  <si>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</si>
  <si>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</si>
  <si>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</si>
  <si>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</si>
  <si>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</si>
  <si>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</si>
  <si>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</si>
  <si>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</si>
  <si>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</si>
  <si>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</si>
  <si>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</si>
  <si>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</si>
  <si>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</si>
  <si>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</si>
  <si>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</si>
  <si>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</si>
  <si>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</si>
  <si>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</si>
  <si>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</si>
  <si>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</si>
  <si>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</si>
  <si>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</si>
  <si>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</si>
  <si>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</si>
  <si>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</si>
  <si>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</si>
  <si>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</si>
  <si>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</si>
  <si>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</si>
  <si>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</si>
  <si>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</si>
  <si>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</si>
  <si>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</si>
  <si>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</si>
  <si>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</si>
  <si>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</si>
  <si>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</si>
  <si>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</si>
  <si>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</si>
  <si>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</si>
  <si>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</si>
  <si>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</si>
  <si>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</si>
  <si>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</si>
  <si>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</si>
  <si>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</si>
  <si>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</si>
  <si>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</si>
  <si>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</si>
  <si>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</si>
  <si>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</si>
  <si>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</si>
  <si>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</si>
  <si>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</si>
  <si>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</si>
  <si>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</si>
  <si>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</si>
  <si>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</si>
  <si>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</si>
  <si>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</si>
  <si>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</si>
  <si>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</si>
  <si>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</si>
  <si>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</si>
  <si>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</si>
  <si>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</si>
  <si>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</si>
  <si>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</si>
  <si>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</si>
  <si>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</si>
  <si>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</si>
  <si>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</si>
  <si>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</si>
  <si>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</si>
  <si>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</si>
  <si>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</si>
  <si>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</si>
  <si>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</si>
  <si>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</si>
  <si>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</si>
  <si>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</si>
  <si>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</si>
  <si>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</si>
  <si>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</si>
  <si>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</si>
  <si>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</si>
  <si>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</si>
  <si>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</si>
  <si>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</si>
  <si>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</si>
  <si>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</si>
  <si>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</si>
  <si>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</si>
  <si>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</si>
  <si>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</si>
  <si>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</si>
  <si>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</si>
  <si>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</si>
  <si>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</si>
  <si>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</si>
  <si>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</si>
  <si>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</si>
  <si>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</si>
  <si>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</si>
  <si>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</si>
  <si>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</si>
  <si>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</si>
  <si>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</si>
  <si>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</si>
  <si>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</si>
  <si>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</si>
  <si>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</si>
  <si>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</si>
  <si>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</si>
  <si>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</si>
  <si>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</si>
  <si>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</si>
  <si>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</si>
  <si>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</si>
  <si>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</si>
  <si>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</si>
  <si>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</si>
  <si>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</si>
  <si>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</si>
  <si>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</si>
  <si>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</si>
  <si>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</si>
  <si>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</si>
  <si>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</si>
  <si>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</si>
  <si>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</si>
  <si>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</si>
  <si>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</si>
  <si>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</si>
  <si>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</si>
  <si>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</si>
  <si>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</si>
  <si>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</si>
  <si>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</si>
  <si>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</si>
  <si>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</si>
  <si>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</si>
  <si>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</si>
  <si>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</si>
  <si>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</si>
  <si>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</si>
  <si>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</si>
  <si>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</si>
  <si>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</si>
  <si>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</si>
  <si>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</si>
  <si>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</si>
  <si>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</si>
  <si>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</si>
  <si>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</si>
  <si>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</si>
  <si>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</si>
  <si>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</si>
  <si>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</si>
  <si>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</si>
  <si>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</si>
  <si>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</si>
  <si>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</si>
  <si>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</si>
  <si>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</si>
  <si>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</si>
  <si>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</si>
  <si>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</si>
  <si>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</si>
  <si>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</si>
  <si>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</si>
  <si>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</si>
  <si>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</si>
  <si>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</si>
  <si>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</si>
  <si>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</si>
  <si>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</si>
  <si>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</si>
  <si>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</si>
  <si>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</si>
  <si>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</si>
  <si>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</si>
  <si>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</si>
  <si>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</si>
  <si>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</si>
  <si>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</si>
  <si>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</si>
  <si>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</si>
  <si>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</si>
  <si>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</si>
  <si>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</si>
  <si>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</si>
  <si>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</si>
  <si>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</si>
  <si>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</si>
  <si>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</si>
  <si>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</si>
  <si>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</si>
  <si>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</si>
  <si>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</si>
  <si>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</si>
  <si>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</si>
  <si>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</si>
  <si>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</si>
  <si>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</si>
  <si>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</si>
  <si>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</si>
  <si>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</si>
  <si>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</si>
  <si>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</si>
  <si>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</si>
  <si>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</si>
  <si>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</si>
  <si>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</si>
  <si>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</si>
  <si>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</si>
  <si>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</si>
  <si>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</si>
  <si>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</si>
  <si>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</si>
  <si>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</si>
  <si>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</si>
  <si>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</si>
  <si>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</si>
  <si>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</si>
  <si>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</si>
  <si>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</si>
  <si>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</si>
  <si>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</si>
  <si>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</si>
  <si>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</si>
  <si>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</si>
  <si>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</si>
  <si>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</si>
  <si>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</si>
  <si>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</si>
  <si>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</si>
  <si>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</si>
  <si>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</si>
  <si>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</si>
  <si>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</si>
  <si>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</si>
  <si>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</si>
  <si>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</si>
  <si>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</si>
  <si>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</si>
  <si>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</si>
  <si>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</si>
  <si>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</si>
  <si>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</si>
  <si>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</si>
  <si>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</si>
  <si>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</si>
  <si>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</si>
  <si>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</si>
  <si>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</si>
  <si>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</si>
  <si>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</si>
  <si>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</si>
  <si>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</si>
  <si>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</si>
  <si>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</si>
  <si>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</si>
  <si>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</si>
  <si>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</si>
  <si>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</si>
  <si>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</si>
  <si>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</si>
  <si>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</si>
  <si>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</si>
  <si>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</si>
  <si>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</si>
  <si>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</si>
  <si>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</si>
  <si>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</si>
  <si>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</si>
  <si>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</si>
  <si>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</si>
  <si>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</si>
  <si>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</si>
  <si>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</si>
  <si>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</si>
  <si>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</si>
  <si>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</si>
  <si>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</si>
  <si>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</si>
  <si>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</si>
  <si>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</si>
  <si>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</si>
  <si>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</si>
  <si>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</si>
  <si>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</si>
  <si>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</si>
  <si>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</si>
  <si>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</si>
  <si>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</si>
  <si>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</si>
  <si>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</si>
  <si>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</si>
  <si>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</si>
  <si>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</si>
  <si>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</si>
  <si>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</si>
  <si>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</si>
  <si>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</si>
  <si>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</si>
  <si>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</si>
  <si>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</si>
  <si>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</si>
  <si>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</si>
  <si>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</si>
  <si>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</si>
  <si>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</si>
  <si>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</si>
  <si>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</si>
  <si>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</si>
  <si>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</si>
  <si>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</si>
  <si>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</si>
  <si>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</si>
  <si>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</si>
  <si>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</si>
  <si>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</si>
  <si>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</si>
  <si>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</si>
  <si>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</si>
  <si>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</si>
  <si>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</si>
  <si>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</si>
  <si>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</si>
  <si>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</si>
  <si>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</si>
  <si>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</si>
  <si>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</si>
  <si>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</si>
  <si>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</si>
  <si>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</si>
  <si>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</si>
  <si>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</si>
  <si>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</si>
  <si>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</si>
  <si>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</si>
  <si>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</si>
  <si>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</si>
  <si>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</si>
  <si>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</si>
  <si>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</si>
  <si>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</si>
  <si>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</si>
  <si>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</si>
  <si>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</si>
  <si>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</si>
  <si>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</si>
  <si>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</si>
  <si>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</si>
  <si>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</si>
  <si>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</si>
  <si>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</si>
  <si>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</si>
  <si>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</si>
  <si>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</si>
  <si>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</si>
  <si>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</si>
  <si>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</si>
  <si>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</si>
  <si>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</si>
  <si>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</si>
  <si>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</si>
  <si>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</si>
  <si>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</si>
  <si>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</si>
  <si>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</si>
  <si>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</si>
  <si>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</si>
  <si>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</si>
  <si>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</si>
  <si>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</si>
  <si>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</si>
  <si>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</si>
  <si>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</si>
  <si>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</si>
  <si>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</si>
  <si>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</si>
  <si>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</si>
  <si>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</si>
  <si>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</si>
  <si>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</si>
  <si>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</si>
  <si>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</si>
  <si>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</si>
  <si>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</si>
  <si>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</si>
  <si>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</si>
  <si>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</si>
  <si>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</si>
  <si>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</si>
  <si>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</si>
  <si>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</si>
  <si>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</si>
  <si>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</si>
  <si>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</si>
  <si>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</si>
  <si>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</si>
  <si>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</si>
  <si>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</si>
  <si>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</si>
  <si>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</si>
  <si>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</si>
  <si>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</si>
  <si>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</si>
  <si>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</si>
  <si>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</si>
  <si>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</si>
  <si>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</si>
  <si>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</si>
  <si>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</si>
  <si>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</si>
  <si>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</si>
  <si>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</si>
  <si>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</si>
  <si>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</si>
  <si>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</si>
  <si>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</si>
  <si>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</si>
  <si>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</si>
  <si>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</si>
  <si>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</si>
  <si>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</si>
  <si>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</si>
  <si>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</si>
  <si>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</si>
  <si>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</si>
  <si>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</si>
  <si>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</si>
  <si>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</si>
  <si>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</si>
  <si>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</si>
  <si>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</si>
  <si>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</si>
  <si>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</si>
  <si>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</si>
  <si>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</si>
  <si>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</si>
  <si>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</si>
  <si>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</si>
  <si>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</si>
  <si>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</si>
  <si>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</si>
  <si>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</si>
  <si>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</si>
  <si>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</si>
  <si>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</si>
  <si>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</si>
  <si>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</si>
  <si>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</si>
  <si>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</si>
  <si>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</si>
  <si>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</si>
  <si>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</si>
  <si>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</si>
  <si>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</si>
  <si>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</si>
  <si>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</si>
  <si>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</si>
  <si>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</si>
  <si>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</si>
  <si>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</si>
  <si>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</si>
  <si>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</si>
  <si>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</si>
  <si>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</si>
  <si>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</si>
  <si>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</si>
  <si>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</si>
  <si>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</si>
  <si>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</si>
  <si>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</si>
  <si>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</si>
  <si>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</si>
  <si>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</si>
  <si>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</si>
  <si>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</si>
  <si>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</si>
  <si>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</si>
  <si>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</si>
  <si>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</si>
  <si>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</si>
  <si>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</si>
  <si>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</si>
  <si>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</si>
  <si>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</si>
  <si>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</si>
  <si>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</si>
  <si>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</si>
  <si>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</si>
  <si>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</si>
  <si>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</si>
  <si>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</si>
  <si>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</si>
  <si>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</si>
  <si>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</si>
  <si>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</si>
  <si>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</si>
  <si>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</si>
  <si>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</si>
  <si>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</si>
  <si>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</si>
  <si>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</si>
  <si>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</si>
  <si>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</si>
  <si>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</si>
  <si>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</si>
  <si>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</si>
  <si>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</si>
  <si>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</si>
  <si>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</si>
  <si>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</si>
  <si>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</si>
  <si>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</si>
  <si>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</si>
  <si>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</si>
  <si>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</si>
  <si>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</si>
  <si>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</si>
  <si>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</si>
  <si>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</si>
  <si>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</si>
  <si>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</si>
  <si>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</si>
  <si>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</si>
  <si>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</si>
  <si>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</si>
  <si>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</si>
  <si>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</si>
  <si>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</si>
  <si>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</si>
  <si>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</si>
  <si>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</si>
  <si>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</si>
  <si>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</si>
  <si>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</si>
  <si>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</si>
  <si>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</si>
  <si>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</si>
  <si>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</si>
  <si>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</si>
  <si>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</si>
  <si>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</si>
  <si>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</si>
  <si>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</si>
  <si>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</si>
  <si>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</si>
  <si>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</si>
  <si>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</si>
  <si>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</si>
  <si>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</si>
  <si>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</si>
  <si>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</si>
  <si>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</si>
  <si>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</si>
  <si>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</si>
  <si>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</si>
  <si>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</si>
  <si>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</si>
  <si>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</si>
  <si>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</si>
  <si>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</si>
  <si>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</si>
  <si>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</si>
  <si>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</si>
  <si>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</si>
  <si>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</si>
  <si>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</si>
  <si>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</si>
  <si>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</si>
  <si>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</si>
  <si>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</si>
  <si>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</si>
  <si>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</si>
  <si>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</si>
  <si>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</si>
  <si>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</si>
  <si>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</si>
  <si>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</si>
  <si>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</si>
  <si>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</si>
  <si>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</si>
  <si>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</si>
  <si>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</si>
  <si>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</si>
  <si>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</si>
  <si>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</si>
  <si>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</si>
  <si>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</si>
  <si>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</si>
  <si>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</si>
  <si>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</si>
  <si>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</si>
  <si>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</si>
  <si>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</si>
  <si>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</si>
  <si>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</si>
  <si>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</si>
  <si>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</si>
  <si>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</si>
  <si>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</si>
  <si>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</si>
  <si>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</si>
  <si>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</si>
  <si>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</si>
  <si>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</si>
  <si>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</si>
  <si>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</si>
  <si>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</si>
  <si>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</si>
  <si>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</si>
  <si>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</si>
  <si>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</si>
  <si>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</si>
  <si>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</si>
  <si>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</si>
  <si>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</si>
  <si>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</si>
  <si>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</si>
  <si>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</si>
  <si>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</si>
  <si>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</si>
  <si>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</si>
  <si>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</si>
  <si>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</si>
  <si>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</si>
  <si>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</si>
  <si>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</si>
  <si>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</si>
  <si>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</si>
  <si>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</si>
  <si>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</si>
  <si>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</si>
  <si>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</si>
  <si>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</si>
  <si>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</si>
  <si>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</si>
  <si>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</si>
  <si>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</si>
  <si>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</si>
  <si>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</si>
  <si>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</si>
  <si>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</si>
  <si>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</si>
  <si>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</si>
  <si>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</si>
  <si>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</si>
  <si>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</si>
  <si>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</si>
  <si>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</si>
  <si>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</si>
  <si>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</si>
  <si>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</si>
  <si>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</si>
  <si>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</si>
  <si>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</si>
  <si>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</si>
  <si>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</si>
  <si>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</si>
  <si>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</si>
  <si>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</si>
  <si>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</si>
  <si>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</si>
  <si>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</si>
  <si>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</si>
  <si>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</si>
  <si>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</si>
  <si>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</si>
  <si>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</si>
  <si>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</si>
  <si>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</si>
  <si>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</si>
  <si>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</si>
  <si>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</si>
  <si>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</si>
  <si>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</si>
  <si>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</si>
  <si>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</si>
  <si>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</si>
  <si>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</si>
  <si>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</si>
  <si>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</si>
  <si>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</si>
  <si>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</si>
  <si>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</si>
  <si>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</si>
  <si>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</si>
  <si>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</si>
  <si>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</si>
  <si>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</si>
  <si>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</si>
  <si>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</si>
  <si>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</si>
  <si>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</si>
  <si>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</si>
  <si>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</si>
  <si>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</si>
  <si>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</si>
  <si>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</si>
  <si>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</si>
  <si>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</si>
  <si>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</si>
  <si>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</si>
  <si>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</si>
  <si>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</si>
  <si>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</si>
  <si>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</si>
  <si>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</si>
  <si>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</si>
  <si>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</si>
  <si>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</si>
  <si>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</si>
  <si>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</si>
  <si>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</si>
  <si>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</si>
  <si>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</si>
  <si>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</si>
  <si>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</si>
  <si>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</si>
  <si>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</si>
  <si>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</si>
  <si>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</si>
  <si>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</si>
  <si>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</si>
  <si>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</si>
  <si>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</si>
  <si>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</si>
  <si>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</si>
  <si>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</si>
  <si>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</si>
  <si>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</si>
  <si>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</si>
  <si>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</si>
  <si>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</si>
  <si>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</si>
  <si>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</si>
  <si>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</si>
  <si>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</si>
  <si>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</si>
  <si>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</si>
  <si>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</si>
  <si>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</si>
  <si>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</si>
  <si>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</si>
  <si>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</si>
  <si>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</si>
  <si>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</si>
  <si>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</si>
  <si>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</si>
  <si>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</si>
  <si>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</si>
  <si>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</si>
  <si>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</si>
  <si>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</si>
  <si>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</si>
  <si>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</si>
  <si>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</si>
  <si>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</si>
  <si>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</si>
  <si>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</si>
  <si>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</si>
  <si>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</si>
  <si>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</si>
  <si>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</si>
  <si>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</si>
  <si>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</si>
  <si>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</si>
  <si>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</si>
  <si>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</si>
  <si>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</si>
  <si>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</si>
  <si>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</si>
  <si>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</si>
  <si>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</si>
  <si>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</si>
  <si>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</si>
  <si>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</si>
  <si>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</si>
  <si>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</si>
  <si>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</si>
  <si>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</si>
  <si>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</si>
  <si>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</si>
  <si>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</si>
  <si>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</si>
  <si>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</si>
  <si>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</si>
  <si>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</si>
  <si>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</si>
  <si>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</si>
  <si>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</si>
  <si>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</si>
  <si>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</si>
  <si>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</si>
  <si>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</si>
  <si>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</si>
  <si>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</si>
  <si>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</si>
  <si>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</si>
  <si>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</si>
  <si>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</si>
  <si>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</si>
  <si>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</si>
  <si>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</si>
  <si>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</si>
  <si>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</si>
  <si>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</si>
  <si>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</si>
  <si>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</si>
  <si>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</si>
  <si>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</si>
  <si>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</si>
  <si>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</si>
  <si>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</si>
  <si>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</si>
  <si>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</si>
  <si>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</si>
  <si>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</si>
  <si>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</si>
  <si>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</si>
  <si>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</si>
  <si>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</si>
  <si>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</si>
  <si>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</si>
  <si>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</si>
  <si>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</si>
  <si>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</si>
  <si>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</si>
  <si>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</si>
  <si>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</si>
  <si>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</si>
  <si>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</si>
  <si>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</si>
  <si>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</si>
  <si>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</si>
  <si>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</si>
  <si>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</si>
  <si>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</si>
  <si>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</si>
  <si>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</si>
  <si>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</si>
  <si>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</si>
  <si>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</si>
  <si>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</si>
  <si>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</si>
  <si>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</si>
  <si>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</si>
  <si>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</si>
  <si>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</si>
  <si>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</si>
  <si>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</si>
  <si>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</si>
  <si>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</si>
  <si>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</si>
  <si>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</si>
  <si>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</si>
  <si>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</si>
  <si>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</si>
  <si>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</si>
  <si>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</si>
  <si>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</si>
  <si>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</si>
  <si>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</si>
  <si>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</si>
  <si>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</si>
  <si>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</si>
  <si>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</si>
  <si>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</si>
  <si>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</si>
  <si>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</si>
  <si>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</si>
  <si>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</si>
  <si>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</si>
  <si>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</si>
  <si>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</si>
  <si>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</si>
  <si>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</si>
  <si>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</si>
  <si>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</si>
  <si>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</si>
  <si>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</si>
  <si>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</si>
  <si>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</si>
  <si>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</si>
  <si>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</si>
  <si>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</si>
  <si>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</si>
  <si>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</si>
  <si>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</si>
  <si>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</si>
  <si>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</si>
  <si>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</si>
  <si>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</si>
  <si>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</si>
  <si>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</si>
  <si>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</si>
  <si>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</si>
  <si>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</si>
  <si>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</si>
  <si>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</si>
  <si>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</si>
  <si>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</si>
  <si>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</si>
  <si>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</si>
  <si>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</si>
  <si>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</si>
  <si>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</si>
  <si>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</si>
  <si>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</si>
  <si>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</si>
  <si>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</si>
  <si>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</si>
  <si>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</si>
  <si>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</si>
  <si>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</si>
  <si>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</si>
  <si>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</si>
  <si>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</si>
  <si>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</si>
  <si>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</si>
  <si>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</si>
  <si>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</si>
  <si>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</si>
  <si>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</si>
  <si>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</si>
  <si>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</si>
  <si>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</si>
  <si>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</si>
  <si>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</si>
  <si>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</si>
  <si>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</si>
  <si>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</si>
  <si>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</si>
  <si>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</si>
  <si>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</si>
  <si>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</si>
  <si>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</si>
  <si>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</si>
  <si>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</si>
  <si>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</si>
  <si>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</si>
  <si>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</si>
  <si>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</si>
  <si>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</si>
  <si>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</si>
  <si>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</si>
  <si>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</si>
  <si>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</si>
  <si>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</si>
  <si>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</si>
  <si>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</si>
  <si>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</si>
  <si>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</si>
  <si>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</si>
  <si>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</si>
  <si>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</si>
  <si>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</si>
  <si>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</si>
  <si>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</si>
  <si>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</si>
  <si>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</si>
  <si>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</si>
  <si>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</si>
  <si>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</si>
  <si>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</si>
  <si>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</si>
  <si>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</si>
  <si>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</si>
  <si>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</si>
  <si>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</si>
  <si>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</si>
  <si>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</si>
  <si>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</si>
  <si>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</si>
  <si>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</si>
  <si>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</si>
  <si>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</si>
  <si>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</si>
  <si>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</si>
  <si>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</si>
  <si>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</si>
  <si>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</si>
  <si>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</si>
  <si>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</si>
  <si>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</si>
  <si>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</si>
  <si>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</si>
  <si>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</si>
  <si>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</si>
  <si>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</si>
  <si>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</si>
  <si>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</si>
  <si>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</si>
  <si>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</si>
  <si>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</si>
  <si>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</si>
  <si>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</si>
  <si>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</si>
  <si>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</si>
  <si>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</si>
  <si>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</si>
  <si>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</si>
  <si>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</si>
  <si>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</si>
  <si>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</si>
  <si>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</si>
  <si>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</si>
  <si>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</si>
  <si>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</si>
  <si>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</si>
  <si>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</si>
  <si>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</si>
  <si>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</si>
  <si>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</si>
  <si>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</si>
  <si>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</si>
  <si>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</si>
  <si>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</si>
  <si>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</si>
  <si>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</si>
  <si>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</si>
  <si>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</si>
  <si>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</si>
  <si>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</si>
  <si>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</si>
  <si>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</si>
  <si>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</si>
  <si>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</si>
  <si>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</si>
  <si>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</si>
  <si>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</si>
  <si>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</si>
  <si>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</si>
  <si>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</si>
  <si>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</si>
  <si>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</si>
  <si>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</si>
  <si>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</si>
  <si>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</si>
  <si>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</si>
  <si>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</si>
  <si>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</si>
  <si>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</si>
  <si>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</si>
  <si>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</si>
  <si>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</si>
  <si>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</si>
  <si>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</si>
  <si>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</si>
  <si>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</si>
  <si>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</si>
  <si>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</si>
  <si>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</si>
  <si>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</si>
  <si>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</si>
  <si>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</si>
  <si>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</si>
  <si>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</si>
  <si>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</si>
  <si>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</si>
  <si>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</si>
  <si>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</si>
  <si>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</si>
  <si>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</si>
  <si>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</si>
  <si>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</si>
  <si>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</si>
  <si>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</si>
  <si>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</si>
  <si>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</si>
  <si>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</si>
  <si>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</si>
  <si>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</si>
  <si>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</si>
  <si>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</si>
  <si>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</si>
  <si>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</si>
  <si>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</si>
  <si>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</si>
  <si>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</si>
  <si>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</si>
  <si>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</si>
  <si>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</si>
  <si>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</si>
  <si>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</si>
  <si>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</si>
  <si>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</si>
  <si>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</si>
  <si>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</si>
  <si>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</si>
  <si>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</si>
  <si>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</si>
  <si>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</si>
  <si>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</si>
  <si>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</si>
  <si>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</si>
  <si>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</si>
  <si>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</si>
  <si>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</si>
  <si>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</si>
  <si>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</si>
  <si>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</si>
  <si>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</si>
  <si>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</si>
  <si>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</si>
  <si>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</si>
  <si>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</si>
  <si>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</si>
  <si>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</si>
  <si>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</si>
  <si>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</si>
  <si>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</si>
  <si>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</si>
  <si>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</si>
  <si>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</si>
  <si>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</si>
  <si>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</si>
  <si>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</si>
  <si>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</si>
  <si>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</si>
  <si>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</si>
  <si>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</si>
  <si>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</si>
  <si>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</si>
  <si>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</si>
  <si>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</si>
  <si>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</si>
  <si>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</si>
  <si>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</si>
  <si>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</si>
  <si>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</si>
  <si>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</si>
  <si>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</si>
  <si>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</si>
  <si>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</si>
  <si>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</si>
  <si>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</si>
  <si>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</si>
  <si>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</si>
  <si>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</si>
  <si>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</si>
  <si>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</si>
  <si>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</si>
  <si>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</si>
  <si>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</si>
  <si>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</si>
  <si>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</si>
  <si>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</si>
  <si>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</si>
  <si>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</si>
  <si>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</si>
  <si>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</si>
  <si>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</si>
  <si>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</si>
  <si>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</si>
  <si>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</si>
  <si>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</si>
  <si>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</si>
  <si>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</si>
  <si>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</si>
  <si>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</si>
  <si>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</si>
  <si>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</si>
  <si>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</si>
  <si>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</si>
  <si>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</si>
  <si>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</si>
  <si>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</si>
  <si>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</si>
  <si>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</si>
  <si>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</si>
  <si>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</si>
  <si>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</si>
  <si>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</si>
  <si>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</si>
  <si>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</si>
  <si>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</si>
  <si>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</si>
  <si>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</si>
  <si>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</si>
  <si>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</si>
  <si>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</si>
  <si>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</si>
  <si>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</si>
  <si>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</si>
  <si>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</si>
  <si>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</si>
  <si>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</si>
  <si>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</si>
  <si>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</si>
  <si>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</si>
  <si>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</si>
  <si>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</si>
  <si>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</si>
  <si>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</si>
  <si>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</si>
  <si>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</si>
  <si>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</si>
  <si>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</si>
  <si>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</si>
  <si>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</si>
  <si>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</si>
  <si>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</si>
  <si>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</si>
  <si>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</si>
  <si>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</si>
  <si>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</si>
  <si>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</si>
  <si>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</si>
  <si>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</si>
  <si>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</si>
  <si>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</si>
  <si>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</si>
  <si>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</si>
  <si>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</si>
  <si>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</si>
  <si>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</si>
  <si>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</si>
  <si>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</si>
  <si>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</si>
  <si>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</si>
  <si>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</si>
  <si>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</si>
  <si>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</si>
  <si>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</si>
  <si>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</si>
  <si>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</si>
  <si>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</si>
  <si>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</si>
  <si>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</si>
  <si>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</si>
  <si>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</si>
  <si>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</si>
  <si>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</si>
  <si>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</si>
  <si>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</si>
  <si>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</si>
  <si>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</si>
  <si>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</si>
  <si>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</si>
  <si>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</si>
  <si>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</si>
  <si>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</si>
  <si>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</si>
  <si>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</si>
  <si>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</si>
  <si>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</si>
  <si>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</si>
  <si>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</si>
  <si>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</si>
  <si>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</si>
  <si>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</si>
  <si>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</si>
  <si>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</si>
  <si>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</si>
  <si>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</si>
  <si>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</si>
  <si>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</si>
  <si>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</si>
  <si>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</si>
  <si>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</si>
  <si>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</si>
  <si>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</si>
  <si>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</si>
  <si>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</si>
  <si>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</si>
  <si>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</si>
  <si>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</si>
  <si>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</si>
  <si>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</si>
  <si>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</si>
  <si>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</si>
  <si>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</si>
  <si>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</si>
  <si>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</si>
  <si>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</si>
  <si>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</si>
  <si>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</si>
  <si>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</si>
  <si>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</si>
  <si>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</si>
  <si>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</si>
  <si>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</si>
  <si>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</si>
  <si>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</si>
  <si>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</si>
  <si>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</si>
  <si>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</si>
  <si>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</si>
  <si>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</si>
  <si>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</si>
  <si>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</si>
  <si>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</si>
  <si>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</si>
  <si>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</si>
  <si>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</si>
  <si>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</si>
  <si>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</si>
  <si>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</si>
  <si>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</si>
  <si>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</si>
  <si>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</si>
  <si>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</si>
  <si>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</si>
  <si>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</si>
  <si>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</si>
  <si>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</si>
  <si>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</si>
  <si>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</si>
  <si>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</si>
  <si>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</si>
  <si>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</si>
  <si>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</si>
  <si>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</si>
  <si>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</si>
  <si>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</si>
  <si>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</si>
  <si>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</si>
  <si>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</si>
  <si>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</si>
  <si>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</si>
  <si>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</si>
  <si>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</si>
  <si>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</si>
  <si>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</si>
  <si>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</si>
  <si>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</si>
  <si>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</si>
  <si>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</si>
  <si>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</si>
  <si>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</si>
  <si>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</si>
  <si>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</si>
  <si>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</si>
  <si>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</si>
  <si>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</si>
  <si>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</si>
  <si>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</si>
  <si>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</si>
  <si>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</si>
  <si>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</si>
  <si>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</si>
  <si>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</si>
  <si>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</si>
  <si>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</si>
  <si>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</si>
  <si>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</si>
  <si>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</si>
  <si>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</si>
  <si>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</si>
  <si>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</si>
  <si>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</si>
  <si>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</si>
  <si>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</si>
  <si>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</si>
  <si>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</si>
  <si>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</si>
  <si>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</si>
  <si>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</si>
  <si>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</si>
  <si>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</si>
  <si>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</si>
  <si>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</si>
  <si>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</si>
  <si>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</si>
  <si>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</si>
  <si>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</si>
  <si>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</si>
  <si>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</si>
  <si>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</si>
  <si>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</si>
  <si>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</si>
  <si>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</si>
  <si>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</si>
  <si>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</si>
  <si>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</si>
  <si>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</si>
  <si>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</si>
  <si>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</si>
  <si>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</si>
  <si>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</si>
  <si>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</si>
  <si>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</si>
  <si>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</si>
  <si>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</si>
  <si>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</si>
  <si>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</si>
  <si>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</si>
  <si>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</si>
  <si>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</si>
  <si>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</si>
  <si>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</si>
  <si>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</si>
  <si>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</si>
  <si>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</si>
  <si>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</si>
  <si>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</si>
  <si>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</si>
  <si>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</si>
  <si>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</si>
  <si>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</si>
  <si>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</si>
  <si>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</si>
  <si>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</si>
  <si>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</si>
  <si>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</si>
  <si>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</si>
  <si>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</si>
  <si>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</si>
  <si>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</si>
  <si>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</si>
  <si>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</si>
  <si>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</si>
  <si>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</si>
  <si>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</si>
  <si>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</si>
  <si>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</si>
  <si>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</si>
  <si>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</si>
  <si>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</si>
  <si>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</si>
  <si>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</si>
  <si>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</si>
  <si>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</si>
  <si>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</si>
  <si>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</si>
  <si>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</si>
  <si>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</si>
  <si>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</si>
  <si>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</si>
  <si>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</si>
  <si>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</si>
  <si>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</si>
  <si>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</si>
  <si>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</si>
  <si>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</si>
  <si>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</si>
  <si>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</si>
  <si>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</si>
  <si>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</si>
  <si>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</si>
  <si>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</si>
  <si>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</si>
  <si>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</si>
  <si>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</si>
  <si>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</si>
  <si>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</si>
  <si>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</si>
  <si>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</si>
  <si>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</si>
  <si>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</si>
  <si>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</si>
  <si>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</si>
  <si>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</si>
  <si>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</si>
  <si>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</si>
  <si>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</si>
  <si>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</si>
  <si>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</si>
  <si>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</si>
  <si>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</si>
  <si>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</si>
  <si>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</si>
  <si>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</si>
  <si>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</si>
  <si>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</si>
  <si>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</si>
  <si>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</si>
  <si>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</si>
  <si>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</si>
  <si>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</si>
  <si>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</si>
  <si>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</si>
  <si>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</si>
  <si>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</si>
  <si>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</si>
  <si>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</si>
  <si>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</si>
  <si>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</si>
  <si>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</si>
  <si>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</si>
  <si>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</si>
  <si>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</si>
  <si>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</si>
  <si>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</si>
  <si>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</si>
  <si>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</si>
  <si>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</si>
  <si>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</si>
  <si>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</si>
  <si>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</si>
  <si>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</si>
  <si>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</si>
  <si>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</si>
  <si>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</si>
  <si>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</si>
  <si>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</si>
  <si>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</si>
  <si>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</si>
  <si>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</si>
  <si>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</si>
  <si>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</si>
  <si>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</si>
  <si>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</si>
  <si>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</si>
  <si>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</si>
  <si>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</si>
  <si>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</si>
  <si>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</si>
  <si>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</si>
  <si>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</si>
  <si>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</si>
  <si>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</si>
  <si>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</si>
  <si>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</si>
  <si>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</si>
  <si>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</si>
  <si>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</si>
  <si>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</si>
  <si>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</si>
  <si>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</si>
  <si>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</si>
  <si>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</si>
  <si>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</si>
  <si>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</si>
  <si>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</si>
  <si>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</si>
  <si>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</si>
  <si>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</si>
  <si>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</si>
  <si>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</si>
  <si>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</si>
  <si>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</si>
  <si>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</si>
  <si>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</si>
  <si>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</si>
  <si>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</si>
  <si>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</si>
  <si>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</si>
  <si>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</si>
  <si>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</si>
  <si>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</si>
  <si>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</si>
  <si>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</si>
  <si>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</si>
  <si>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</si>
  <si>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</si>
  <si>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</si>
  <si>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</si>
  <si>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</si>
  <si>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</si>
  <si>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</si>
  <si>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</si>
  <si>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</si>
  <si>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</si>
  <si>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</si>
  <si>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</si>
  <si>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</si>
  <si>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</si>
  <si>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</si>
  <si>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</si>
  <si>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</si>
  <si>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</si>
  <si>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</si>
  <si>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</si>
  <si>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</si>
  <si>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</si>
  <si>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</si>
  <si>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</si>
  <si>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</si>
  <si>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</si>
  <si>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</si>
  <si>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</si>
  <si>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</si>
  <si>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</si>
  <si>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</si>
  <si>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</si>
  <si>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</si>
  <si>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</si>
  <si>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</si>
  <si>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</si>
  <si>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</si>
  <si>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</si>
  <si>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</si>
  <si>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</si>
  <si>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</si>
  <si>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</si>
  <si>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</si>
  <si>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</si>
  <si>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</si>
  <si>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</si>
  <si>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</si>
  <si>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</si>
  <si>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</si>
  <si>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</si>
  <si>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</si>
  <si>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</si>
  <si>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</si>
  <si>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</si>
  <si>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</si>
  <si>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</si>
  <si>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</si>
  <si>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</si>
  <si>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</si>
  <si>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</si>
  <si>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</si>
  <si>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</si>
  <si>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</si>
  <si>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</si>
  <si>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</si>
  <si>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</si>
  <si>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</si>
  <si>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</si>
  <si>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</si>
  <si>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</si>
  <si>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</si>
  <si>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</si>
  <si>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</si>
  <si>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</si>
  <si>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</si>
  <si>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</si>
  <si>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</si>
  <si>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</si>
  <si>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</si>
  <si>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</si>
  <si>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</si>
  <si>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</si>
  <si>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</si>
  <si>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</si>
  <si>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</si>
  <si>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</si>
  <si>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</si>
  <si>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</si>
  <si>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</si>
  <si>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</si>
  <si>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</si>
  <si>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</si>
  <si>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</si>
  <si>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</si>
  <si>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</si>
  <si>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</si>
  <si>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</si>
  <si>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</si>
  <si>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</si>
  <si>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</si>
  <si>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</si>
  <si>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</si>
  <si>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</si>
  <si>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</si>
  <si>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</si>
  <si>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</si>
  <si>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</si>
  <si>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</si>
  <si>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</si>
  <si>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</si>
  <si>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</si>
  <si>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</si>
  <si>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</si>
  <si>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</si>
  <si>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</si>
  <si>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</si>
  <si>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</si>
  <si>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</si>
  <si>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</si>
  <si>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</si>
  <si>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</si>
  <si>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</si>
  <si>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</si>
  <si>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</si>
  <si>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</si>
  <si>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</si>
  <si>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</si>
  <si>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</si>
  <si>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</si>
  <si>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</si>
  <si>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</si>
  <si>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</si>
  <si>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</si>
  <si>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</si>
  <si>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</si>
  <si>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</si>
  <si>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</si>
  <si>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</si>
  <si>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</si>
  <si>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</si>
  <si>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</si>
  <si>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</si>
  <si>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</si>
  <si>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</si>
  <si>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</si>
  <si>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</si>
  <si>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</si>
  <si>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</si>
  <si>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</si>
  <si>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</si>
  <si>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</si>
  <si>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</si>
  <si>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</si>
  <si>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</si>
  <si>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</si>
  <si>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</si>
  <si>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</si>
  <si>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</si>
  <si>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</si>
  <si>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</si>
  <si>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</si>
  <si>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</si>
  <si>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</si>
  <si>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</si>
  <si>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</si>
  <si>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</si>
  <si>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</si>
  <si>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</si>
  <si>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</si>
  <si>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</si>
  <si>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</si>
  <si>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</si>
  <si>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</si>
  <si>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</si>
  <si>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</si>
  <si>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</si>
  <si>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</si>
  <si>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</si>
  <si>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</si>
  <si>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</si>
  <si>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</si>
  <si>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</si>
  <si>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</si>
  <si>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</si>
  <si>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</si>
  <si>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</si>
  <si>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</si>
  <si>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</si>
  <si>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</si>
  <si>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</si>
  <si>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</si>
  <si>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</si>
  <si>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</si>
  <si>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</si>
  <si>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</si>
  <si>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</si>
  <si>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</si>
  <si>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</si>
  <si>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</si>
  <si>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</si>
  <si>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</si>
  <si>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</si>
  <si>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</si>
  <si>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</si>
  <si>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</si>
  <si>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</si>
  <si>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</si>
  <si>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</si>
  <si>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</si>
  <si>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</si>
  <si>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</si>
  <si>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</si>
  <si>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</si>
  <si>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</si>
  <si>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</si>
  <si>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</si>
  <si>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</si>
  <si>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</si>
  <si>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</si>
  <si>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</si>
  <si>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</si>
  <si>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</si>
  <si>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</si>
  <si>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</si>
  <si>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</si>
  <si>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</si>
  <si>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</si>
  <si>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</si>
  <si>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</si>
  <si>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</si>
  <si>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</si>
  <si>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</si>
  <si>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</si>
  <si>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</si>
  <si>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</si>
  <si>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</si>
  <si>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</si>
  <si>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</si>
  <si>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</si>
  <si>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</si>
  <si>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</si>
  <si>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</si>
  <si>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</si>
  <si>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</si>
  <si>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</si>
  <si>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</si>
  <si>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</si>
  <si>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</si>
  <si>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</si>
  <si>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</si>
  <si>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</si>
  <si>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</si>
  <si>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</si>
  <si>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</si>
  <si>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</si>
  <si>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</si>
  <si>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</si>
  <si>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</si>
  <si>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</si>
  <si>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</si>
  <si>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</si>
  <si>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</si>
  <si>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</si>
  <si>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</si>
  <si>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</si>
  <si>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</si>
  <si>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</si>
  <si>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</si>
  <si>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</si>
  <si>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</si>
  <si>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</si>
  <si>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</si>
  <si>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</si>
  <si>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</si>
  <si>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</si>
  <si>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</si>
  <si>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</si>
  <si>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</si>
  <si>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</si>
  <si>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</si>
  <si>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</si>
  <si>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</si>
  <si>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</si>
  <si>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</si>
  <si>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</si>
  <si>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</si>
  <si>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</si>
  <si>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</si>
  <si>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</si>
  <si>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</si>
  <si>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</si>
  <si>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</si>
  <si>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</si>
  <si>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</si>
  <si>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</si>
  <si>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</si>
  <si>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</si>
  <si>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</si>
  <si>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</si>
  <si>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</si>
  <si>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</si>
  <si>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</si>
  <si>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</si>
  <si>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</si>
  <si>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</si>
  <si>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</si>
  <si>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</si>
  <si>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</si>
  <si>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</si>
  <si>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</si>
  <si>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</si>
  <si>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</si>
  <si>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</si>
  <si>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</si>
  <si>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</si>
  <si>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</si>
  <si>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</si>
  <si>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</si>
  <si>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</si>
  <si>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</si>
  <si>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</si>
  <si>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</si>
  <si>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</si>
  <si>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</si>
  <si>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</si>
  <si>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</si>
  <si>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</si>
  <si>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</si>
  <si>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</si>
  <si>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</si>
  <si>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</si>
  <si>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</si>
  <si>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</si>
  <si>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</si>
  <si>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</si>
  <si>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</si>
  <si>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</si>
  <si>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</si>
  <si>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</si>
  <si>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</si>
  <si>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</si>
  <si>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</si>
  <si>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</si>
  <si>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</si>
  <si>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</si>
  <si>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</si>
  <si>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</si>
  <si>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</si>
  <si>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</si>
  <si>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</si>
  <si>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</si>
  <si>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</si>
  <si>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</si>
  <si>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</si>
  <si>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</si>
  <si>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</si>
  <si>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</si>
  <si>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</si>
  <si>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</si>
  <si>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</si>
  <si>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</si>
  <si>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</si>
  <si>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</si>
  <si>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</si>
  <si>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</si>
  <si>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</si>
  <si>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</si>
  <si>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</si>
  <si>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</si>
  <si>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</si>
  <si>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</si>
  <si>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</si>
  <si>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</si>
  <si>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</si>
  <si>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</si>
  <si>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</si>
  <si>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</si>
  <si>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</si>
  <si>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</si>
  <si>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</si>
  <si>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</si>
  <si>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</si>
  <si>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</si>
  <si>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</si>
  <si>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</si>
  <si>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</si>
  <si>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</si>
  <si>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</si>
  <si>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</si>
  <si>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</si>
  <si>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</si>
  <si>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</si>
  <si>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</si>
  <si>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</si>
  <si>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</si>
  <si>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</si>
  <si>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</si>
  <si>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</si>
  <si>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</si>
  <si>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</si>
  <si>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</si>
  <si>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</si>
  <si>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</si>
  <si>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</si>
  <si>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</si>
  <si>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</si>
  <si>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</si>
  <si>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</si>
  <si>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</si>
  <si>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</si>
  <si>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</si>
  <si>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</si>
  <si>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</si>
  <si>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</si>
  <si>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</si>
  <si>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</si>
  <si>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</si>
  <si>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</si>
  <si>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</si>
  <si>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</si>
  <si>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</si>
  <si>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</si>
  <si>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</si>
  <si>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</si>
  <si>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</si>
  <si>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</si>
  <si>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</si>
  <si>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</si>
  <si>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</si>
  <si>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</si>
  <si>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</si>
  <si>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</si>
  <si>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</si>
  <si>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</si>
  <si>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</si>
  <si>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</si>
  <si>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</si>
  <si>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</si>
  <si>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</si>
  <si>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</si>
  <si>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</si>
  <si>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</si>
  <si>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</si>
  <si>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</si>
  <si>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</si>
  <si>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</si>
  <si>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</si>
  <si>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</si>
  <si>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</si>
  <si>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</si>
  <si>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</si>
  <si>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</si>
  <si>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</si>
  <si>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</si>
  <si>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</si>
  <si>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</si>
  <si>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</si>
  <si>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</si>
  <si>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</si>
  <si>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</si>
  <si>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</si>
  <si>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</si>
  <si>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</si>
  <si>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</si>
  <si>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</si>
  <si>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</si>
  <si>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</si>
  <si>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</si>
  <si>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</si>
  <si>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</si>
  <si>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</si>
  <si>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</si>
  <si>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</si>
  <si>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</si>
  <si>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</si>
  <si>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</si>
  <si>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</si>
  <si>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</si>
  <si>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</si>
  <si>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</si>
  <si>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</si>
  <si>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</si>
  <si>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</si>
  <si>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</si>
  <si>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</si>
  <si>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</si>
  <si>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</si>
  <si>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</si>
  <si>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</si>
  <si>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</si>
  <si>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</si>
  <si>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</si>
  <si>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</si>
  <si>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</si>
  <si>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</si>
  <si>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</si>
  <si>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</si>
  <si>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</si>
  <si>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</si>
  <si>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</si>
  <si>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</si>
  <si>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</si>
  <si>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</si>
  <si>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</si>
  <si>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</si>
  <si>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</si>
  <si>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</si>
  <si>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</si>
  <si>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</si>
  <si>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</si>
  <si>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</si>
  <si>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</si>
  <si>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</si>
  <si>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</si>
  <si>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</si>
  <si>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</si>
  <si>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</si>
  <si>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</si>
  <si>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</si>
  <si>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</si>
  <si>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</si>
  <si>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</si>
  <si>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</si>
  <si>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</si>
  <si>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</si>
  <si>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</si>
  <si>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</si>
  <si>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</si>
  <si>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</si>
  <si>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</si>
  <si>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</si>
  <si>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</si>
  <si>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</si>
  <si>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</si>
  <si>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</si>
  <si>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</si>
  <si>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</si>
  <si>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</si>
  <si>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</si>
  <si>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</si>
  <si>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</si>
  <si>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</si>
  <si>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</si>
  <si>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</si>
  <si>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</si>
  <si>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</si>
  <si>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</si>
  <si>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</si>
  <si>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</si>
  <si>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</si>
  <si>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</si>
  <si>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</si>
  <si>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</si>
  <si>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</si>
  <si>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</si>
  <si>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</si>
  <si>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</si>
  <si>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</si>
  <si>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</si>
  <si>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</si>
  <si>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</si>
  <si>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</si>
  <si>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</si>
  <si>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</si>
  <si>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</si>
  <si>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</si>
  <si>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</si>
  <si>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</si>
  <si>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</si>
  <si>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浙江省</t>
    <phoneticPr fontId="6" type="noConversion"/>
  </si>
  <si>
    <t>企业</t>
  </si>
  <si>
    <t>出让</t>
  </si>
  <si>
    <t>通路</t>
  </si>
  <si>
    <t>通电</t>
  </si>
  <si>
    <t>通讯</t>
  </si>
  <si>
    <t>通上水</t>
  </si>
  <si>
    <t>通下水</t>
  </si>
  <si>
    <t>在建</t>
  </si>
  <si>
    <t>居住项目</t>
  </si>
  <si>
    <t>《不动产权证书》</t>
  </si>
  <si>
    <t>复印件</t>
  </si>
  <si>
    <t>外贸信托</t>
    <phoneticPr fontId="6" type="noConversion"/>
  </si>
  <si>
    <t>是</t>
  </si>
  <si>
    <t>地上</t>
  </si>
  <si>
    <t>住宅</t>
  </si>
  <si>
    <t>平层住宅</t>
  </si>
  <si>
    <t>住宅</t>
    <phoneticPr fontId="25" type="noConversion"/>
  </si>
  <si>
    <t>洋房</t>
  </si>
  <si>
    <t>洋房</t>
    <phoneticPr fontId="25" type="noConversion"/>
  </si>
  <si>
    <t>小高层</t>
    <phoneticPr fontId="25" type="noConversion"/>
  </si>
  <si>
    <t>高层</t>
  </si>
  <si>
    <t>高层</t>
    <phoneticPr fontId="25" type="noConversion"/>
  </si>
  <si>
    <t>精装</t>
  </si>
  <si>
    <t>精装</t>
    <phoneticPr fontId="25" type="noConversion"/>
  </si>
  <si>
    <t>普装</t>
    <phoneticPr fontId="25" type="noConversion"/>
  </si>
  <si>
    <t>简装</t>
    <phoneticPr fontId="25" type="noConversion"/>
  </si>
  <si>
    <t>毛坯</t>
    <phoneticPr fontId="25" type="noConversion"/>
  </si>
  <si>
    <t>60-70（含）</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</si>
  <si>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</si>
  <si>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</si>
  <si>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</si>
  <si>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</si>
  <si>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</si>
  <si>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</si>
  <si>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</si>
  <si>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</si>
  <si>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</si>
  <si>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</si>
  <si>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</si>
  <si>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</si>
  <si>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</si>
  <si>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</si>
  <si>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</si>
  <si>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</si>
  <si>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</si>
  <si>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</si>
  <si>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</si>
  <si>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</si>
  <si>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</si>
  <si>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</si>
  <si>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</si>
  <si>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</si>
  <si>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</si>
  <si>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</si>
  <si>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</si>
  <si>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</si>
  <si>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</si>
  <si>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</si>
  <si>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</si>
  <si>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</si>
  <si>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</si>
  <si>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</si>
  <si>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</si>
  <si>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</si>
  <si>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</si>
  <si>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</si>
  <si>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</si>
  <si>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</si>
  <si>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</si>
  <si>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</si>
  <si>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</si>
  <si>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</si>
  <si>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</si>
  <si>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</si>
  <si>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地块位于湖东分区,基地南临苕溪东路,北临毗山南路,东侧为东南湾路,西侧圩田路。</t>
  </si>
  <si>
    <t>湖州市</t>
  </si>
  <si>
    <t>住宅用地</t>
  </si>
  <si>
    <t>吴兴区</t>
  </si>
  <si>
    <t>拍卖</t>
  </si>
  <si>
    <t>2019-20号</t>
  </si>
  <si>
    <t>城镇住宅用地</t>
  </si>
  <si>
    <t>大于或等于2.5并且小于或等于3</t>
  </si>
  <si>
    <t>未开工</t>
  </si>
  <si>
    <t>2019-06-13</t>
  </si>
  <si>
    <t>2019-07-05</t>
  </si>
  <si>
    <t>湖州市自然资源和规划局国有建设用地使用权拍卖出让公告(湖自然资规告字(2019)15号)</t>
  </si>
  <si>
    <t>已成交</t>
  </si>
  <si>
    <t>上海涛峡企业管理有限公司</t>
  </si>
  <si>
    <t>70年</t>
  </si>
  <si>
    <t>3星</t>
  </si>
  <si>
    <t>地块南侧为滨湖南单元TH-02-03-05M地块,东侧为震洲路,西侧为翡翠湖、北侧为行渎港河</t>
  </si>
  <si>
    <t>2019-18号</t>
  </si>
  <si>
    <t>大于1并且小于或等于1.2</t>
  </si>
  <si>
    <t>2019-07-04</t>
  </si>
  <si>
    <t>湖州市自然资源和规划局国有建设用地使用权拍卖出让公告(湖自然资规告字(2019)14号)</t>
  </si>
  <si>
    <t>湖州鑫远投资有限公司(湖南鑫远)</t>
  </si>
  <si>
    <t>2星</t>
  </si>
  <si>
    <t>位于凤凰西区,大享路以东、龙溪北路以南、轻纺路以北</t>
  </si>
  <si>
    <t>湖开土2019-03号</t>
  </si>
  <si>
    <t>≥1.6且≤1.8</t>
  </si>
  <si>
    <t>2019-05-15</t>
  </si>
  <si>
    <t>2019-06-04</t>
  </si>
  <si>
    <t>湖开土资告字(2019)3号</t>
  </si>
  <si>
    <t>湖州汎港润和房地产开发有限公司</t>
  </si>
  <si>
    <t>4星</t>
  </si>
  <si>
    <t>妙西镇龙山村,妙新线东侧,月亮湾项目南侧</t>
  </si>
  <si>
    <t>2019-15号</t>
  </si>
  <si>
    <t>＞1且＜1.01</t>
  </si>
  <si>
    <t>2019-05-05</t>
  </si>
  <si>
    <t>2019-05-29</t>
  </si>
  <si>
    <t>湖自然资规告字(2019)12号-1</t>
  </si>
  <si>
    <t>湖州华昇置业有限公司</t>
  </si>
  <si>
    <t>1星</t>
  </si>
  <si>
    <t>草田漾单元南部,南临为规划道路,西侧内环东路,北侧为日晖路,东侧为规划道路。</t>
  </si>
  <si>
    <t>2019-13号</t>
  </si>
  <si>
    <t>≥1.5且≤1.8</t>
  </si>
  <si>
    <t>2019-04-30</t>
  </si>
  <si>
    <t>2019-05-22</t>
  </si>
  <si>
    <t>湖自然资规告字(2019)11号-1</t>
  </si>
  <si>
    <t>湖州得力房地产有限公司</t>
  </si>
  <si>
    <t>草田漾单元南部,西侧内环东路,南临三环北路,东侧、北侧为规划道路。</t>
  </si>
  <si>
    <t>2019-14号</t>
  </si>
  <si>
    <t>≥1.5且≤1.7</t>
  </si>
  <si>
    <t>湖自然资规告字(2019)11号-2</t>
  </si>
  <si>
    <t>杭州和昕房地产开发有限公司</t>
  </si>
  <si>
    <t>位于道场乡浮玉片区东北侧,东为黄泥港,南侧为规划道路,北侧为长湖申航道及规划绿地,西侧为湖山大道</t>
  </si>
  <si>
    <t>2019-8号</t>
  </si>
  <si>
    <t>≥1.8且≤2.1</t>
  </si>
  <si>
    <t>2019-04-13</t>
  </si>
  <si>
    <t>2019-05-08</t>
  </si>
  <si>
    <t>湖自然资规告字(2019)6号</t>
  </si>
  <si>
    <t>湖州奥冠置业有限公司</t>
  </si>
  <si>
    <t>地块位于市北分区草田漾单元中部,东临潜庄路,北临日晖路,南侧、西侧为规划道路。</t>
  </si>
  <si>
    <t>2019-7号</t>
  </si>
  <si>
    <t>≥1.6且≤2</t>
  </si>
  <si>
    <t>2019-05-06</t>
  </si>
  <si>
    <t>湖自然资规告字(2019)5号-2</t>
  </si>
  <si>
    <t>湖州房总地产开发集团有限公司</t>
  </si>
  <si>
    <t>地块位于市北分区草田漾单元南部,东临潜庄路,南三环北路,西侧、北侧为规划道路。</t>
  </si>
  <si>
    <t>2019-6号</t>
  </si>
  <si>
    <t>湖自然资规告字(2019)5号-1</t>
  </si>
  <si>
    <t>杭州融烁房地产开发有限公司</t>
  </si>
  <si>
    <t>七里亭单元XN-01-02-04G号地块</t>
  </si>
  <si>
    <t>综合用地(含住宅)</t>
  </si>
  <si>
    <t>位于七里亭单元</t>
  </si>
  <si>
    <t>湖开土2019-02号</t>
  </si>
  <si>
    <t>城镇住宅[居住用地(含配套公建)]</t>
  </si>
  <si>
    <t>≥1.8且≤2.0</t>
  </si>
  <si>
    <t>≤28%</t>
  </si>
  <si>
    <t>2019-04-05</t>
  </si>
  <si>
    <t>湖开土资告字(2019)2号</t>
  </si>
  <si>
    <t>湖州碧新房地产开发有限公司</t>
  </si>
  <si>
    <t>居住70年、商业40年、卫生50年</t>
  </si>
  <si>
    <t>凤凰东区FH-01-02-01B-1号地块</t>
  </si>
  <si>
    <t>位于凤凰东区单元,东侧为新湖路、南侧为龙溪北路、西侧为规划居住用地、北侧为龙溪苑</t>
  </si>
  <si>
    <t>湖开土2019-01号</t>
  </si>
  <si>
    <t>居住用地(含配套公建)</t>
  </si>
  <si>
    <t>≥1.1且≤1.25</t>
  </si>
  <si>
    <t>≤30%</t>
  </si>
  <si>
    <t>2019-03-01</t>
  </si>
  <si>
    <t>2019-03-21</t>
  </si>
  <si>
    <t>湖开土资告字(2019)1号</t>
  </si>
  <si>
    <t>湖州鼎鸿房地产开发有限公司</t>
  </si>
  <si>
    <t>居住70年、文体50年、商业40年</t>
  </si>
  <si>
    <t>基地南侧为规划居住用地,东侧为直港路,北侧为联谊路,西侧为河道。</t>
  </si>
  <si>
    <t>2019-5号</t>
  </si>
  <si>
    <t>≥1.4且≤1.7</t>
  </si>
  <si>
    <t>2019-02-18</t>
  </si>
  <si>
    <t>2019-03-12</t>
  </si>
  <si>
    <t>湖自然资规告字(2019)4号</t>
  </si>
  <si>
    <t>湖州市南浔新城投资发展有限公司</t>
  </si>
  <si>
    <t>地块位于织里镇郑港村和织里村,北临湖织大道,西临珍贝路。</t>
  </si>
  <si>
    <t>2018-85号</t>
  </si>
  <si>
    <t>中低价位、中小套型普通商品住房用地</t>
  </si>
  <si>
    <t>≥2.5且≤3</t>
  </si>
  <si>
    <t>2018-12-19</t>
  </si>
  <si>
    <t>2019-01-09</t>
  </si>
  <si>
    <t>湖土资告字(2018)56号-2</t>
  </si>
  <si>
    <t>浙江童城投资发展有限公司</t>
  </si>
  <si>
    <t>地块位于织里镇织里村,北临南横塘,西临珍贝路,南临中华路。</t>
  </si>
  <si>
    <t>2018-84号</t>
  </si>
  <si>
    <t>≥2且≤2.5</t>
  </si>
  <si>
    <t>湖土资告字(2018)56号-1</t>
  </si>
  <si>
    <t>吴兴区八里店镇南塘漾单元02-02C号地块</t>
  </si>
  <si>
    <t>地块位于东部新城丝绸小镇核心板块。北临中心大道,东侧为西山漾公园,南临诸家滩漾,西侧为规划河道</t>
  </si>
  <si>
    <t>2018-76号</t>
  </si>
  <si>
    <t>城镇住宅用地、商务金融用地</t>
  </si>
  <si>
    <t>≥1.4且≤1.6</t>
  </si>
  <si>
    <t>开工中</t>
  </si>
  <si>
    <t>2018-10-12</t>
  </si>
  <si>
    <t>2018-11-07</t>
  </si>
  <si>
    <t>湖土资告字(2018)50号</t>
  </si>
  <si>
    <t>湖州鑫鸿景城建设发展有限公司</t>
  </si>
  <si>
    <t>住宅50年、商业40年</t>
  </si>
  <si>
    <t>位于杨家埠南单元,东侧、南侧为恒泰阳光苑,西侧为规划居住用地、北侧为敢山南路。</t>
  </si>
  <si>
    <t>湖开土2018-21号</t>
  </si>
  <si>
    <t>≥1,≤1.2</t>
  </si>
  <si>
    <t>2018-09-07</t>
  </si>
  <si>
    <t>2018-09-27</t>
  </si>
  <si>
    <t>湖开土资告字(2018)18号</t>
  </si>
  <si>
    <t>永兴特种不锈钢股份有限公司</t>
  </si>
  <si>
    <t>位于仁皇山分区,基地南临青太路,北临金田路,东侧为太湖路,西侧为规划道路</t>
  </si>
  <si>
    <t>2018-69号</t>
  </si>
  <si>
    <t>≥3且≤3.5</t>
  </si>
  <si>
    <t>2018-07-11</t>
  </si>
  <si>
    <t>2018-08-01</t>
  </si>
  <si>
    <t>湖土资告字(2018)43号</t>
  </si>
  <si>
    <t>新城控股集团房地产开发有限公司</t>
  </si>
  <si>
    <t>位于仁皇山分区,东侧、西侧为规划道路,北侧为三环北路,南临仁皇山</t>
  </si>
  <si>
    <t>2018-58号</t>
  </si>
  <si>
    <t>≥1且≤1.3</t>
  </si>
  <si>
    <t>2018-06-21</t>
  </si>
  <si>
    <t>2018-07-24</t>
  </si>
  <si>
    <t>湖土资告字(2018)34号</t>
  </si>
  <si>
    <t>苏州弘阳房地产开发有限公司</t>
  </si>
  <si>
    <t>位于湖州太湖旅游度假区长田漾单元,南侧为同心路,西侧为弁山大道,北侧、东侧为规划道路</t>
  </si>
  <si>
    <t>2018-49号</t>
  </si>
  <si>
    <t>≥1且≤1.1</t>
  </si>
  <si>
    <t>2018-06-01</t>
  </si>
  <si>
    <t>2018-06-22</t>
  </si>
  <si>
    <t>湖土资告字(2018)29号</t>
  </si>
  <si>
    <t>花漾年华旅居置业(湖州)有限公司</t>
  </si>
  <si>
    <t>位于仁皇山分区,东侧为望山路,西侧为规划道路,北侧为三环北路,南临仁皇山。</t>
  </si>
  <si>
    <t>2018-43号</t>
  </si>
  <si>
    <t>2018-05-11</t>
  </si>
  <si>
    <t>2018-06-14</t>
  </si>
  <si>
    <t>湖土资告字(2018)23号</t>
  </si>
  <si>
    <t>位于后庄单元中部,西靠潜山路,东邻华丰路,南隔后庄路与环渚学校相邻,北侧为规划河流。</t>
  </si>
  <si>
    <t>2018-35号</t>
  </si>
  <si>
    <t>2018-05-10</t>
  </si>
  <si>
    <t>2018-06-05</t>
  </si>
  <si>
    <t>湖土资告字(2018)22号</t>
  </si>
  <si>
    <t>位于市北分区后庄单元中部,潜庄路东侧,华丰路西侧,井安路南侧。</t>
  </si>
  <si>
    <t>2018-36号</t>
  </si>
  <si>
    <t>2018-04-28</t>
  </si>
  <si>
    <t>湖土资告字(2018)17号</t>
  </si>
  <si>
    <t>上海瀚从实业发展有限公司</t>
  </si>
  <si>
    <t>位于仁皇山分区,东侧、北侧为规划道路,南临青太路,西临安吉路。</t>
  </si>
  <si>
    <t>2018-33号</t>
  </si>
  <si>
    <t>2018-05-31</t>
  </si>
  <si>
    <t>湖土资告字(2018)16号-1</t>
  </si>
  <si>
    <t>位于仁皇山分区仁北单元南部,垄山东北侧,青太路南侧,安吉路西侧。</t>
  </si>
  <si>
    <t>2018-34号</t>
  </si>
  <si>
    <t>≥1.4且≤1.5</t>
  </si>
  <si>
    <t>湖土资告字(2018)16号-2</t>
  </si>
  <si>
    <t>位于织里镇晓河村,地块东临南横塘、北临中华路、南临长安路,西临大港路。</t>
  </si>
  <si>
    <t>2018-29号</t>
  </si>
  <si>
    <t>2018-04-27</t>
  </si>
  <si>
    <t>2018-05-29</t>
  </si>
  <si>
    <t>湖土资告字(2018)14号-2</t>
  </si>
  <si>
    <t>上海集安房地产开发有限公司</t>
  </si>
  <si>
    <t>位于织里镇姚家田片区大河村,地块西临洋西路、北临长安路、东临栋梁路、南临康泰路。</t>
  </si>
  <si>
    <t>2018-28号</t>
  </si>
  <si>
    <t>湖土资告字(2018)14号-1</t>
  </si>
  <si>
    <t>位于织里镇大邾村,地块东临东尼路、北临中华路、西临南横塘。</t>
  </si>
  <si>
    <t>2018-30号</t>
  </si>
  <si>
    <t>限房价</t>
  </si>
  <si>
    <t>湖土资告字(2018)14号-3</t>
  </si>
  <si>
    <t>常州金坛爱家房地产有限公司</t>
  </si>
  <si>
    <t>位于湖东分区,南临318国道,北临纬一路,西临大升路,东临规划支路。</t>
  </si>
  <si>
    <t>2018-37号</t>
  </si>
  <si>
    <t>2018-05-24</t>
  </si>
  <si>
    <t>湖土资告字(2018)18号-1</t>
  </si>
  <si>
    <t>位于湖东分区,318国道北侧,西侧为蜀山路,北侧为纬一路,西侧为规划道路。</t>
  </si>
  <si>
    <t>2018-38号</t>
  </si>
  <si>
    <t>≥1.7且≤2</t>
  </si>
  <si>
    <t>湖土资告字(2018)18号-2</t>
  </si>
  <si>
    <t>地块东侧为同心路,北侧为湖州中学弁山校区,西侧、南侧为高尔夫路。</t>
  </si>
  <si>
    <t>2018-27号</t>
  </si>
  <si>
    <t>2018-04-26</t>
  </si>
  <si>
    <t>2018-05-18</t>
  </si>
  <si>
    <t>湖土资告字(2018)13号-2</t>
  </si>
  <si>
    <t>浙江祥瑞房地产开发有限公司</t>
  </si>
  <si>
    <t>位于凤凰东区,北侧为杭长桥北路,西侧为德馨园小区及苏家庄新村,南侧为规划机电路,东侧为规划陈桥南路</t>
  </si>
  <si>
    <t>湖开土2018-15号</t>
  </si>
  <si>
    <t>≥1.8且≤2</t>
  </si>
  <si>
    <t>湖开土资告字(2018)12号</t>
  </si>
  <si>
    <t>位于太湖度假区滨湖南单元,东侧为乌程街,西南侧为奥特莱斯世界名牌折扣店,北侧为滨湖大道。</t>
  </si>
  <si>
    <t>2018-26号</t>
  </si>
  <si>
    <t>≥1.5且≤2</t>
  </si>
  <si>
    <t>湖土资告字(2018)13号-1</t>
  </si>
  <si>
    <t>湖州耀西投资有限公司</t>
  </si>
  <si>
    <t>北侧为在建光明御品小区,南侧为外环线</t>
  </si>
  <si>
    <t>湖开土2018-14号</t>
  </si>
  <si>
    <t>≥1且≤1.5</t>
  </si>
  <si>
    <t>≤65</t>
  </si>
  <si>
    <t>≤20</t>
  </si>
  <si>
    <t>2018-04-16</t>
  </si>
  <si>
    <t>2018-05-08</t>
  </si>
  <si>
    <t>湖开土资告字(2018)11号</t>
  </si>
  <si>
    <t>位于窑湾单元中部,三环北路北侧,金田路东侧,青太路南侧。</t>
  </si>
  <si>
    <t>2018-25号</t>
  </si>
  <si>
    <t>2018-04-11</t>
  </si>
  <si>
    <t>2018-05-04</t>
  </si>
  <si>
    <t>湖土资告字(2018)12号-3</t>
  </si>
  <si>
    <t>40年</t>
  </si>
  <si>
    <t>西侧为光明御品,南侧为外环线及辅道,东北侧为自然山体</t>
  </si>
  <si>
    <t>湖开土2018-13号</t>
  </si>
  <si>
    <t>≥1且≤1</t>
  </si>
  <si>
    <t>≤30</t>
  </si>
  <si>
    <t>2018-04-10</t>
  </si>
  <si>
    <t>2018-05-03</t>
  </si>
  <si>
    <t>湖开土资告字(2018)10号</t>
  </si>
  <si>
    <t>位于外庄单元,东侧为杭长桥路及丝绸城、</t>
  </si>
  <si>
    <t>湖开土2018-12号</t>
  </si>
  <si>
    <t>≥1.7且≤1.9</t>
  </si>
  <si>
    <t>2018-03-20</t>
  </si>
  <si>
    <t>2018-04-20</t>
  </si>
  <si>
    <t>湖开土资告字(2018)9号</t>
  </si>
  <si>
    <t>上海宁盛房地产开发有限公司</t>
  </si>
  <si>
    <t>凤凰东区苏家庄,北侧为规划机电路,西侧为规划小学</t>
  </si>
  <si>
    <t>湖开土2018-11号</t>
  </si>
  <si>
    <t>≤28</t>
  </si>
  <si>
    <t>2018-03-16</t>
  </si>
  <si>
    <t>2018-04-17</t>
  </si>
  <si>
    <t>湖开土资告字(2018)8号</t>
  </si>
  <si>
    <t>位于吴兴区东部新城核心区,基地北临中兴大道,东侧为戴山路,西南侧为诸墓漾。</t>
  </si>
  <si>
    <t>2018-15号</t>
  </si>
  <si>
    <t>≤25</t>
  </si>
  <si>
    <t>≥24且≤80</t>
  </si>
  <si>
    <t>2018-03-15</t>
  </si>
  <si>
    <t>2018-04-12</t>
  </si>
  <si>
    <t>湖土资告字(2018)9号</t>
  </si>
  <si>
    <t>位于仁皇山分区,东侧、南侧为规划道路,西临安吉路,北临金田路</t>
  </si>
  <si>
    <t>2018-14号</t>
  </si>
  <si>
    <t>≤100</t>
  </si>
  <si>
    <t>2018-03-13</t>
  </si>
  <si>
    <t>湖土资告字(2018)8号</t>
  </si>
  <si>
    <t>位于湖东分区南片,北靠318国道,西临谈家坝小区,东侧、南侧为河流、绿地</t>
  </si>
  <si>
    <t>2018-11号</t>
  </si>
  <si>
    <t>≤55</t>
  </si>
  <si>
    <t>2018-03-09</t>
  </si>
  <si>
    <t>2018-03-30</t>
  </si>
  <si>
    <t>湖土资告字(2018)7号-1</t>
  </si>
  <si>
    <t>浙江大东吴房产集团有限公司</t>
  </si>
  <si>
    <t>位于市北分区,西侧为紫云路,南临规划道路,北临三环北路</t>
  </si>
  <si>
    <t>2018-12号</t>
  </si>
  <si>
    <t>湖土资告字(2018)7号-2</t>
  </si>
  <si>
    <t>湘几漾单元,西侧为公园一路,东侧为夹山路、北侧为机埠港</t>
  </si>
  <si>
    <t>湖开土2018-10号</t>
  </si>
  <si>
    <t>≥12且≤60</t>
  </si>
  <si>
    <t>2018-03-08</t>
  </si>
  <si>
    <t>2018-03-29</t>
  </si>
  <si>
    <t>湖开土资告字(2018)7号</t>
  </si>
  <si>
    <t>上海旭晟置业有限公司</t>
  </si>
  <si>
    <t>位于康山北单元,西侧、北侧为环山路,南侧为规划沿河绿地</t>
  </si>
  <si>
    <t>湖开土2018-06号</t>
  </si>
  <si>
    <t>≤27</t>
  </si>
  <si>
    <t>2018-02-08</t>
  </si>
  <si>
    <t>2018-03-01</t>
  </si>
  <si>
    <t>湖开土资告字(2018)5号-2</t>
  </si>
  <si>
    <t>湖州海王康山地产发展有限公司</t>
  </si>
  <si>
    <t>位于康山北单元,北侧为环山路,东、南侧为规划沿河绿地</t>
  </si>
  <si>
    <t>湖开土2018-07号</t>
  </si>
  <si>
    <t>湖开土资告字(2018)5号-3</t>
  </si>
  <si>
    <t>湘几漾单元,二环西路及辅道以东、夹山路以南、新区二路以北</t>
  </si>
  <si>
    <t>湖开土2018-04号</t>
  </si>
  <si>
    <t>2018-02-01</t>
  </si>
  <si>
    <t>2018-02-26</t>
  </si>
  <si>
    <t>湖开土资告字(2018)3号</t>
  </si>
  <si>
    <t>上海繁竑实业有限公司</t>
  </si>
  <si>
    <t>凤凰东区单元FH-01-01-02号地块(位于凤凰东区苏家庄,陈桥南路以东、规划凤南路以西、杭长桥北路以南、规划恋水路以北)</t>
  </si>
  <si>
    <t>湖开土2018-02号</t>
  </si>
  <si>
    <t>≥1.9且≤2.1</t>
  </si>
  <si>
    <t>≤80</t>
  </si>
  <si>
    <t>2018-01-18</t>
  </si>
  <si>
    <t>2018-02-12</t>
  </si>
  <si>
    <t>湖开土资告字(2018)2号-1</t>
  </si>
  <si>
    <t>杭州余杭雅居乐房地产开发有限公司</t>
  </si>
  <si>
    <t>凤凰东区单元FH-01-01-06号地块(位于凤凰东区单元,已建苕溪家园住宅小区以西、规划凤南路以东、杭长桥北路以南、规划恋水路以北)</t>
  </si>
  <si>
    <t>湖开土2018-03号</t>
  </si>
  <si>
    <t>≥2且≤2.2</t>
  </si>
  <si>
    <t>湖开土资告字(2018)2号-2</t>
  </si>
  <si>
    <t>杭州梁泰置业有限公司</t>
  </si>
  <si>
    <t>位于湖东分区南片,北靠规划道路,西临陆王路,东侧为大东吴集团,南侧为二里桥路、绿地。</t>
  </si>
  <si>
    <t>2018-8号</t>
  </si>
  <si>
    <t>2018-01-19</t>
  </si>
  <si>
    <t>2018-02-09</t>
  </si>
  <si>
    <t>湖土资告字(2018)5号-2</t>
  </si>
  <si>
    <t>湖州中房置业有限公司</t>
  </si>
  <si>
    <t>地块位于织里镇晓河村,北临东安路,东临东尼路,南临吴兴大道。</t>
  </si>
  <si>
    <t>2018-6号</t>
  </si>
  <si>
    <t>≥1.5且≤1.9</t>
  </si>
  <si>
    <t>≤50</t>
  </si>
  <si>
    <t>≤60</t>
  </si>
  <si>
    <t>湖土资告字(2018)4号</t>
  </si>
  <si>
    <t>浙江珍贝置业有限公司</t>
  </si>
  <si>
    <t>位于湖州南太湖高新技术产业园区核心区,东侧为经一路,西侧为三环东路,南侧为北横塘,北侧为中塘港路。</t>
  </si>
  <si>
    <t>2018-7号</t>
  </si>
  <si>
    <t>≥1.2且≤1.6</t>
  </si>
  <si>
    <t>≤40</t>
  </si>
  <si>
    <t>湖土资告字(2018)5号-1</t>
  </si>
  <si>
    <t>上海颖骏投资管理有限公司</t>
  </si>
  <si>
    <t>恒大御峰</t>
    <phoneticPr fontId="3" type="noConversion"/>
  </si>
  <si>
    <t>湖州吴兴区</t>
    <phoneticPr fontId="3" type="noConversion"/>
  </si>
  <si>
    <t>住宅</t>
    <phoneticPr fontId="31" type="noConversion"/>
  </si>
  <si>
    <t>未包含在土地购买价格中</t>
  </si>
  <si>
    <t>全部缴纳</t>
  </si>
  <si>
    <t>已包含在土地取得成本中</t>
  </si>
  <si>
    <t>押一</t>
  </si>
  <si>
    <t>按租金收入计税</t>
  </si>
  <si>
    <t>钢混</t>
  </si>
  <si>
    <t>非生产用房</t>
  </si>
  <si>
    <t>成本法</t>
  </si>
  <si>
    <t>成本比率</t>
  </si>
  <si>
    <t>地上楼面单价</t>
    <phoneticPr fontId="8" type="noConversion"/>
  </si>
  <si>
    <t>房间全称</t>
  </si>
  <si>
    <t>建筑面积</t>
  </si>
  <si>
    <t>产品类型</t>
  </si>
  <si>
    <t>销售状态</t>
  </si>
  <si>
    <t>标准总价带装修</t>
  </si>
  <si>
    <t>湖州恒大翡翠华庭-一期-高层-1号楼-101</t>
  </si>
  <si>
    <t>22层高层</t>
  </si>
  <si>
    <t>待售</t>
  </si>
  <si>
    <t>湖州恒大翡翠华庭-一期-高层-1号楼-102</t>
  </si>
  <si>
    <t>湖州恒大翡翠华庭-一期-高层-1号楼-103</t>
  </si>
  <si>
    <t>湖州恒大翡翠华庭-一期-高层-1号楼-104</t>
  </si>
  <si>
    <t>湖州恒大翡翠华庭-一期-高层-1号楼-201</t>
  </si>
  <si>
    <t>湖州恒大翡翠华庭-一期-高层-1号楼-202</t>
  </si>
  <si>
    <t>湖州恒大翡翠华庭-一期-高层-1号楼-203</t>
  </si>
  <si>
    <t>湖州恒大翡翠华庭-一期-高层-1号楼-204</t>
  </si>
  <si>
    <t>湖州恒大翡翠华庭-一期-高层-1号楼-301</t>
  </si>
  <si>
    <t>湖州恒大翡翠华庭-一期-高层-1号楼-401</t>
  </si>
  <si>
    <t>湖州恒大翡翠华庭-一期-高层-1号楼-1002</t>
  </si>
  <si>
    <t>湖州恒大翡翠华庭-一期-高层-1号楼-1201</t>
  </si>
  <si>
    <t>湖州恒大翡翠华庭-一期-高层-1号楼-1304</t>
  </si>
  <si>
    <t>湖州恒大翡翠华庭-一期-高层-1号楼-1404</t>
  </si>
  <si>
    <t>湖州恒大翡翠华庭-一期-高层-2号楼-101</t>
  </si>
  <si>
    <t>湖州恒大翡翠华庭-一期-高层-2号楼-102</t>
  </si>
  <si>
    <t>湖州恒大翡翠华庭-一期-高层-2号楼-103</t>
  </si>
  <si>
    <t>湖州恒大翡翠华庭-一期-高层-2号楼-104</t>
  </si>
  <si>
    <t>湖州恒大翡翠华庭-一期-高层-2号楼-202</t>
  </si>
  <si>
    <t>湖州恒大翡翠华庭-一期-高层-2号楼-304</t>
  </si>
  <si>
    <t>湖州恒大翡翠华庭-一期-高层-2号楼-1401</t>
  </si>
  <si>
    <t>湖州恒大翡翠华庭-一期-高层-2号楼-1803</t>
  </si>
  <si>
    <t>湖州恒大翡翠华庭-一期-高层-3号楼-101</t>
  </si>
  <si>
    <t>湖州恒大翡翠华庭-一期-高层-3号楼-102</t>
  </si>
  <si>
    <t>湖州恒大翡翠华庭-一期-高层-3号楼-103</t>
  </si>
  <si>
    <t>湖州恒大翡翠华庭-一期-高层-3号楼-104</t>
  </si>
  <si>
    <t>湖州恒大翡翠华庭-一期-高层-3号楼-202</t>
  </si>
  <si>
    <t>湖州恒大翡翠华庭-一期-高层-3号楼-203</t>
  </si>
  <si>
    <t>湖州恒大翡翠华庭-一期-高层-3号楼-204</t>
  </si>
  <si>
    <t>湖州恒大翡翠华庭-一期-高层-3号楼-302</t>
  </si>
  <si>
    <t>湖州恒大翡翠华庭-一期-高层-3号楼-304</t>
  </si>
  <si>
    <t>湖州恒大翡翠华庭-一期-高层-3号楼-404</t>
  </si>
  <si>
    <t>湖州恒大翡翠华庭-一期-高层-3号楼-902</t>
  </si>
  <si>
    <t>湖州恒大翡翠华庭-一期-高层-3号楼-1402</t>
  </si>
  <si>
    <t>湖州恒大翡翠华庭-一期-高层-4号楼-101</t>
  </si>
  <si>
    <t>湖州恒大翡翠华庭-一期-高层-4号楼-102</t>
  </si>
  <si>
    <t>湖州恒大翡翠华庭-一期-高层-4号楼-103</t>
  </si>
  <si>
    <t>湖州恒大翡翠华庭-一期-高层-4号楼-104</t>
  </si>
  <si>
    <t>湖州恒大翡翠华庭-一期-高层-4号楼-202</t>
  </si>
  <si>
    <t>湖州恒大翡翠华庭-一期-高层-4号楼-204</t>
  </si>
  <si>
    <t>湖州恒大翡翠华庭-一期-高层-4号楼-304</t>
  </si>
  <si>
    <t>湖州恒大翡翠华庭-一期-高层-4号楼-401</t>
  </si>
  <si>
    <t>湖州恒大翡翠华庭-一期-高层-4号楼-404</t>
  </si>
  <si>
    <t>湖州恒大翡翠华庭-一期-高层-4号楼-702</t>
  </si>
  <si>
    <t>湖州恒大翡翠华庭-一期-高层-4号楼-804</t>
  </si>
  <si>
    <t>湖州恒大翡翠华庭-一期-高层-4号楼-1404</t>
  </si>
  <si>
    <t>湖州恒大翡翠华庭-一期-高层-4号楼-1702</t>
  </si>
  <si>
    <t>湖州恒大翡翠华庭-一期-高层-4号楼-2102</t>
  </si>
  <si>
    <t>湖州恒大翡翠华庭-一期-高层-4号楼-2204</t>
  </si>
  <si>
    <t>湖州恒大翡翠华庭-一期-高层-5号楼-202</t>
  </si>
  <si>
    <t>湖州恒大翡翠华庭-一期-高层-5号楼-203</t>
  </si>
  <si>
    <t>湖州恒大翡翠华庭-一期-高层-5号楼-204</t>
  </si>
  <si>
    <t>湖州恒大翡翠华庭-一期-高层-5号楼-302</t>
  </si>
  <si>
    <t>湖州恒大翡翠华庭-一期-高层-5号楼-303</t>
  </si>
  <si>
    <t>湖州恒大翡翠华庭-一期-高层-5号楼-402</t>
  </si>
  <si>
    <t>湖州恒大翡翠华庭-一期-高层-5号楼-404</t>
  </si>
  <si>
    <t>湖州恒大翡翠华庭-一期-高层-5号楼-501</t>
  </si>
  <si>
    <t>湖州恒大翡翠华庭-一期-高层-5号楼-2001</t>
  </si>
  <si>
    <t>湖州恒大翡翠华庭-一期-高层-6号楼-101</t>
  </si>
  <si>
    <t>湖州恒大翡翠华庭-一期-高层-6号楼-102</t>
  </si>
  <si>
    <t>湖州恒大翡翠华庭-一期-高层-6号楼-103</t>
  </si>
  <si>
    <t>湖州恒大翡翠华庭-一期-高层-6号楼-104</t>
  </si>
  <si>
    <t>湖州恒大翡翠华庭-一期-高层-6号楼-201</t>
  </si>
  <si>
    <t>湖州恒大翡翠华庭-一期-高层-6号楼-202</t>
  </si>
  <si>
    <t>湖州恒大翡翠华庭-一期-高层-6号楼-203</t>
  </si>
  <si>
    <t>湖州恒大翡翠华庭-一期-高层-6号楼-402</t>
  </si>
  <si>
    <t>湖州恒大翡翠华庭-一期-高层-7号楼-1-101</t>
  </si>
  <si>
    <t>湖州恒大翡翠华庭-一期-高层-7号楼-1-102</t>
  </si>
  <si>
    <t>湖州恒大翡翠华庭-一期-高层-7号楼-1-103</t>
  </si>
  <si>
    <t>湖州恒大翡翠华庭-一期-高层-7号楼-1-201</t>
  </si>
  <si>
    <t>湖州恒大翡翠华庭-一期-高层-7号楼-1-203</t>
  </si>
  <si>
    <t>湖州恒大翡翠华庭-一期-高层-7号楼-2-104</t>
  </si>
  <si>
    <t>湖州恒大翡翠华庭-一期-高层-7号楼-2-105</t>
  </si>
  <si>
    <t>湖州恒大翡翠华庭-一期-高层-7号楼-2-106</t>
  </si>
  <si>
    <t>湖州恒大翡翠华庭-一期-高层-7号楼-2-204</t>
  </si>
  <si>
    <t>湖州恒大翡翠华庭-一期-高层-7号楼-2-206</t>
  </si>
  <si>
    <t>湖州恒大翡翠华庭-一期-高层-7号楼-2-404</t>
  </si>
  <si>
    <t>湖州恒大翡翠华庭-一期-高层-7号楼-2-1406</t>
  </si>
  <si>
    <t>湖州恒大翡翠华庭-一期-高层-7号楼-2-1905</t>
  </si>
  <si>
    <t>湖州恒大翡翠华庭-一期-高层-7号楼-2-2204</t>
  </si>
  <si>
    <t>湖州恒大翡翠华庭-一期-高层-9号楼-101</t>
  </si>
  <si>
    <t>湖州恒大翡翠华庭-一期-高层-9号楼-102</t>
  </si>
  <si>
    <t>湖州恒大翡翠华庭-一期-高层-9号楼-103</t>
  </si>
  <si>
    <t>湖州恒大翡翠华庭-一期-高层-9号楼-104</t>
  </si>
  <si>
    <t>湖州恒大翡翠华庭-一期-高层-9号楼-201</t>
  </si>
  <si>
    <t>湖州恒大翡翠华庭-一期-高层-9号楼-204</t>
  </si>
  <si>
    <t>湖州恒大翡翠华庭-一期-高层-9号楼-1404</t>
  </si>
  <si>
    <t>湖州恒大翡翠华庭-一期-高层-10号楼-1-101</t>
  </si>
  <si>
    <t>湖州恒大翡翠华庭-一期-高层-10号楼-1-102</t>
  </si>
  <si>
    <t>湖州恒大翡翠华庭-一期-高层-10号楼-1-103</t>
  </si>
  <si>
    <t>湖州恒大翡翠华庭-一期-高层-10号楼-1-201</t>
  </si>
  <si>
    <t>湖州恒大翡翠华庭-一期-高层-10号楼-1-203</t>
  </si>
  <si>
    <t>湖州恒大翡翠华庭-一期-高层-10号楼-1-301</t>
  </si>
  <si>
    <t>湖州恒大翡翠华庭-一期-高层-10号楼-1-302</t>
  </si>
  <si>
    <t>湖州恒大翡翠华庭-一期-高层-10号楼-1-303</t>
  </si>
  <si>
    <t>湖州恒大翡翠华庭-一期-高层-10号楼-1-402</t>
  </si>
  <si>
    <t>湖州恒大翡翠华庭-一期-高层-10号楼-1-403</t>
  </si>
  <si>
    <t>湖州恒大翡翠华庭-一期-高层-10号楼-1-601</t>
  </si>
  <si>
    <t>湖州恒大翡翠华庭-一期-高层-10号楼-1-602</t>
  </si>
  <si>
    <t>湖州恒大翡翠华庭-一期-高层-10号楼-1-1403</t>
  </si>
  <si>
    <t>湖州恒大翡翠华庭-一期-高层-10号楼-2-104</t>
  </si>
  <si>
    <t>湖州恒大翡翠华庭-一期-高层-10号楼-2-105</t>
  </si>
  <si>
    <t>湖州恒大翡翠华庭-一期-高层-10号楼-2-106</t>
  </si>
  <si>
    <t>湖州恒大翡翠华庭-一期-高层-10号楼-2-204</t>
  </si>
  <si>
    <t>湖州恒大翡翠华庭-一期-高层-10号楼-2-205</t>
  </si>
  <si>
    <t>湖州恒大翡翠华庭-一期-高层-10号楼-2-206</t>
  </si>
  <si>
    <t>湖州恒大翡翠华庭-一期-高层-10号楼-2-304</t>
  </si>
  <si>
    <t>湖州恒大翡翠华庭-一期-高层-10号楼-2-306</t>
  </si>
  <si>
    <t>湖州恒大翡翠华庭-一期-高层-10号楼-2-404</t>
  </si>
  <si>
    <t>湖州恒大翡翠华庭-一期-高层-10号楼-2-405</t>
  </si>
  <si>
    <t>湖州恒大翡翠华庭-一期-高层-10号楼-2-406</t>
  </si>
  <si>
    <t>湖州恒大翡翠华庭-一期-高层-10号楼-2-2205</t>
  </si>
  <si>
    <t>湖州恒大翡翠华庭-一期-高层-11号楼-2203</t>
  </si>
  <si>
    <t>湖州恒大翡翠华庭-一期-高层-11号楼-2204</t>
  </si>
  <si>
    <t>湖州恒大翡翠华庭-一期-7层洋房-12号楼-1-502</t>
  </si>
  <si>
    <t>7层洋房</t>
  </si>
  <si>
    <t>湖州恒大翡翠华庭-一期-7层洋房-12号楼-1-601</t>
  </si>
  <si>
    <t>湖州恒大翡翠华庭-一期-7层洋房-12号楼-1-602</t>
  </si>
  <si>
    <t>湖州恒大翡翠华庭-一期-7层洋房-12号楼-1-702</t>
  </si>
  <si>
    <t>湖州恒大翡翠华庭-一期-7层洋房-12号楼-2-304</t>
  </si>
  <si>
    <t>湖州恒大翡翠华庭-一期-7层洋房-12号楼-2-403</t>
  </si>
  <si>
    <t>湖州恒大翡翠华庭-一期-7层洋房-12号楼-2-404</t>
  </si>
  <si>
    <t>湖州恒大翡翠华庭-一期-7层洋房-12号楼-2-503</t>
  </si>
  <si>
    <t>湖州恒大翡翠华庭-一期-7层洋房-12号楼-2-504</t>
  </si>
  <si>
    <t>湖州恒大翡翠华庭-一期-7层洋房-12号楼-2-603</t>
  </si>
  <si>
    <t>湖州恒大翡翠华庭-一期-7层洋房-12号楼-2-604</t>
  </si>
  <si>
    <t>湖州恒大翡翠华庭-一期-7层洋房-12号楼-2-703</t>
  </si>
  <si>
    <t>湖州恒大翡翠华庭-一期-7层洋房-12号楼-2-704</t>
  </si>
  <si>
    <t>湖州恒大翡翠华庭-一期-7层洋房-12号楼-3-405</t>
  </si>
  <si>
    <t>湖州恒大翡翠华庭-一期-7层洋房-12号楼-3-506</t>
  </si>
  <si>
    <t>湖州恒大翡翠华庭-一期-7层洋房-12号楼-3-605</t>
  </si>
  <si>
    <t>湖州恒大翡翠华庭-一期-7层洋房-12号楼-3-606</t>
  </si>
  <si>
    <t>湖州恒大翡翠华庭-一期-7层洋房-12号楼-3-705</t>
  </si>
  <si>
    <t>湖州恒大翡翠华庭-一期-7层洋房-12号楼-3-706</t>
  </si>
  <si>
    <t>湖州恒大翡翠华庭-一期-7层洋房-13号楼-1-101</t>
  </si>
  <si>
    <t>湖州恒大翡翠华庭-一期-7层洋房-13号楼-1-401</t>
  </si>
  <si>
    <t>湖州恒大翡翠华庭-一期-7层洋房-13号楼-1-402</t>
  </si>
  <si>
    <t>湖州恒大翡翠华庭-一期-7层洋房-13号楼-1-502</t>
  </si>
  <si>
    <t>湖州恒大翡翠华庭-一期-7层洋房-13号楼-1-601</t>
  </si>
  <si>
    <t>湖州恒大翡翠华庭-一期-7层洋房-13号楼-1-602</t>
  </si>
  <si>
    <t>湖州恒大翡翠华庭-一期-7层洋房-13号楼-1-701</t>
  </si>
  <si>
    <t>湖州恒大翡翠华庭-一期-7层洋房-13号楼-1-702</t>
  </si>
  <si>
    <t>湖州恒大翡翠华庭-一期-7层洋房-13号楼-2-403</t>
  </si>
  <si>
    <t>湖州恒大翡翠华庭-一期-7层洋房-13号楼-2-404</t>
  </si>
  <si>
    <t>湖州恒大翡翠华庭-一期-7层洋房-13号楼-2-503</t>
  </si>
  <si>
    <t>湖州恒大翡翠华庭-一期-7层洋房-13号楼-2-504</t>
  </si>
  <si>
    <t>湖州恒大翡翠华庭-一期-7层洋房-13号楼-2-603</t>
  </si>
  <si>
    <t>湖州恒大翡翠华庭-一期-7层洋房-13号楼-2-604</t>
  </si>
  <si>
    <t>湖州恒大翡翠华庭-一期-7层洋房-13号楼-2-703</t>
  </si>
  <si>
    <t>湖州恒大翡翠华庭-一期-7层洋房-13号楼-2-704</t>
  </si>
  <si>
    <t>湖州恒大翡翠华庭-一期-7层洋房-13号楼-3-506</t>
  </si>
  <si>
    <t>湖州恒大翡翠华庭-一期-7层洋房-13号楼-3-606</t>
  </si>
  <si>
    <t>湖州恒大翡翠华庭-一期-7层洋房-13号楼-3-705</t>
  </si>
  <si>
    <t>湖州恒大翡翠华庭-一期-7层洋房-13号楼-3-706</t>
  </si>
  <si>
    <t>湖州恒大翡翠华庭-一期-7层洋房-14号楼-1-402</t>
  </si>
  <si>
    <t>湖州恒大翡翠华庭-一期-7层洋房-14号楼-1-701</t>
  </si>
  <si>
    <t>湖州恒大翡翠华庭-一期-7层洋房-14号楼-1-702</t>
  </si>
  <si>
    <t>湖州恒大翡翠华庭-一期-7层洋房-14号楼-2-404</t>
  </si>
  <si>
    <t>湖州恒大翡翠华庭-一期-7层洋房-14号楼-2-503</t>
  </si>
  <si>
    <t>湖州恒大翡翠华庭-一期-7层洋房-14号楼-2-504</t>
  </si>
  <si>
    <t>湖州恒大翡翠华庭-一期-7层洋房-14号楼-2-603</t>
  </si>
  <si>
    <t>湖州恒大翡翠华庭-一期-7层洋房-14号楼-2-703</t>
  </si>
  <si>
    <t>湖州恒大翡翠华庭-一期-7层洋房-14号楼-2-704</t>
  </si>
  <si>
    <t>湖州恒大翡翠华庭-一期-7层洋房-14号楼-3-405</t>
  </si>
  <si>
    <t>湖州恒大翡翠华庭-一期-7层洋房-14号楼-3-406</t>
  </si>
  <si>
    <t>湖州恒大翡翠华庭-一期-7层洋房-14号楼-3-605</t>
  </si>
  <si>
    <t>湖州恒大翡翠华庭-一期-7层洋房-14号楼-3-606</t>
  </si>
  <si>
    <t>湖州恒大翡翠华庭-一期-7层洋房-14号楼-3-705</t>
  </si>
  <si>
    <t>湖州恒大翡翠华庭-一期-7层洋房-14号楼-3-706</t>
  </si>
  <si>
    <t>湖州恒大翡翠华庭-一期-7层洋房-15号楼-1-602</t>
  </si>
  <si>
    <t>湖州恒大翡翠华庭-一期-7层洋房-15号楼-1-701</t>
  </si>
  <si>
    <t>湖州恒大翡翠华庭-一期-7层洋房-15号楼-1-702</t>
  </si>
  <si>
    <t>湖州恒大翡翠华庭-一期-7层洋房-15号楼-2-404</t>
  </si>
  <si>
    <t>湖州恒大翡翠华庭-一期-7层洋房-15号楼-2-504</t>
  </si>
  <si>
    <t>湖州恒大翡翠华庭-一期-7层洋房-15号楼-2-603</t>
  </si>
  <si>
    <t>湖州恒大翡翠华庭-一期-7层洋房-15号楼-2-604</t>
  </si>
  <si>
    <t>湖州恒大翡翠华庭-一期-7层洋房-15号楼-2-703</t>
  </si>
  <si>
    <t>湖州恒大翡翠华庭-一期-7层洋房-15号楼-2-704</t>
  </si>
  <si>
    <t>湖州恒大翡翠华庭-一期-7层洋房-15号楼-3-605</t>
  </si>
  <si>
    <t>湖州恒大翡翠华庭-一期-7层洋房-15号楼-3-606</t>
  </si>
  <si>
    <t>湖州恒大翡翠华庭-一期-7层洋房-15号楼-3-705</t>
  </si>
  <si>
    <t>湖州恒大翡翠华庭-一期-7层洋房-15号楼-3-706</t>
  </si>
  <si>
    <t>湖州市乌虹湖置业有限公司</t>
    <phoneticPr fontId="6" type="noConversion"/>
  </si>
  <si>
    <t>吴兴区八里店乌山单元02-01E号地块</t>
    <phoneticPr fontId="6" type="noConversion"/>
  </si>
  <si>
    <t>总建筑面积</t>
    <phoneticPr fontId="3" type="noConversion"/>
  </si>
  <si>
    <t>容积率</t>
    <phoneticPr fontId="3" type="noConversion"/>
  </si>
  <si>
    <t>土地面积</t>
    <phoneticPr fontId="3" type="noConversion"/>
  </si>
  <si>
    <t>否</t>
  </si>
  <si>
    <t>恒大悦龙湾</t>
    <phoneticPr fontId="3" type="noConversion"/>
  </si>
  <si>
    <t>较好</t>
    <phoneticPr fontId="41" type="noConversion"/>
  </si>
  <si>
    <t>六通</t>
    <phoneticPr fontId="25" type="noConversion"/>
  </si>
  <si>
    <t>现房</t>
  </si>
  <si>
    <t>融创西山宸院</t>
    <phoneticPr fontId="3" type="noConversion"/>
  </si>
  <si>
    <t>上实天澜湾</t>
    <phoneticPr fontId="3" type="noConversion"/>
  </si>
  <si>
    <t>蓝光雍锦园</t>
    <phoneticPr fontId="3" type="noConversion"/>
  </si>
  <si>
    <t>成新度</t>
  </si>
  <si>
    <t>收益法-高层</t>
  </si>
  <si>
    <t>收益法-高层</t>
    <phoneticPr fontId="16" type="noConversion"/>
  </si>
  <si>
    <t>收益法-洋房</t>
  </si>
  <si>
    <t>收益法-洋房</t>
    <phoneticPr fontId="16" type="noConversion"/>
  </si>
  <si>
    <t>比较法-高层</t>
  </si>
  <si>
    <t>比较法-高层</t>
    <phoneticPr fontId="16" type="noConversion"/>
  </si>
  <si>
    <t>比较法-洋房</t>
  </si>
  <si>
    <t>比较法-洋房</t>
    <phoneticPr fontId="16" type="noConversion"/>
  </si>
  <si>
    <t>基准地价</t>
  </si>
  <si>
    <t>收益还原</t>
  </si>
  <si>
    <t>富力·湖州壹号</t>
    <phoneticPr fontId="3" type="noConversion"/>
  </si>
  <si>
    <t>达昌府</t>
    <phoneticPr fontId="3" type="noConversion"/>
  </si>
  <si>
    <t>洋房住宅</t>
  </si>
  <si>
    <t>洋房住宅</t>
    <phoneticPr fontId="7" type="noConversion"/>
  </si>
  <si>
    <t>高层住宅</t>
  </si>
  <si>
    <t>高层住宅</t>
    <phoneticPr fontId="7" type="noConversion"/>
  </si>
  <si>
    <t>——</t>
    <phoneticPr fontId="143" type="noConversion"/>
  </si>
  <si>
    <t>项目</t>
    <phoneticPr fontId="143" type="noConversion"/>
  </si>
  <si>
    <t>建筑面积</t>
    <phoneticPr fontId="143" type="noConversion"/>
  </si>
  <si>
    <t>土地面积</t>
    <phoneticPr fontId="143" type="noConversion"/>
  </si>
  <si>
    <t>抵押价值（万元）</t>
    <phoneticPr fontId="143" type="noConversion"/>
  </si>
  <si>
    <t>恒大悦珑湾高层</t>
    <phoneticPr fontId="143" type="noConversion"/>
  </si>
  <si>
    <t>恒大悦珑湾洋房</t>
    <phoneticPr fontId="143" type="noConversion"/>
  </si>
  <si>
    <t>恒大御峰在建工程</t>
    <phoneticPr fontId="143" type="noConversion"/>
  </si>
  <si>
    <t>合计</t>
    <phoneticPr fontId="143" type="noConversion"/>
  </si>
  <si>
    <t>较好</t>
  </si>
  <si>
    <t>六通</t>
  </si>
  <si>
    <t>钢混</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</si>
  <si>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</si>
  <si>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</si>
  <si>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</si>
  <si>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</si>
  <si>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</si>
  <si>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平层</t>
  </si>
  <si>
    <t>平层</t>
    <phoneticPr fontId="143" type="noConversion"/>
  </si>
  <si>
    <t>六通</t>
    <phoneticPr fontId="143" type="noConversion"/>
  </si>
  <si>
    <t>平层</t>
    <phoneticPr fontId="25" type="noConversion"/>
  </si>
  <si>
    <t>六通</t>
    <phoneticPr fontId="25" type="noConversion"/>
  </si>
  <si>
    <t>钢混</t>
    <phoneticPr fontId="25" type="noConversion"/>
  </si>
  <si>
    <t>高层住宅</t>
    <phoneticPr fontId="143" type="noConversion"/>
  </si>
  <si>
    <t>房号</t>
    <phoneticPr fontId="143" type="noConversion"/>
  </si>
  <si>
    <t>1号楼-101</t>
    <phoneticPr fontId="143" type="noConversion"/>
  </si>
  <si>
    <t>1号楼-102</t>
    <phoneticPr fontId="143" type="noConversion"/>
  </si>
  <si>
    <t>1号楼-103</t>
    <phoneticPr fontId="143" type="noConversion"/>
  </si>
  <si>
    <t>1号楼-104</t>
    <phoneticPr fontId="143" type="noConversion"/>
  </si>
  <si>
    <t>1号楼-201</t>
    <phoneticPr fontId="143" type="noConversion"/>
  </si>
  <si>
    <t>1号楼-202</t>
    <phoneticPr fontId="143" type="noConversion"/>
  </si>
  <si>
    <t>1号楼-204</t>
    <phoneticPr fontId="143" type="noConversion"/>
  </si>
  <si>
    <t>11号楼-2204</t>
    <phoneticPr fontId="143" type="noConversion"/>
  </si>
  <si>
    <t>1号楼-203</t>
    <phoneticPr fontId="143" type="noConversion"/>
  </si>
  <si>
    <t>1号楼-301</t>
    <phoneticPr fontId="143" type="noConversion"/>
  </si>
  <si>
    <t>1号楼-401</t>
    <phoneticPr fontId="143" type="noConversion"/>
  </si>
  <si>
    <t>1号楼-1201</t>
    <phoneticPr fontId="143" type="noConversion"/>
  </si>
  <si>
    <t>1号楼-1002</t>
    <phoneticPr fontId="143" type="noConversion"/>
  </si>
  <si>
    <t>1号楼-1304</t>
    <phoneticPr fontId="143" type="noConversion"/>
  </si>
  <si>
    <t>2号楼-101</t>
    <phoneticPr fontId="143" type="noConversion"/>
  </si>
  <si>
    <t>1号楼-1404</t>
    <phoneticPr fontId="143" type="noConversion"/>
  </si>
  <si>
    <t>2号楼-102</t>
    <phoneticPr fontId="143" type="noConversion"/>
  </si>
  <si>
    <t>2号楼-103</t>
    <phoneticPr fontId="143" type="noConversion"/>
  </si>
  <si>
    <t>2号楼-104</t>
    <phoneticPr fontId="143" type="noConversion"/>
  </si>
  <si>
    <t>2号楼-304</t>
    <phoneticPr fontId="143" type="noConversion"/>
  </si>
  <si>
    <t>3号楼-103</t>
    <phoneticPr fontId="143" type="noConversion"/>
  </si>
  <si>
    <t>2号楼-1803</t>
    <phoneticPr fontId="143" type="noConversion"/>
  </si>
  <si>
    <t>3号楼-302</t>
    <phoneticPr fontId="143" type="noConversion"/>
  </si>
  <si>
    <t>3号楼-203</t>
    <phoneticPr fontId="143" type="noConversion"/>
  </si>
  <si>
    <t>3号楼-104</t>
    <phoneticPr fontId="143" type="noConversion"/>
  </si>
  <si>
    <t>3号楼-102</t>
    <phoneticPr fontId="143" type="noConversion"/>
  </si>
  <si>
    <t>2号楼-1401</t>
    <phoneticPr fontId="143" type="noConversion"/>
  </si>
  <si>
    <t>2号楼-202</t>
    <phoneticPr fontId="143" type="noConversion"/>
  </si>
  <si>
    <t>3号楼-101</t>
    <phoneticPr fontId="143" type="noConversion"/>
  </si>
  <si>
    <t>3号楼-202</t>
    <phoneticPr fontId="143" type="noConversion"/>
  </si>
  <si>
    <t>3号楼-204</t>
    <phoneticPr fontId="143" type="noConversion"/>
  </si>
  <si>
    <t>3号楼-304</t>
    <phoneticPr fontId="143" type="noConversion"/>
  </si>
  <si>
    <t>3号楼-404</t>
    <phoneticPr fontId="143" type="noConversion"/>
  </si>
  <si>
    <t>11号楼-2203</t>
    <phoneticPr fontId="143" type="noConversion"/>
  </si>
  <si>
    <t>10号楼-2-405</t>
    <phoneticPr fontId="143" type="noConversion"/>
  </si>
  <si>
    <t>10号楼-2-304</t>
    <phoneticPr fontId="143" type="noConversion"/>
  </si>
  <si>
    <t>3号楼-902</t>
    <phoneticPr fontId="143" type="noConversion"/>
  </si>
  <si>
    <t>4号楼-101</t>
    <phoneticPr fontId="143" type="noConversion"/>
  </si>
  <si>
    <t>3号楼-1402</t>
    <phoneticPr fontId="143" type="noConversion"/>
  </si>
  <si>
    <t>4号楼-304</t>
    <phoneticPr fontId="143" type="noConversion"/>
  </si>
  <si>
    <t>4号楼-202</t>
    <phoneticPr fontId="143" type="noConversion"/>
  </si>
  <si>
    <t>4号楼-103</t>
    <phoneticPr fontId="143" type="noConversion"/>
  </si>
  <si>
    <t>4号楼-204</t>
    <phoneticPr fontId="143" type="noConversion"/>
  </si>
  <si>
    <t>10号楼-2-406</t>
    <phoneticPr fontId="143" type="noConversion"/>
  </si>
  <si>
    <t>15号楼-3-705</t>
    <phoneticPr fontId="143" type="noConversion"/>
  </si>
  <si>
    <t>15号楼-3-605</t>
    <phoneticPr fontId="143" type="noConversion"/>
  </si>
  <si>
    <t>15号楼-2-703</t>
    <phoneticPr fontId="143" type="noConversion"/>
  </si>
  <si>
    <t>15号楼-2-704</t>
    <phoneticPr fontId="143" type="noConversion"/>
  </si>
  <si>
    <t>4号楼-102</t>
    <phoneticPr fontId="143" type="noConversion"/>
  </si>
  <si>
    <t>4号楼-104</t>
    <phoneticPr fontId="143" type="noConversion"/>
  </si>
  <si>
    <t>4号楼-401</t>
    <phoneticPr fontId="143" type="noConversion"/>
  </si>
  <si>
    <t>4号楼-404</t>
    <phoneticPr fontId="143" type="noConversion"/>
  </si>
  <si>
    <t>4号楼-702</t>
    <phoneticPr fontId="143" type="noConversion"/>
  </si>
  <si>
    <t>4号楼-804</t>
    <phoneticPr fontId="143" type="noConversion"/>
  </si>
  <si>
    <t>4号楼-1404</t>
    <phoneticPr fontId="143" type="noConversion"/>
  </si>
  <si>
    <t>4号楼-1702</t>
    <phoneticPr fontId="143" type="noConversion"/>
  </si>
  <si>
    <t>4号楼-2102</t>
    <phoneticPr fontId="143" type="noConversion"/>
  </si>
  <si>
    <t>4号楼-2204</t>
    <phoneticPr fontId="143" type="noConversion"/>
  </si>
  <si>
    <t>5号楼-202</t>
    <phoneticPr fontId="143" type="noConversion"/>
  </si>
  <si>
    <t>5号楼-203</t>
    <phoneticPr fontId="143" type="noConversion"/>
  </si>
  <si>
    <t>5号楼-204</t>
    <phoneticPr fontId="143" type="noConversion"/>
  </si>
  <si>
    <t>5号楼-302</t>
    <phoneticPr fontId="143" type="noConversion"/>
  </si>
  <si>
    <t>5号楼-303</t>
    <phoneticPr fontId="143" type="noConversion"/>
  </si>
  <si>
    <t>5号楼-402</t>
    <phoneticPr fontId="143" type="noConversion"/>
  </si>
  <si>
    <t>5号楼-404</t>
    <phoneticPr fontId="143" type="noConversion"/>
  </si>
  <si>
    <t>5号楼-501</t>
    <phoneticPr fontId="143" type="noConversion"/>
  </si>
  <si>
    <t>5号楼-2001</t>
    <phoneticPr fontId="143" type="noConversion"/>
  </si>
  <si>
    <t>6号楼-101</t>
    <phoneticPr fontId="143" type="noConversion"/>
  </si>
  <si>
    <t>6号楼-103</t>
    <phoneticPr fontId="143" type="noConversion"/>
  </si>
  <si>
    <t>6号楼-102</t>
    <phoneticPr fontId="143" type="noConversion"/>
  </si>
  <si>
    <t>6号楼-104</t>
    <phoneticPr fontId="143" type="noConversion"/>
  </si>
  <si>
    <t>6号楼-201</t>
    <phoneticPr fontId="143" type="noConversion"/>
  </si>
  <si>
    <t>6号楼-202</t>
    <phoneticPr fontId="143" type="noConversion"/>
  </si>
  <si>
    <t>6号楼-203</t>
    <phoneticPr fontId="143" type="noConversion"/>
  </si>
  <si>
    <t>6号楼-402</t>
    <phoneticPr fontId="143" type="noConversion"/>
  </si>
  <si>
    <t>7号楼-1-101</t>
    <phoneticPr fontId="143" type="noConversion"/>
  </si>
  <si>
    <t>7号楼-1-102</t>
    <phoneticPr fontId="143" type="noConversion"/>
  </si>
  <si>
    <t>7号楼-1-103</t>
    <phoneticPr fontId="143" type="noConversion"/>
  </si>
  <si>
    <t>7号楼-1-201</t>
    <phoneticPr fontId="143" type="noConversion"/>
  </si>
  <si>
    <t>7号楼-1-203</t>
    <phoneticPr fontId="143" type="noConversion"/>
  </si>
  <si>
    <t>15号楼-3-706</t>
    <phoneticPr fontId="143" type="noConversion"/>
  </si>
  <si>
    <t>15号楼-3-606</t>
    <phoneticPr fontId="143" type="noConversion"/>
  </si>
  <si>
    <t>15号楼-2-604</t>
    <phoneticPr fontId="143" type="noConversion"/>
  </si>
  <si>
    <t>15号楼-2-603</t>
    <phoneticPr fontId="143" type="noConversion"/>
  </si>
  <si>
    <t>7号楼-2-104</t>
    <phoneticPr fontId="143" type="noConversion"/>
  </si>
  <si>
    <t>7号楼-2-105</t>
    <phoneticPr fontId="143" type="noConversion"/>
  </si>
  <si>
    <t>7号楼-2-106</t>
    <phoneticPr fontId="143" type="noConversion"/>
  </si>
  <si>
    <t>7号楼-2-204</t>
    <phoneticPr fontId="143" type="noConversion"/>
  </si>
  <si>
    <t>7号楼-2-206</t>
    <phoneticPr fontId="143" type="noConversion"/>
  </si>
  <si>
    <t>15号楼-2-504</t>
    <phoneticPr fontId="143" type="noConversion"/>
  </si>
  <si>
    <t>15号楼-2-404</t>
    <phoneticPr fontId="143" type="noConversion"/>
  </si>
  <si>
    <t>15号楼-1-702</t>
    <phoneticPr fontId="143" type="noConversion"/>
  </si>
  <si>
    <t>15号楼-1-701</t>
    <phoneticPr fontId="143" type="noConversion"/>
  </si>
  <si>
    <t>15号楼-1-602</t>
    <phoneticPr fontId="143" type="noConversion"/>
  </si>
  <si>
    <t>14号楼-3-706</t>
    <phoneticPr fontId="143" type="noConversion"/>
  </si>
  <si>
    <t>14号楼-3-705</t>
    <phoneticPr fontId="143" type="noConversion"/>
  </si>
  <si>
    <t>14号楼-3-606</t>
    <phoneticPr fontId="143" type="noConversion"/>
  </si>
  <si>
    <t>14号楼-3-605</t>
    <phoneticPr fontId="143" type="noConversion"/>
  </si>
  <si>
    <t>14号楼-3-406</t>
    <phoneticPr fontId="143" type="noConversion"/>
  </si>
  <si>
    <t>14号楼-3-405</t>
    <phoneticPr fontId="143" type="noConversion"/>
  </si>
  <si>
    <t>14号楼-2-704</t>
    <phoneticPr fontId="143" type="noConversion"/>
  </si>
  <si>
    <t>14号楼-2-703</t>
    <phoneticPr fontId="143" type="noConversion"/>
  </si>
  <si>
    <t>14号楼-2-603</t>
    <phoneticPr fontId="143" type="noConversion"/>
  </si>
  <si>
    <t>14号楼-2-504</t>
    <phoneticPr fontId="143" type="noConversion"/>
  </si>
  <si>
    <t>14号楼-2-503</t>
    <phoneticPr fontId="143" type="noConversion"/>
  </si>
  <si>
    <t>7号楼-2-404</t>
    <phoneticPr fontId="143" type="noConversion"/>
  </si>
  <si>
    <t>7号楼-2-1406</t>
    <phoneticPr fontId="143" type="noConversion"/>
  </si>
  <si>
    <t>7号楼-2-1905</t>
    <phoneticPr fontId="143" type="noConversion"/>
  </si>
  <si>
    <t>7号楼-2-2204</t>
    <phoneticPr fontId="143" type="noConversion"/>
  </si>
  <si>
    <t>9号楼-101</t>
    <phoneticPr fontId="143" type="noConversion"/>
  </si>
  <si>
    <t>9号楼-102</t>
    <phoneticPr fontId="143" type="noConversion"/>
  </si>
  <si>
    <t>9号楼-103</t>
    <phoneticPr fontId="143" type="noConversion"/>
  </si>
  <si>
    <t>9号楼-104</t>
    <phoneticPr fontId="143" type="noConversion"/>
  </si>
  <si>
    <t>9号楼-201</t>
    <phoneticPr fontId="143" type="noConversion"/>
  </si>
  <si>
    <t>9号楼-204</t>
    <phoneticPr fontId="143" type="noConversion"/>
  </si>
  <si>
    <t>9号楼-1404</t>
    <phoneticPr fontId="143" type="noConversion"/>
  </si>
  <si>
    <t>10号楼-1-101</t>
    <phoneticPr fontId="143" type="noConversion"/>
  </si>
  <si>
    <t>10号楼-1-102</t>
    <phoneticPr fontId="143" type="noConversion"/>
  </si>
  <si>
    <t>10号楼-1-103</t>
    <phoneticPr fontId="143" type="noConversion"/>
  </si>
  <si>
    <t>10号楼-1-201</t>
    <phoneticPr fontId="143" type="noConversion"/>
  </si>
  <si>
    <t>10号楼-1-203</t>
    <phoneticPr fontId="143" type="noConversion"/>
  </si>
  <si>
    <t>10号楼-1-301</t>
    <phoneticPr fontId="143" type="noConversion"/>
  </si>
  <si>
    <t>10号楼-1-302</t>
    <phoneticPr fontId="143" type="noConversion"/>
  </si>
  <si>
    <t>10号楼-1-303</t>
    <phoneticPr fontId="143" type="noConversion"/>
  </si>
  <si>
    <t>10号楼-1-402</t>
    <phoneticPr fontId="143" type="noConversion"/>
  </si>
  <si>
    <t>10号楼-1-403</t>
    <phoneticPr fontId="143" type="noConversion"/>
  </si>
  <si>
    <t>10号楼-1-601</t>
    <phoneticPr fontId="143" type="noConversion"/>
  </si>
  <si>
    <t>10号楼-1-602</t>
    <phoneticPr fontId="143" type="noConversion"/>
  </si>
  <si>
    <t>10号楼-1-1403</t>
    <phoneticPr fontId="143" type="noConversion"/>
  </si>
  <si>
    <t>10号楼-2-104</t>
    <phoneticPr fontId="143" type="noConversion"/>
  </si>
  <si>
    <t>10号楼-2-105</t>
    <phoneticPr fontId="143" type="noConversion"/>
  </si>
  <si>
    <t>10号楼-2-106</t>
    <phoneticPr fontId="143" type="noConversion"/>
  </si>
  <si>
    <t>10号楼-2-204</t>
    <phoneticPr fontId="143" type="noConversion"/>
  </si>
  <si>
    <t>10号楼-2-205</t>
    <phoneticPr fontId="143" type="noConversion"/>
  </si>
  <si>
    <t>10号楼-2-206</t>
    <phoneticPr fontId="143" type="noConversion"/>
  </si>
  <si>
    <t>10号楼-2-306</t>
    <phoneticPr fontId="143" type="noConversion"/>
  </si>
  <si>
    <t>10号楼-2-404</t>
    <phoneticPr fontId="143" type="noConversion"/>
  </si>
  <si>
    <t>10号楼-2-2205</t>
    <phoneticPr fontId="143" type="noConversion"/>
  </si>
  <si>
    <t>序号</t>
    <phoneticPr fontId="143" type="noConversion"/>
  </si>
  <si>
    <t>12号楼-1-502</t>
    <phoneticPr fontId="143" type="noConversion"/>
  </si>
  <si>
    <t>12号楼-1-601</t>
    <phoneticPr fontId="143" type="noConversion"/>
  </si>
  <si>
    <t>12号楼-1-602</t>
    <phoneticPr fontId="143" type="noConversion"/>
  </si>
  <si>
    <t>12号楼-1-702</t>
    <phoneticPr fontId="143" type="noConversion"/>
  </si>
  <si>
    <t>12号楼-2-304</t>
    <phoneticPr fontId="143" type="noConversion"/>
  </si>
  <si>
    <t>12号楼-2-403</t>
    <phoneticPr fontId="143" type="noConversion"/>
  </si>
  <si>
    <t>12号楼-2-404</t>
    <phoneticPr fontId="143" type="noConversion"/>
  </si>
  <si>
    <t>12号楼-2-503</t>
    <phoneticPr fontId="143" type="noConversion"/>
  </si>
  <si>
    <t>12号楼-2-504</t>
    <phoneticPr fontId="143" type="noConversion"/>
  </si>
  <si>
    <t>12号楼-2-603</t>
    <phoneticPr fontId="143" type="noConversion"/>
  </si>
  <si>
    <t>12号楼-2-604</t>
    <phoneticPr fontId="143" type="noConversion"/>
  </si>
  <si>
    <t>12号楼-2-703</t>
    <phoneticPr fontId="143" type="noConversion"/>
  </si>
  <si>
    <t>12号楼-2-704</t>
    <phoneticPr fontId="143" type="noConversion"/>
  </si>
  <si>
    <t>12号楼-3-405</t>
    <phoneticPr fontId="143" type="noConversion"/>
  </si>
  <si>
    <t>12号楼-3-506</t>
    <phoneticPr fontId="143" type="noConversion"/>
  </si>
  <si>
    <t>12号楼-3-605</t>
    <phoneticPr fontId="143" type="noConversion"/>
  </si>
  <si>
    <t>12号楼-3-606</t>
    <phoneticPr fontId="143" type="noConversion"/>
  </si>
  <si>
    <t>12号楼-3-705</t>
    <phoneticPr fontId="143" type="noConversion"/>
  </si>
  <si>
    <t>12号楼-3-706</t>
    <phoneticPr fontId="143" type="noConversion"/>
  </si>
  <si>
    <t>13号楼-1-101</t>
    <phoneticPr fontId="143" type="noConversion"/>
  </si>
  <si>
    <t>13号楼-1-401</t>
    <phoneticPr fontId="143" type="noConversion"/>
  </si>
  <si>
    <t>13号楼-1-402</t>
    <phoneticPr fontId="143" type="noConversion"/>
  </si>
  <si>
    <t>13号楼-1-502</t>
    <phoneticPr fontId="143" type="noConversion"/>
  </si>
  <si>
    <t>13号楼-1-601</t>
    <phoneticPr fontId="143" type="noConversion"/>
  </si>
  <si>
    <t>13号楼-1-602</t>
    <phoneticPr fontId="143" type="noConversion"/>
  </si>
  <si>
    <t>13号楼-1-701</t>
    <phoneticPr fontId="143" type="noConversion"/>
  </si>
  <si>
    <t>13号楼-1-702</t>
    <phoneticPr fontId="143" type="noConversion"/>
  </si>
  <si>
    <t>13号楼-2-403</t>
    <phoneticPr fontId="143" type="noConversion"/>
  </si>
  <si>
    <t>13号楼-2-404</t>
    <phoneticPr fontId="143" type="noConversion"/>
  </si>
  <si>
    <t>13号楼-2-503</t>
    <phoneticPr fontId="143" type="noConversion"/>
  </si>
  <si>
    <t>13号楼-2-504</t>
    <phoneticPr fontId="143" type="noConversion"/>
  </si>
  <si>
    <t>13号楼-2-603</t>
    <phoneticPr fontId="143" type="noConversion"/>
  </si>
  <si>
    <t>13号楼-2-604</t>
    <phoneticPr fontId="143" type="noConversion"/>
  </si>
  <si>
    <t>13号楼-2-703</t>
    <phoneticPr fontId="143" type="noConversion"/>
  </si>
  <si>
    <t>13号楼-2-704</t>
    <phoneticPr fontId="143" type="noConversion"/>
  </si>
  <si>
    <t>13号楼-3-506</t>
    <phoneticPr fontId="143" type="noConversion"/>
  </si>
  <si>
    <t>13号楼-3-606</t>
    <phoneticPr fontId="143" type="noConversion"/>
  </si>
  <si>
    <t>13号楼-3-705</t>
    <phoneticPr fontId="143" type="noConversion"/>
  </si>
  <si>
    <t>13号楼-3-706</t>
    <phoneticPr fontId="143" type="noConversion"/>
  </si>
  <si>
    <t>14号楼-1-402</t>
    <phoneticPr fontId="143" type="noConversion"/>
  </si>
  <si>
    <t>14号楼-1-701</t>
    <phoneticPr fontId="143" type="noConversion"/>
  </si>
  <si>
    <t>14号楼-1-702</t>
    <phoneticPr fontId="143" type="noConversion"/>
  </si>
  <si>
    <t>14号楼-2-404</t>
    <phoneticPr fontId="143" type="noConversion"/>
  </si>
  <si>
    <t>洋房</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</si>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</sst>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120" fillId="0" borderId="1" xfId="0" applyNumberFormat="1" applyFont="1" applyBorder="1" applyAlignment="1" applyProtection="1">
      <alignment horizontal="center" vertical="center" wrapText="1"/>
      <protection locked="0"/>
    </xf>
    <xf numFmtId="176" fontId="106" fillId="0" borderId="1" xfId="0" applyNumberFormat="1" applyFont="1" applyBorder="1" applyAlignment="1" applyProtection="1">
      <alignment horizontal="center" vertical="center" wrapText="1"/>
      <protection locked="0"/>
    </xf>
    <xf numFmtId="0" fontId="101" fillId="0" borderId="0" xfId="0" applyFont="1" applyAlignment="1"/>
    <xf numFmtId="0" fontId="138" fillId="7" borderId="0" xfId="0" applyFont="1" applyFill="1" applyProtection="1">
      <alignment vertical="center"/>
      <protection locked="0"/>
    </xf>
    <xf numFmtId="0" fontId="120" fillId="7" borderId="0" xfId="0" applyFont="1" applyFill="1" applyProtection="1">
      <alignment vertical="center"/>
      <protection locked="0"/>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56" fillId="0" borderId="1" xfId="1" applyNumberFormat="1" applyFont="1" applyFill="1" applyBorder="1" applyAlignment="1" applyProtection="1">
      <alignment horizontal="center"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54" fillId="0" borderId="1" xfId="12" applyFont="1" applyFill="1" applyBorder="1" applyAlignment="1">
      <alignment horizontal="center" vertical="center" wrapText="1"/>
    </xf>
    <xf numFmtId="0" fontId="130" fillId="0" borderId="1" xfId="12" applyFont="1" applyFill="1" applyBorder="1" applyAlignment="1" applyProtection="1">
      <alignment horizontal="center"/>
      <protection locked="0"/>
    </xf>
    <xf numFmtId="0" fontId="19" fillId="0" borderId="1" xfId="12" applyFont="1" applyFill="1" applyBorder="1" applyAlignment="1">
      <alignment horizontal="center" vertical="center" wrapText="1"/>
    </xf>
    <xf numFmtId="0" fontId="113" fillId="0" borderId="1" xfId="0" applyFont="1" applyBorder="1" applyAlignment="1">
      <alignment horizontal="left" vertical="center"/>
    </xf>
    <xf numFmtId="0" fontId="0" fillId="0" borderId="1" xfId="0" applyBorder="1" applyAlignment="1">
      <alignment vertical="center"/>
    </xf>
    <xf numFmtId="0" fontId="113" fillId="0" borderId="1" xfId="0" applyFont="1" applyFill="1" applyBorder="1" applyAlignment="1">
      <alignment vertical="center"/>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12" applyFont="1" applyFill="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pplyAlignment="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33</xdr:col>
      <xdr:colOff>64686</xdr:colOff>
      <xdr:row>45</xdr:row>
      <xdr:rowOff>65907</xdr:rowOff>
    </xdr:to>
    <xdr:pic>
      <xdr:nvPicPr>
        <xdr:cNvPr id="4" name="图片 3"/>
        <xdr:cNvPicPr>
          <a:picLocks noChangeAspect="1"/>
        </xdr:cNvPicPr>
      </xdr:nvPicPr>
      <xdr:blipFill>
        <a:blip xmlns:r="http://schemas.openxmlformats.org/officeDocument/2006/relationships" r:embed="rId1"/>
        <a:stretch>
          <a:fillRect/>
        </a:stretch>
      </xdr:blipFill>
      <xdr:spPr>
        <a:xfrm>
          <a:off x="6865620" y="0"/>
          <a:ext cx="15914286" cy="8323809"/>
        </a:xfrm>
        <a:prstGeom prst="rect">
          <a:avLst/>
        </a:prstGeom>
      </xdr:spPr>
    </xdr:pic>
    <xdr:clientData/>
  </xdr:twoCellAnchor>
  <xdr:twoCellAnchor editAs="oneCell">
    <xdr:from>
      <xdr:col>7</xdr:col>
      <xdr:colOff>0</xdr:colOff>
      <xdr:row>65</xdr:row>
      <xdr:rowOff>0</xdr:rowOff>
    </xdr:from>
    <xdr:to>
      <xdr:col>20</xdr:col>
      <xdr:colOff>237105</xdr:colOff>
      <xdr:row>82</xdr:row>
      <xdr:rowOff>15933</xdr:rowOff>
    </xdr:to>
    <xdr:pic>
      <xdr:nvPicPr>
        <xdr:cNvPr id="2" name="图片 1"/>
        <xdr:cNvPicPr>
          <a:picLocks noChangeAspect="1"/>
        </xdr:cNvPicPr>
      </xdr:nvPicPr>
      <xdr:blipFill>
        <a:blip xmlns:r="http://schemas.openxmlformats.org/officeDocument/2006/relationships" r:embed="rId2"/>
        <a:stretch>
          <a:fillRect/>
        </a:stretch>
      </xdr:blipFill>
      <xdr:spPr>
        <a:xfrm>
          <a:off x="6868886" y="8490857"/>
          <a:ext cx="8161905"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246;&#24030;&#24658;&#22823;&#24481;&#23792;-&#30005;&#31639;&#34920;-&#22312;&#24314;-&#26410;&#21806;&#2084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166916.79999999999</v>
          </cell>
          <cell r="C14">
            <v>61053.58</v>
          </cell>
          <cell r="D14">
            <v>137586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浙江省吴兴区八里店乌山单元02-01E号地块房地产抵押价值预评估</v>
      </c>
    </row>
    <row r="3" spans="1:2" s="1586" customFormat="1">
      <c r="A3" s="1584" t="s">
        <v>1217</v>
      </c>
      <c r="B3" s="1585" t="str">
        <f>'预评函-封皮'!B40</f>
        <v>湖州市乌虹湖置业有限公司</v>
      </c>
    </row>
    <row r="4" spans="1:2" s="1586" customFormat="1">
      <c r="A4" s="1584" t="s">
        <v>1218</v>
      </c>
      <c r="B4" s="1585" t="str">
        <f ca="1">'预评函-封皮'!B46</f>
        <v>吴薇（注册号：1419970001)、郑燚（注册号：1120070131)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受贵公司委托，我公司对浙江省吴兴区八里店乌山单元02-01E号地块房地产抵押价值进行了预评估。</v>
      </c>
    </row>
    <row r="7" spans="1:2" s="1586" customFormat="1">
      <c r="A7" s="1584" t="s">
        <v>1260</v>
      </c>
      <c r="B7" s="1585" t="str">
        <f>'预评函-1'!A7</f>
        <v>估价对象为浙江省吴兴区八里店乌山单元02-01E号地块房地产，为湖州市乌虹湖置业有限公司所有。根据《国有土地使用证》[]，估价对象（分摊）出让国有建设用地使用权面积为8279.61平方米，建筑面积为21278.6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为估价委托人在向外贸信托办理贷款手续过程中，确定房地产抵押贷款额度提供参考依据而评估房地产抵押价值。</v>
      </c>
    </row>
    <row r="12" spans="1:2" s="1586" customFormat="1">
      <c r="A12" s="1584" t="s">
        <v>1222</v>
      </c>
      <c r="B12" s="1585" t="str">
        <f>'预评函-1'!A15</f>
        <v>2019年8月22日（评估专业人员实地查勘之日）</v>
      </c>
    </row>
    <row r="13" spans="1:2" s="1586" customFormat="1">
      <c r="A13" s="1584" t="s">
        <v>1223</v>
      </c>
      <c r="B13" s="1585" t="str">
        <f>'预评函-1'!A18</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6.2" thickBot="1">
      <c r="A18" s="1587" t="s">
        <v>1228</v>
      </c>
      <c r="B18" s="1588" t="str">
        <f>'预评函-1'!A24</f>
        <v>本次评估采用的主估价方法为比较法和收益法。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17364</v>
      </c>
    </row>
    <row r="21" spans="1:2" s="1586" customFormat="1">
      <c r="A21" s="1584" t="s">
        <v>1231</v>
      </c>
      <c r="B21" s="1585">
        <f ca="1">'预评函-2'!D7</f>
        <v>13044</v>
      </c>
    </row>
    <row r="22" spans="1:2" s="1586" customFormat="1">
      <c r="A22" s="1584" t="s">
        <v>1232</v>
      </c>
      <c r="B22" s="1585" t="str">
        <f ca="1">'预评函-2'!D6</f>
        <v>壹亿柒仟叁佰陆拾肆万元整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17364</v>
      </c>
    </row>
    <row r="31" spans="1:2" s="1586" customFormat="1">
      <c r="A31" s="1584" t="s">
        <v>1270</v>
      </c>
      <c r="B31" s="1585">
        <f ca="1">'预评函-2'!D15</f>
        <v>8160</v>
      </c>
    </row>
    <row r="32" spans="1:2" s="1586" customFormat="1">
      <c r="A32" s="1584" t="s">
        <v>1237</v>
      </c>
      <c r="B32" s="1585" t="str">
        <f ca="1">'预评函-2'!D14</f>
        <v>壹亿柒仟叁佰陆拾肆万元整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浙江省吴兴区八里店乌山单元02-01E号地块房地产</v>
      </c>
    </row>
    <row r="42" spans="1:2" s="1586" customFormat="1" ht="31.2">
      <c r="A42" s="1584" t="s">
        <v>1284</v>
      </c>
      <c r="B42" s="1585" t="str">
        <f>'预评函-3'!B2</f>
        <v>建筑面积</v>
      </c>
    </row>
    <row r="43" spans="1:2" s="1586" customFormat="1">
      <c r="A43" s="1584" t="s">
        <v>1285</v>
      </c>
      <c r="B43" s="1585">
        <f>'预评函-3'!B4</f>
        <v>21278.6</v>
      </c>
    </row>
    <row r="44" spans="1:2" s="1586" customFormat="1" ht="31.2">
      <c r="A44" s="1584" t="s">
        <v>1269</v>
      </c>
      <c r="B44" s="1585" t="str">
        <f>'预评函-3'!C2</f>
        <v>(分摊)土地面积</v>
      </c>
    </row>
    <row r="45" spans="1:2" s="1586" customFormat="1">
      <c r="A45" s="1584" t="s">
        <v>1241</v>
      </c>
      <c r="B45" s="1585">
        <f>'预评函-3'!C4</f>
        <v>8279.61</v>
      </c>
    </row>
    <row r="46" spans="1:2" s="1586" customFormat="1">
      <c r="A46" s="1584" t="s">
        <v>1267</v>
      </c>
      <c r="B46" s="1585" t="str">
        <f>'预评函-3'!D2</f>
        <v>出让国有建设用地使用权价值</v>
      </c>
    </row>
    <row r="47" spans="1:2" s="1586" customFormat="1">
      <c r="A47" s="1584" t="s">
        <v>1242</v>
      </c>
      <c r="B47" s="1585">
        <f ca="1">'预评函-3'!D4</f>
        <v>10193</v>
      </c>
    </row>
    <row r="48" spans="1:2" s="1586" customFormat="1">
      <c r="A48" s="1584" t="s">
        <v>1243</v>
      </c>
      <c r="B48" s="1585">
        <f ca="1">'预评函-3'!E4</f>
        <v>7657</v>
      </c>
    </row>
    <row r="49" spans="1:2" s="1586" customFormat="1">
      <c r="A49" s="1584" t="s">
        <v>1244</v>
      </c>
      <c r="B49" s="1585" t="str">
        <f ca="1">'预评函-3'!D5</f>
        <v>壹亿零壹佰玖拾叁万元整</v>
      </c>
    </row>
    <row r="50" spans="1:2" s="1586" customFormat="1">
      <c r="A50" s="1584" t="s">
        <v>1268</v>
      </c>
      <c r="B50" s="1585" t="str">
        <f>'预评函-3'!F2</f>
        <v>在建建筑物价值</v>
      </c>
    </row>
    <row r="51" spans="1:2" s="1586" customFormat="1">
      <c r="A51" s="1584" t="s">
        <v>1245</v>
      </c>
      <c r="B51" s="1585">
        <f ca="1">'预评函-3'!F4</f>
        <v>7171</v>
      </c>
    </row>
    <row r="52" spans="1:2" s="1586" customFormat="1">
      <c r="A52" s="1584" t="s">
        <v>1246</v>
      </c>
      <c r="B52" s="1585">
        <f ca="1">'预评函-3'!G4</f>
        <v>5387</v>
      </c>
    </row>
    <row r="53" spans="1:2" s="1586" customFormat="1">
      <c r="A53" s="1584" t="s">
        <v>1274</v>
      </c>
      <c r="B53" s="1585" t="str">
        <f ca="1">'预评函-3'!F5</f>
        <v>柒仟壹佰柒拾壹万元整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吴薇</v>
      </c>
    </row>
    <row r="71" spans="1:2">
      <c r="A71" s="1584" t="s">
        <v>1257</v>
      </c>
      <c r="B71" s="1585">
        <f ca="1">'预评函-4'!B4</f>
        <v>1419970001</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Q21" sqref="Q21"/>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1684</v>
      </c>
      <c r="C1" s="2001" t="s">
        <v>759</v>
      </c>
      <c r="D1" s="2002" t="s">
        <v>1685</v>
      </c>
      <c r="E1" s="2002" t="s">
        <v>1686</v>
      </c>
      <c r="F1" s="2002" t="s">
        <v>1687</v>
      </c>
      <c r="G1" s="2002" t="s">
        <v>1688</v>
      </c>
      <c r="H1" s="2002" t="s">
        <v>1689</v>
      </c>
      <c r="I1" s="2002" t="s">
        <v>1690</v>
      </c>
      <c r="J1" s="2002" t="s">
        <v>1691</v>
      </c>
      <c r="K1" s="2002" t="s">
        <v>1692</v>
      </c>
      <c r="L1" s="2002" t="s">
        <v>1693</v>
      </c>
      <c r="M1" s="2002" t="s">
        <v>1694</v>
      </c>
      <c r="N1" s="2002" t="s">
        <v>1695</v>
      </c>
      <c r="O1" s="2002" t="s">
        <v>1696</v>
      </c>
      <c r="P1" s="2003" t="s">
        <v>753</v>
      </c>
      <c r="Q1" s="2003" t="s">
        <v>1141</v>
      </c>
      <c r="R1" s="2002" t="s">
        <v>1135</v>
      </c>
      <c r="S1" s="2002" t="s">
        <v>1697</v>
      </c>
      <c r="T1" s="2004" t="s">
        <v>1698</v>
      </c>
      <c r="U1" s="2002" t="s">
        <v>1699</v>
      </c>
      <c r="V1" s="2002" t="s">
        <v>1700</v>
      </c>
      <c r="W1" s="2002" t="s">
        <v>755</v>
      </c>
    </row>
    <row r="2" spans="1:23">
      <c r="A2" s="2006" t="s">
        <v>22</v>
      </c>
      <c r="B2" s="2006" t="s">
        <v>1701</v>
      </c>
      <c r="C2" s="2007" t="s">
        <v>760</v>
      </c>
      <c r="D2" s="2008" t="s">
        <v>1702</v>
      </c>
      <c r="E2" s="2008" t="s">
        <v>1703</v>
      </c>
      <c r="F2" s="2008" t="s">
        <v>1704</v>
      </c>
      <c r="G2" s="2008">
        <v>40</v>
      </c>
      <c r="H2" s="2008" t="s">
        <v>1704</v>
      </c>
      <c r="I2" s="2008" t="s">
        <v>1705</v>
      </c>
      <c r="J2" s="2008" t="s">
        <v>1706</v>
      </c>
      <c r="K2" s="2008" t="s">
        <v>1707</v>
      </c>
      <c r="L2" s="2008" t="s">
        <v>1707</v>
      </c>
      <c r="M2" s="2008" t="s">
        <v>1707</v>
      </c>
      <c r="N2" s="2008" t="s">
        <v>1707</v>
      </c>
      <c r="O2" s="2008" t="s">
        <v>1707</v>
      </c>
      <c r="P2" s="2008" t="s">
        <v>1707</v>
      </c>
      <c r="Q2" s="2008" t="s">
        <v>1707</v>
      </c>
      <c r="R2" s="2008" t="s">
        <v>1137</v>
      </c>
      <c r="S2" s="2008" t="s">
        <v>1707</v>
      </c>
      <c r="T2" s="2008" t="s">
        <v>1708</v>
      </c>
      <c r="U2" s="2008" t="s">
        <v>1707</v>
      </c>
      <c r="V2" s="2008" t="s">
        <v>1709</v>
      </c>
      <c r="W2" s="2008" t="s">
        <v>1707</v>
      </c>
    </row>
    <row r="3" spans="1:23">
      <c r="A3" s="2006" t="s">
        <v>1710</v>
      </c>
      <c r="B3" s="2009" t="s">
        <v>1142</v>
      </c>
      <c r="C3" s="2010" t="s">
        <v>761</v>
      </c>
      <c r="D3" s="2008" t="s">
        <v>1711</v>
      </c>
      <c r="E3" s="2008" t="s">
        <v>16</v>
      </c>
      <c r="F3" s="2008" t="s">
        <v>1712</v>
      </c>
      <c r="G3" s="2008">
        <v>50</v>
      </c>
      <c r="H3" s="2008" t="s">
        <v>1712</v>
      </c>
      <c r="I3" s="2008" t="s">
        <v>1713</v>
      </c>
      <c r="J3" s="2008" t="s">
        <v>1714</v>
      </c>
      <c r="K3" s="2008" t="s">
        <v>1715</v>
      </c>
      <c r="L3" s="2008" t="s">
        <v>1715</v>
      </c>
      <c r="M3" s="2008" t="s">
        <v>1715</v>
      </c>
      <c r="N3" s="2008" t="s">
        <v>1715</v>
      </c>
      <c r="O3" s="2008" t="s">
        <v>1715</v>
      </c>
      <c r="P3" s="2008" t="s">
        <v>1715</v>
      </c>
      <c r="Q3" s="2008" t="s">
        <v>1715</v>
      </c>
      <c r="R3" s="2008" t="s">
        <v>1136</v>
      </c>
      <c r="S3" s="2008" t="s">
        <v>1715</v>
      </c>
      <c r="T3" s="2008" t="s">
        <v>1716</v>
      </c>
      <c r="U3" s="2008" t="s">
        <v>1715</v>
      </c>
      <c r="V3" s="2008" t="s">
        <v>1717</v>
      </c>
      <c r="W3" s="2008" t="s">
        <v>1715</v>
      </c>
    </row>
    <row r="4" spans="1:23">
      <c r="A4" s="2006" t="s">
        <v>1718</v>
      </c>
      <c r="B4" s="2006" t="s">
        <v>1719</v>
      </c>
      <c r="C4" s="2007" t="s">
        <v>762</v>
      </c>
      <c r="D4" s="2008" t="s">
        <v>865</v>
      </c>
      <c r="E4" s="2008" t="s">
        <v>1720</v>
      </c>
      <c r="F4" s="2008" t="s">
        <v>1721</v>
      </c>
      <c r="G4" s="2008">
        <v>70</v>
      </c>
      <c r="H4" s="2008" t="s">
        <v>1721</v>
      </c>
      <c r="I4" s="2008" t="s">
        <v>1722</v>
      </c>
      <c r="K4" s="2008" t="s">
        <v>1723</v>
      </c>
      <c r="L4" s="2008" t="s">
        <v>1723</v>
      </c>
      <c r="M4" s="2008" t="s">
        <v>1723</v>
      </c>
      <c r="N4" s="2008" t="s">
        <v>1723</v>
      </c>
      <c r="O4" s="2008" t="s">
        <v>1723</v>
      </c>
      <c r="P4" s="2008" t="s">
        <v>1723</v>
      </c>
      <c r="Q4" s="2008" t="s">
        <v>1723</v>
      </c>
      <c r="R4" s="2008" t="s">
        <v>1138</v>
      </c>
      <c r="S4" s="2008" t="s">
        <v>1723</v>
      </c>
      <c r="T4" s="2008" t="s">
        <v>1724</v>
      </c>
      <c r="U4" s="2008" t="s">
        <v>1723</v>
      </c>
      <c r="W4" s="2008" t="s">
        <v>1723</v>
      </c>
    </row>
    <row r="5" spans="1:23">
      <c r="A5" s="2006" t="s">
        <v>1725</v>
      </c>
      <c r="B5" s="2009" t="s">
        <v>3658</v>
      </c>
      <c r="C5" s="2007" t="s">
        <v>763</v>
      </c>
      <c r="F5" s="2008" t="s">
        <v>1726</v>
      </c>
      <c r="H5" s="2008" t="s">
        <v>1727</v>
      </c>
      <c r="I5" s="2008" t="s">
        <v>1728</v>
      </c>
      <c r="K5" s="2008" t="s">
        <v>1729</v>
      </c>
      <c r="L5" s="2008" t="s">
        <v>1729</v>
      </c>
      <c r="M5" s="2008" t="s">
        <v>1729</v>
      </c>
      <c r="N5" s="2008" t="s">
        <v>1729</v>
      </c>
      <c r="O5" s="2008" t="s">
        <v>1729</v>
      </c>
      <c r="P5" s="2008" t="s">
        <v>1729</v>
      </c>
      <c r="Q5" s="2008" t="s">
        <v>1729</v>
      </c>
      <c r="R5" s="2008" t="s">
        <v>1139</v>
      </c>
      <c r="S5" s="2008" t="s">
        <v>1729</v>
      </c>
      <c r="T5" s="2008" t="s">
        <v>1730</v>
      </c>
      <c r="U5" s="2008" t="s">
        <v>1729</v>
      </c>
      <c r="W5" s="2008" t="s">
        <v>1729</v>
      </c>
    </row>
    <row r="6" spans="1:23">
      <c r="A6" s="2006" t="s">
        <v>1731</v>
      </c>
      <c r="B6" s="2009" t="s">
        <v>1143</v>
      </c>
      <c r="C6" s="2012" t="s">
        <v>30</v>
      </c>
      <c r="F6" s="2008" t="s">
        <v>1727</v>
      </c>
      <c r="H6" s="2008" t="s">
        <v>1732</v>
      </c>
      <c r="I6" s="2008" t="s">
        <v>1733</v>
      </c>
      <c r="K6" s="2008" t="s">
        <v>1734</v>
      </c>
      <c r="L6" s="2008" t="s">
        <v>1734</v>
      </c>
      <c r="M6" s="2008" t="s">
        <v>1734</v>
      </c>
      <c r="N6" s="2008" t="s">
        <v>1734</v>
      </c>
      <c r="O6" s="2008" t="s">
        <v>1734</v>
      </c>
      <c r="P6" s="2008" t="s">
        <v>1734</v>
      </c>
      <c r="Q6" s="2008" t="s">
        <v>1734</v>
      </c>
      <c r="R6" s="2008" t="s">
        <v>1140</v>
      </c>
      <c r="S6" s="2008" t="s">
        <v>1734</v>
      </c>
      <c r="T6" s="2008"/>
      <c r="U6" s="2008" t="s">
        <v>1734</v>
      </c>
      <c r="W6" s="2008" t="s">
        <v>1734</v>
      </c>
    </row>
    <row r="7" spans="1:23">
      <c r="A7" s="2006" t="s">
        <v>1735</v>
      </c>
      <c r="B7" s="2009" t="s">
        <v>1144</v>
      </c>
      <c r="C7" s="2007" t="s">
        <v>31</v>
      </c>
      <c r="F7" s="2008" t="s">
        <v>1736</v>
      </c>
      <c r="H7" s="2008" t="s">
        <v>1737</v>
      </c>
      <c r="I7" s="2008" t="s">
        <v>1738</v>
      </c>
    </row>
    <row r="8" spans="1:23">
      <c r="A8" s="2006" t="s">
        <v>1739</v>
      </c>
      <c r="B8" s="2009" t="s">
        <v>3662</v>
      </c>
      <c r="C8" s="2007" t="s">
        <v>764</v>
      </c>
      <c r="F8" s="2008" t="s">
        <v>1740</v>
      </c>
      <c r="H8" s="2008"/>
      <c r="I8" s="2008" t="s">
        <v>1741</v>
      </c>
    </row>
    <row r="9" spans="1:23">
      <c r="A9" s="2006" t="s">
        <v>1742</v>
      </c>
      <c r="B9" s="2006" t="s">
        <v>1743</v>
      </c>
      <c r="C9" s="2007" t="s">
        <v>765</v>
      </c>
      <c r="F9" s="2008" t="s">
        <v>1744</v>
      </c>
      <c r="H9" s="2008"/>
    </row>
    <row r="10" spans="1:23">
      <c r="A10" s="2006" t="s">
        <v>1745</v>
      </c>
      <c r="B10" s="2006" t="s">
        <v>1746</v>
      </c>
      <c r="C10" s="2007" t="s">
        <v>766</v>
      </c>
      <c r="F10" s="2008" t="s">
        <v>16</v>
      </c>
    </row>
    <row r="11" spans="1:23">
      <c r="A11" s="2006" t="s">
        <v>1747</v>
      </c>
      <c r="B11" s="2006" t="s">
        <v>1748</v>
      </c>
      <c r="C11" s="2007" t="s">
        <v>767</v>
      </c>
    </row>
    <row r="12" spans="1:23">
      <c r="A12" s="2006" t="s">
        <v>1749</v>
      </c>
      <c r="B12" s="2006" t="s">
        <v>1750</v>
      </c>
      <c r="C12" s="2007" t="s">
        <v>768</v>
      </c>
    </row>
    <row r="13" spans="1:23">
      <c r="A13" s="2006" t="s">
        <v>1751</v>
      </c>
      <c r="B13" s="2006" t="s">
        <v>1752</v>
      </c>
      <c r="C13" s="2007" t="s">
        <v>769</v>
      </c>
    </row>
    <row r="14" spans="1:23">
      <c r="A14" s="2006" t="s">
        <v>1753</v>
      </c>
      <c r="B14" s="2006" t="s">
        <v>1754</v>
      </c>
      <c r="C14" s="2008" t="s">
        <v>16</v>
      </c>
    </row>
    <row r="15" spans="1:23">
      <c r="A15" s="2006" t="s">
        <v>1755</v>
      </c>
      <c r="B15" s="2006" t="s">
        <v>1756</v>
      </c>
      <c r="C15" s="2007"/>
    </row>
    <row r="16" spans="1:23">
      <c r="A16" s="2006" t="s">
        <v>1757</v>
      </c>
      <c r="B16" s="2006" t="s">
        <v>756</v>
      </c>
      <c r="C16" s="2007"/>
    </row>
    <row r="17" spans="1:3">
      <c r="A17" s="2006" t="s">
        <v>1758</v>
      </c>
      <c r="B17" s="2006" t="s">
        <v>3660</v>
      </c>
      <c r="C17" s="2007"/>
    </row>
    <row r="18" spans="1:3">
      <c r="A18" s="2006" t="s">
        <v>1759</v>
      </c>
      <c r="B18" s="2009" t="s">
        <v>3664</v>
      </c>
      <c r="C18" s="2007"/>
    </row>
    <row r="19" spans="1:3">
      <c r="A19" s="2006" t="s">
        <v>1760</v>
      </c>
      <c r="B19" s="2006" t="s">
        <v>757</v>
      </c>
      <c r="C19" s="2007"/>
    </row>
    <row r="20" spans="1:3">
      <c r="A20" s="2006" t="s">
        <v>1761</v>
      </c>
      <c r="B20" s="2006" t="s">
        <v>757</v>
      </c>
      <c r="C20" s="2007"/>
    </row>
    <row r="21" spans="1:3">
      <c r="A21" s="2006" t="s">
        <v>1762</v>
      </c>
      <c r="B21" s="2006" t="s">
        <v>757</v>
      </c>
      <c r="C21" s="2007"/>
    </row>
    <row r="22" spans="1:3">
      <c r="A22" s="2006" t="s">
        <v>1763</v>
      </c>
      <c r="B22" s="2006" t="s">
        <v>757</v>
      </c>
      <c r="C22" s="2007"/>
    </row>
    <row r="23" spans="1:3">
      <c r="A23" s="2006" t="s">
        <v>1764</v>
      </c>
      <c r="B23" s="2006" t="s">
        <v>757</v>
      </c>
      <c r="C23" s="2007"/>
    </row>
    <row r="24" spans="1:3">
      <c r="A24" s="2006" t="s">
        <v>1765</v>
      </c>
      <c r="B24" s="2006" t="s">
        <v>757</v>
      </c>
      <c r="C24" s="2007"/>
    </row>
    <row r="25" spans="1:3">
      <c r="A25" s="2006" t="s">
        <v>1766</v>
      </c>
      <c r="B25" s="2006" t="s">
        <v>757</v>
      </c>
      <c r="C25" s="2007"/>
    </row>
    <row r="26" spans="1:3">
      <c r="A26" s="2006" t="s">
        <v>1767</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州市乌虹湖置业有限公司拟使用浙江省吴兴区八里店乌山单元02-01E号地块房地产作为抵押担保物，向外贸信托办理贷款手续。外贸信托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45"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4" t="s">
        <v>861</v>
      </c>
      <c r="C54" s="2011" t="s">
        <v>1277</v>
      </c>
    </row>
    <row r="55" spans="1:4">
      <c r="A55" s="3045"/>
      <c r="B55" s="2014" t="s">
        <v>862</v>
      </c>
      <c r="C55" s="2011" t="s">
        <v>1278</v>
      </c>
    </row>
    <row r="56" spans="1:4">
      <c r="A56" s="3045"/>
      <c r="B56" s="2014" t="s">
        <v>863</v>
      </c>
      <c r="C56" s="2011" t="s">
        <v>1282</v>
      </c>
    </row>
    <row r="57" spans="1:4">
      <c r="A57" s="3045"/>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8671875" style="2024" customWidth="1"/>
    <col min="2" max="2" width="12.109375" style="2024" customWidth="1"/>
    <col min="3" max="4" width="11.44140625" style="2024" customWidth="1"/>
    <col min="5" max="6" width="10" style="2024" customWidth="1"/>
    <col min="7" max="7" width="10.77734375" style="2024" customWidth="1"/>
    <col min="8" max="8" width="10" style="2024" customWidth="1"/>
    <col min="9" max="9" width="11.10937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1768</v>
      </c>
      <c r="B1" s="3054" t="str">
        <f>IF(B10="北京市","北京市",C10)&amp;F10&amp;IF('结果表-高层'!G1="在建","出让国有建设用地使用权及在建建筑物",IF('结果表-高层'!G1="土地","出让国有建设用地使用权",))&amp;B9&amp;"预评估"</f>
        <v>浙江省吴兴区八里店乌山单元02-01E号地块房地产抵押价值预评估</v>
      </c>
      <c r="C1" s="3055"/>
      <c r="D1" s="3055"/>
      <c r="E1" s="3055"/>
      <c r="F1" s="3055"/>
      <c r="G1" s="3055"/>
      <c r="H1" s="3055"/>
      <c r="I1" s="3056"/>
      <c r="J1" s="2018"/>
      <c r="K1" s="2019"/>
      <c r="L1" s="2020"/>
      <c r="M1" s="2020"/>
      <c r="N1" s="2021"/>
      <c r="O1" s="2022"/>
      <c r="P1" s="2021"/>
      <c r="Q1" s="2021"/>
      <c r="R1" s="2021"/>
      <c r="S1" s="2023" t="str">
        <f>IF(B10="北京市","北京市",C10)&amp;F10&amp;IF('结果表-高层'!G1="在建","出让国有建设用地使用权及在建建筑物房地产抵押价值",IF('结果表-高层'!G1="土地","出让国有建设用地使用权抵押价值",B9))</f>
        <v>浙江省吴兴区八里店乌山单元02-01E号地块房地产抵押价值</v>
      </c>
    </row>
    <row r="2" spans="1:19" ht="18" customHeight="1">
      <c r="A2" s="2018" t="s">
        <v>1769</v>
      </c>
      <c r="B2" s="1032"/>
      <c r="C2" s="2025"/>
      <c r="D2" s="2018"/>
      <c r="E2" s="2026"/>
      <c r="F2" s="2026"/>
      <c r="G2" s="2018"/>
      <c r="H2" s="2018"/>
      <c r="I2" s="2018"/>
      <c r="J2" s="2018"/>
      <c r="K2" s="2019"/>
      <c r="L2" s="2020"/>
      <c r="M2" s="2020"/>
      <c r="N2" s="2021"/>
      <c r="O2" s="2022"/>
      <c r="P2" s="2021"/>
      <c r="Q2" s="2021"/>
      <c r="R2" s="2021"/>
      <c r="S2" s="2023" t="str">
        <f>IF(B10="北京市","北京市",C10)&amp;F10&amp;IF('结果表-高层'!G1="在建","出让国有建设用地使用权及在建建筑物房地产",IF('结果表-高层'!G1="土地","出让国有建设用地使用权","房地产"))</f>
        <v>浙江省吴兴区八里店乌山单元02-01E号地块房地产</v>
      </c>
    </row>
    <row r="3" spans="1:19" ht="18" customHeight="1">
      <c r="A3" s="2027" t="s">
        <v>1770</v>
      </c>
      <c r="B3" s="2028">
        <v>43699</v>
      </c>
      <c r="C3" s="2029" t="s">
        <v>1771</v>
      </c>
      <c r="D3" s="2028">
        <f>B3</f>
        <v>43699</v>
      </c>
      <c r="E3" s="2018"/>
      <c r="F3" s="2018"/>
      <c r="G3" s="2018"/>
      <c r="H3" s="2018"/>
      <c r="I3" s="2018"/>
      <c r="J3" s="2018"/>
      <c r="K3" s="2019"/>
      <c r="L3" s="2020"/>
      <c r="M3" s="2020"/>
      <c r="N3" s="2021"/>
      <c r="O3" s="2022"/>
      <c r="P3" s="2021"/>
      <c r="Q3" s="2021"/>
      <c r="R3" s="2021"/>
      <c r="S3" s="2023"/>
    </row>
    <row r="4" spans="1:19" ht="18" customHeight="1" thickBot="1">
      <c r="A4" s="2030" t="s">
        <v>1772</v>
      </c>
      <c r="B4" s="2031" t="s">
        <v>3042</v>
      </c>
      <c r="C4" s="1030">
        <f ca="1">SUMIF(注册房地产估价师,B4,估价师及机构信息!B3:B24)</f>
        <v>1419970001</v>
      </c>
      <c r="D4" s="2031" t="s">
        <v>3043</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吴薇（注册号：1419970001)、郑燚（注册号：1120070131)</v>
      </c>
      <c r="L4" s="2020"/>
      <c r="M4" s="2020"/>
      <c r="N4" s="2021"/>
      <c r="O4" s="2022"/>
      <c r="P4" s="2021"/>
      <c r="Q4" s="2021"/>
      <c r="R4" s="2021"/>
      <c r="S4" s="2023"/>
    </row>
    <row r="5" spans="1:19" ht="18" customHeight="1" thickTop="1">
      <c r="A5" s="2036" t="s">
        <v>1773</v>
      </c>
      <c r="B5" s="2952" t="s">
        <v>3643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1774</v>
      </c>
      <c r="B6" s="2953" t="s">
        <v>3059</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1775</v>
      </c>
      <c r="B7" s="2043" t="str">
        <f>B5</f>
        <v>湖州市乌虹湖置业有限公司</v>
      </c>
      <c r="C7" s="2040"/>
      <c r="D7" s="2041"/>
      <c r="E7" s="2026"/>
      <c r="F7" s="2034"/>
      <c r="G7" s="2034"/>
      <c r="H7" s="2034"/>
      <c r="I7" s="2034"/>
      <c r="J7" s="2034"/>
      <c r="K7" s="2044"/>
      <c r="L7" s="2020"/>
      <c r="M7" s="2020"/>
      <c r="N7" s="2021"/>
      <c r="O7" s="2022"/>
      <c r="P7" s="2021"/>
      <c r="Q7" s="2021"/>
      <c r="R7" s="2021"/>
    </row>
    <row r="8" spans="1:19" ht="18" customHeight="1">
      <c r="A8" s="2039" t="s">
        <v>1776</v>
      </c>
      <c r="B8" s="2045" t="s">
        <v>3044</v>
      </c>
      <c r="C8" s="2046"/>
      <c r="D8" s="3057" t="s">
        <v>1777</v>
      </c>
      <c r="E8" s="2047" t="s">
        <v>3045</v>
      </c>
      <c r="F8" s="2048"/>
      <c r="G8" s="2018"/>
      <c r="H8" s="2018"/>
      <c r="I8" s="2018"/>
      <c r="J8" s="2034"/>
      <c r="K8" s="2035"/>
      <c r="L8" s="2020"/>
      <c r="M8" s="2020"/>
      <c r="N8" s="2021"/>
      <c r="O8" s="2022"/>
      <c r="P8" s="2021"/>
      <c r="Q8" s="2021"/>
      <c r="R8" s="2021"/>
    </row>
    <row r="9" spans="1:19" ht="18" customHeight="1" thickBot="1">
      <c r="A9" s="2032" t="s">
        <v>1778</v>
      </c>
      <c r="B9" s="2049" t="s">
        <v>3045</v>
      </c>
      <c r="C9" s="2050"/>
      <c r="D9" s="3058"/>
      <c r="E9" s="2049" t="s">
        <v>70</v>
      </c>
      <c r="F9" s="2051"/>
      <c r="G9" s="2052"/>
      <c r="H9" s="2052"/>
      <c r="I9" s="2052"/>
      <c r="J9" s="2034"/>
      <c r="K9" s="2044"/>
      <c r="L9" s="2020"/>
      <c r="M9" s="2020"/>
      <c r="N9" s="2021"/>
      <c r="O9" s="2022"/>
      <c r="P9" s="2021"/>
      <c r="Q9" s="2021"/>
      <c r="R9" s="2021"/>
    </row>
    <row r="10" spans="1:19" ht="18" customHeight="1" thickTop="1">
      <c r="A10" s="2053" t="s">
        <v>1779</v>
      </c>
      <c r="B10" s="2054" t="s">
        <v>3046</v>
      </c>
      <c r="C10" s="2950" t="s">
        <v>3047</v>
      </c>
      <c r="D10" s="2038"/>
      <c r="E10" s="2055" t="s">
        <v>1780</v>
      </c>
      <c r="F10" s="2951" t="s">
        <v>3644</v>
      </c>
      <c r="G10" s="2056"/>
      <c r="H10" s="2057"/>
      <c r="I10" s="2038"/>
      <c r="J10" s="2034"/>
      <c r="K10" s="2044"/>
      <c r="L10" s="2020"/>
      <c r="M10" s="2020"/>
      <c r="N10" s="2021"/>
      <c r="O10" s="2022"/>
      <c r="P10" s="2021"/>
      <c r="Q10" s="2021"/>
      <c r="R10" s="2021"/>
    </row>
    <row r="11" spans="1:19" ht="18" customHeight="1">
      <c r="A11" s="2058" t="s">
        <v>1781</v>
      </c>
      <c r="B11" s="2059" t="s">
        <v>3048</v>
      </c>
      <c r="C11" s="2060" t="str">
        <f>B5</f>
        <v>湖州市乌虹湖置业有限公司</v>
      </c>
      <c r="D11" s="2061"/>
      <c r="E11" s="2034"/>
      <c r="F11" s="2034"/>
      <c r="G11" s="2034"/>
      <c r="H11" s="2034"/>
      <c r="I11" s="2034"/>
      <c r="J11" s="2034"/>
      <c r="K11" s="2044"/>
      <c r="L11" s="2020"/>
      <c r="M11" s="2020"/>
      <c r="N11" s="2021"/>
      <c r="O11" s="2022"/>
      <c r="P11" s="2021"/>
      <c r="Q11" s="2021"/>
      <c r="R11" s="2021"/>
    </row>
    <row r="12" spans="1:19" ht="18" customHeight="1">
      <c r="A12" s="2062" t="s">
        <v>1782</v>
      </c>
      <c r="B12" s="2059" t="s">
        <v>3049</v>
      </c>
      <c r="C12" s="2063" t="s">
        <v>1783</v>
      </c>
      <c r="D12" s="2064" t="s">
        <v>1784</v>
      </c>
      <c r="E12" s="2064" t="s">
        <v>1785</v>
      </c>
      <c r="F12" s="2064" t="s">
        <v>1786</v>
      </c>
      <c r="G12" s="2064" t="s">
        <v>1787</v>
      </c>
      <c r="H12" s="2064" t="s">
        <v>1788</v>
      </c>
      <c r="I12" s="2064" t="s">
        <v>1789</v>
      </c>
      <c r="J12" s="2034"/>
      <c r="K12" s="2044"/>
      <c r="L12" s="2020"/>
      <c r="M12" s="2020"/>
      <c r="N12" s="2021"/>
      <c r="O12" s="2022"/>
      <c r="P12" s="2021"/>
      <c r="Q12" s="2021"/>
      <c r="R12" s="2021"/>
    </row>
    <row r="13" spans="1:19" ht="18" customHeight="1">
      <c r="A13" s="2065"/>
      <c r="B13" s="2066"/>
      <c r="C13" s="2067" t="s">
        <v>1790</v>
      </c>
      <c r="D13" s="2068">
        <v>68392</v>
      </c>
      <c r="E13" s="2068"/>
      <c r="F13" s="2068"/>
      <c r="G13" s="2068"/>
      <c r="H13" s="2068"/>
      <c r="I13" s="1040"/>
      <c r="J13" s="2034"/>
      <c r="K13" s="2044"/>
      <c r="L13" s="2020"/>
      <c r="M13" s="2020"/>
      <c r="N13" s="2021"/>
      <c r="O13" s="2022"/>
      <c r="P13" s="2021"/>
      <c r="Q13" s="2021"/>
      <c r="R13" s="2021"/>
    </row>
    <row r="14" spans="1:19" ht="18" customHeight="1">
      <c r="A14" s="2065"/>
      <c r="B14" s="2066"/>
      <c r="C14" s="2067" t="s">
        <v>1791</v>
      </c>
      <c r="D14" s="1043">
        <v>70</v>
      </c>
      <c r="E14" s="1043"/>
      <c r="F14" s="1043"/>
      <c r="G14" s="1043"/>
      <c r="H14" s="1043"/>
      <c r="I14" s="1043"/>
      <c r="J14" s="2034"/>
      <c r="K14" s="2069"/>
      <c r="L14" s="2020"/>
      <c r="M14" s="2020"/>
      <c r="N14" s="2021"/>
      <c r="O14" s="2022"/>
      <c r="P14" s="2021"/>
      <c r="Q14" s="2021"/>
      <c r="R14" s="2021"/>
    </row>
    <row r="15" spans="1:19" ht="18" customHeight="1">
      <c r="A15" s="2053"/>
      <c r="B15" s="2070"/>
      <c r="C15" s="2067" t="s">
        <v>1792</v>
      </c>
      <c r="D15" s="1042">
        <f>IF(B12="出让",IF(D13="","",ROUNDDOWN(MIN((D13-$D$3)/365,D14),2)),D14)</f>
        <v>67.650000000000006</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1793</v>
      </c>
      <c r="B16" s="3064"/>
      <c r="C16" s="3065"/>
      <c r="D16" s="3066"/>
      <c r="E16" s="2074" t="s">
        <v>1794</v>
      </c>
      <c r="F16" s="3067"/>
      <c r="G16" s="3068"/>
      <c r="H16" s="3068"/>
      <c r="I16" s="3069"/>
      <c r="J16" s="2021"/>
      <c r="K16" s="2071"/>
      <c r="L16" s="2072"/>
      <c r="M16" s="2072"/>
      <c r="N16" s="2073"/>
      <c r="O16" s="2072"/>
      <c r="P16" s="2073"/>
      <c r="Q16" s="2021"/>
      <c r="R16" s="2021"/>
    </row>
    <row r="17" spans="1:22" ht="18" customHeight="1">
      <c r="A17" s="2075" t="s">
        <v>1795</v>
      </c>
      <c r="B17" s="2027" t="s">
        <v>1796</v>
      </c>
      <c r="C17" s="1047">
        <f>'数据-汇总表'!E3</f>
        <v>21278.6</v>
      </c>
      <c r="D17" s="2076" t="s">
        <v>1797</v>
      </c>
      <c r="E17" s="3070" t="s">
        <v>1798</v>
      </c>
      <c r="F17" s="3071"/>
      <c r="G17" s="3071"/>
      <c r="H17" s="3071"/>
      <c r="I17" s="3072"/>
      <c r="J17" s="2021"/>
      <c r="K17" s="2077"/>
      <c r="L17" s="2072"/>
      <c r="M17" s="2072"/>
      <c r="N17" s="2073"/>
      <c r="O17" s="2072"/>
      <c r="P17" s="2073"/>
      <c r="Q17" s="2021"/>
      <c r="R17" s="2021"/>
      <c r="S17" s="2021"/>
      <c r="T17" s="2021"/>
      <c r="U17" s="2021"/>
      <c r="V17" s="2021"/>
    </row>
    <row r="18" spans="1:22" ht="36" customHeight="1" thickBot="1">
      <c r="A18" s="2078" t="s">
        <v>1799</v>
      </c>
      <c r="B18" s="2030" t="s">
        <v>1800</v>
      </c>
      <c r="C18" s="1437">
        <f>'数据-汇总表'!D3</f>
        <v>8279.61</v>
      </c>
      <c r="D18" s="2079" t="s">
        <v>1797</v>
      </c>
      <c r="E18" s="3073" t="s">
        <v>1801</v>
      </c>
      <c r="F18" s="3074"/>
      <c r="G18" s="3074"/>
      <c r="H18" s="3074"/>
      <c r="I18" s="3075"/>
      <c r="J18" s="2021"/>
      <c r="K18" s="2077"/>
      <c r="L18" s="2072"/>
      <c r="M18" s="2072"/>
      <c r="N18" s="2073"/>
      <c r="O18" s="2072"/>
      <c r="P18" s="2073"/>
      <c r="Q18" s="2021"/>
      <c r="R18" s="2021"/>
      <c r="S18" s="2021"/>
      <c r="T18" s="2021"/>
      <c r="U18" s="2021"/>
      <c r="V18" s="2021"/>
    </row>
    <row r="19" spans="1:22" ht="37.5" customHeight="1" thickTop="1" thickBot="1">
      <c r="A19" s="372" t="s">
        <v>1802</v>
      </c>
      <c r="B19" s="351" t="s">
        <v>1803</v>
      </c>
      <c r="C19" s="2080"/>
      <c r="D19" s="2081" t="s">
        <v>1804</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1805</v>
      </c>
      <c r="B20" s="3060" t="s">
        <v>1806</v>
      </c>
      <c r="C20" s="3061"/>
      <c r="D20" s="3062" t="s">
        <v>1807</v>
      </c>
      <c r="E20" s="3063"/>
      <c r="F20" s="2086" t="s">
        <v>1808</v>
      </c>
      <c r="G20" s="2034"/>
      <c r="H20" s="2034"/>
      <c r="I20" s="2034"/>
      <c r="J20" s="2034"/>
      <c r="K20" s="3059" t="s">
        <v>1809</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3"/>
      <c r="O20" s="2072"/>
      <c r="P20" s="2073"/>
      <c r="Q20" s="2021"/>
      <c r="R20" s="2021"/>
      <c r="S20" s="2021"/>
      <c r="T20" s="2021"/>
      <c r="U20" s="2021"/>
      <c r="V20" s="2021"/>
    </row>
    <row r="21" spans="1:22" ht="24.75" customHeight="1">
      <c r="A21" s="2085"/>
      <c r="B21" s="2087" t="s">
        <v>3057</v>
      </c>
      <c r="C21" s="2088" t="s">
        <v>3058</v>
      </c>
      <c r="D21" s="2089" t="s">
        <v>1810</v>
      </c>
      <c r="E21" s="2090"/>
      <c r="F21" s="2091"/>
      <c r="G21" s="2034"/>
      <c r="H21" s="2034"/>
      <c r="I21" s="2034"/>
      <c r="J21" s="2034"/>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059"/>
      <c r="L22" s="747" t="str">
        <f>IF(E19="否","",IF('结果表-高层'!D36="同一抵押权人同一抵押物续贷","由于本次评估为同一抵押权人的续贷房地产抵押估价，故未将已抵押担保的债权数额（"&amp;C26&amp;"）作为法定优先受偿款予以扣减。",IF('结果表-高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1811</v>
      </c>
      <c r="B23" s="182" t="s">
        <v>1812</v>
      </c>
      <c r="C23" s="2095"/>
      <c r="D23" s="2096" t="s">
        <v>1812</v>
      </c>
      <c r="E23" s="2097"/>
      <c r="F23" s="2093"/>
      <c r="G23" s="2034"/>
      <c r="H23" s="2034"/>
      <c r="I23" s="2034"/>
      <c r="J23" s="2034"/>
      <c r="K23" s="2098"/>
      <c r="L23" s="747"/>
      <c r="M23" s="2020"/>
      <c r="N23" s="2073"/>
      <c r="O23" s="2072"/>
      <c r="P23" s="2073"/>
      <c r="Q23" s="2021"/>
      <c r="R23" s="2021"/>
      <c r="S23" s="2021"/>
      <c r="T23" s="2021"/>
      <c r="U23" s="2021"/>
      <c r="V23" s="2021"/>
    </row>
    <row r="24" spans="1:22" ht="18" customHeight="1">
      <c r="A24" s="2099"/>
      <c r="B24" s="182" t="s">
        <v>1813</v>
      </c>
      <c r="C24" s="2100"/>
      <c r="D24" s="2094" t="s">
        <v>1813</v>
      </c>
      <c r="E24" s="2101"/>
      <c r="F24" s="2093"/>
      <c r="G24" s="2034"/>
      <c r="H24" s="2034"/>
      <c r="I24" s="2034"/>
      <c r="J24" s="2034"/>
      <c r="K24" s="2098"/>
      <c r="L24" s="747"/>
      <c r="M24" s="2020"/>
      <c r="N24" s="2073"/>
      <c r="O24" s="2072"/>
      <c r="P24" s="2073"/>
      <c r="Q24" s="2021"/>
      <c r="R24" s="2021"/>
      <c r="S24" s="2021"/>
      <c r="T24" s="2021"/>
      <c r="U24" s="2021"/>
      <c r="V24" s="2021"/>
    </row>
    <row r="25" spans="1:22" ht="18" customHeight="1">
      <c r="A25" s="2099"/>
      <c r="B25" s="182" t="s">
        <v>1814</v>
      </c>
      <c r="C25" s="2100"/>
      <c r="D25" s="2094" t="s">
        <v>1814</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1815</v>
      </c>
      <c r="C26" s="2104"/>
      <c r="D26" s="2105" t="s">
        <v>1816</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047" t="s">
        <v>1817</v>
      </c>
      <c r="B27" s="2053" t="s">
        <v>1818</v>
      </c>
      <c r="C27" s="2108" t="s">
        <v>3056</v>
      </c>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047"/>
      <c r="B28" s="2027" t="s">
        <v>1819</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047"/>
      <c r="B29" s="2027" t="s">
        <v>1820</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048"/>
      <c r="B30" s="2027" t="s">
        <v>1821</v>
      </c>
      <c r="C30" s="3049"/>
      <c r="D30" s="3050"/>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051" t="s">
        <v>1822</v>
      </c>
      <c r="B31" s="2115" t="s">
        <v>3055</v>
      </c>
      <c r="C31" s="2116" t="str">
        <f>IF(B31="现房","成新及维护状况正常否",IF(B31="在建","工程状态是否正常",IF(B31="土地","是否闲置","-")))</f>
        <v>工程状态是否正常</v>
      </c>
      <c r="D31" s="2117"/>
      <c r="E31" s="2118"/>
      <c r="F31" s="2034"/>
      <c r="G31" s="2034"/>
      <c r="H31" s="2034"/>
      <c r="I31" s="2034"/>
      <c r="J31" s="2034"/>
      <c r="K31" s="2042"/>
      <c r="L31" s="2020"/>
      <c r="M31" s="2020"/>
      <c r="N31" s="2021"/>
      <c r="O31" s="2022"/>
      <c r="P31" s="2021"/>
      <c r="Q31" s="2021"/>
      <c r="R31" s="2021"/>
      <c r="S31" s="2021"/>
      <c r="T31" s="2021"/>
      <c r="U31" s="2021"/>
      <c r="V31" s="2021"/>
    </row>
    <row r="32" spans="1:22" ht="18" customHeight="1">
      <c r="A32" s="3052"/>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052"/>
      <c r="B33" s="2119"/>
      <c r="C33" s="2058"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1823</v>
      </c>
      <c r="B34" s="2122" t="s">
        <v>3050</v>
      </c>
      <c r="C34" s="2122" t="s">
        <v>3051</v>
      </c>
      <c r="D34" s="2122" t="s">
        <v>3052</v>
      </c>
      <c r="E34" s="2122" t="s">
        <v>3053</v>
      </c>
      <c r="F34" s="2122" t="s">
        <v>3054</v>
      </c>
      <c r="G34" s="2122"/>
      <c r="H34" s="2122"/>
      <c r="I34" s="2034"/>
      <c r="J34" s="2034"/>
      <c r="K34" s="1788">
        <f>COUNTIF(B34:H34,"——")</f>
        <v>0</v>
      </c>
      <c r="L34" s="2063" t="s">
        <v>1824</v>
      </c>
      <c r="M34" s="2063" t="s">
        <v>1825</v>
      </c>
      <c r="N34" s="2063" t="s">
        <v>1826</v>
      </c>
      <c r="O34" s="2063" t="s">
        <v>1827</v>
      </c>
      <c r="P34" s="2063" t="s">
        <v>1828</v>
      </c>
      <c r="Q34" s="2063" t="s">
        <v>1829</v>
      </c>
      <c r="R34" s="2063" t="s">
        <v>1830</v>
      </c>
      <c r="S34" s="3046" t="s">
        <v>1831</v>
      </c>
      <c r="T34" s="2123" t="str">
        <f>NUMBERSTRING(7-K34,1)&amp;"通"</f>
        <v>七通</v>
      </c>
      <c r="U34" s="2021"/>
      <c r="V34" s="2021"/>
    </row>
    <row r="35" spans="1:22" ht="18" customHeight="1">
      <c r="A35" s="2124"/>
      <c r="B35" s="3053" t="s">
        <v>1832</v>
      </c>
      <c r="C35" s="3053"/>
      <c r="D35" s="3053"/>
      <c r="E35" s="3053"/>
      <c r="F35" s="2125" t="str">
        <f>C10</f>
        <v>浙江省</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6"/>
      <c r="T35" s="48" t="str">
        <f>IF(T34="一通",L35,IF(T34="二通",M35,IF(T34="三通",N35,IF(T34="四通",O35,IF(T34="五通",P35,IF(T34="六通",Q35,R35))))))</f>
        <v>通路、通电、通讯、通上水、通下水、、</v>
      </c>
      <c r="U35" s="2021"/>
      <c r="V35" s="2021"/>
    </row>
    <row r="36" spans="1:22" ht="18" customHeight="1">
      <c r="A36" s="2126"/>
      <c r="B36" s="2125" t="s">
        <v>1833</v>
      </c>
      <c r="C36" s="2125" t="s">
        <v>1834</v>
      </c>
      <c r="D36" s="2125" t="s">
        <v>1835</v>
      </c>
      <c r="E36" s="2125" t="s">
        <v>1836</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1837</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1838</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1839</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5"/>
      <c r="L40" s="2072"/>
      <c r="M40" s="2072"/>
      <c r="N40" s="2073"/>
      <c r="O40" s="2072"/>
      <c r="P40" s="2021"/>
      <c r="Q40" s="2021"/>
      <c r="R40" s="2021"/>
      <c r="S40" s="2021"/>
      <c r="T40" s="2021"/>
      <c r="U40" s="2021"/>
      <c r="V40" s="2021"/>
    </row>
    <row r="41" spans="1:22" ht="18" customHeight="1">
      <c r="A41" s="8" t="s">
        <v>1840</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1841</v>
      </c>
      <c r="B42" s="1788" t="s">
        <v>1842</v>
      </c>
      <c r="C42" s="1788" t="s">
        <v>1843</v>
      </c>
      <c r="D42" s="1788" t="s">
        <v>1844</v>
      </c>
      <c r="E42" s="1788" t="s">
        <v>1845</v>
      </c>
      <c r="F42" s="1788" t="s">
        <v>1846</v>
      </c>
      <c r="G42" s="1788" t="s">
        <v>1847</v>
      </c>
      <c r="H42" s="1788" t="s">
        <v>1848</v>
      </c>
      <c r="I42" s="1788" t="s">
        <v>1849</v>
      </c>
      <c r="J42" s="2141" t="s">
        <v>1850</v>
      </c>
      <c r="K42" s="2064" t="s">
        <v>1851</v>
      </c>
      <c r="L42" s="2064" t="s">
        <v>1852</v>
      </c>
      <c r="M42" s="2064" t="s">
        <v>1853</v>
      </c>
      <c r="N42" s="1788" t="s">
        <v>1854</v>
      </c>
      <c r="O42" s="1788" t="s">
        <v>1855</v>
      </c>
      <c r="P42" s="1788" t="s">
        <v>1856</v>
      </c>
      <c r="Q42" s="2063" t="s">
        <v>1857</v>
      </c>
      <c r="R42" s="2063" t="s">
        <v>1858</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84"/>
  <sheetViews>
    <sheetView topLeftCell="O1" zoomScale="70" zoomScaleNormal="70" workbookViewId="0">
      <selection activeCell="AM184" sqref="AJ2:AM184"/>
    </sheetView>
  </sheetViews>
  <sheetFormatPr defaultRowHeight="10.199999999999999" customHeight="1"/>
  <cols>
    <col min="1" max="1" width="46.77734375" bestFit="1" customWidth="1"/>
    <col min="37" max="37" width="16.6640625" bestFit="1" customWidth="1"/>
  </cols>
  <sheetData>
    <row r="1" spans="1:39" ht="14.4">
      <c r="A1" t="s">
        <v>3454</v>
      </c>
      <c r="B1" t="s">
        <v>3455</v>
      </c>
      <c r="C1" t="s">
        <v>3456</v>
      </c>
      <c r="D1" t="s">
        <v>3457</v>
      </c>
      <c r="E1" t="s">
        <v>3458</v>
      </c>
    </row>
    <row r="2" spans="1:39" ht="14.4">
      <c r="A2" t="s">
        <v>3459</v>
      </c>
      <c r="B2">
        <v>136.44</v>
      </c>
      <c r="C2" t="s">
        <v>3460</v>
      </c>
      <c r="D2" t="s">
        <v>3461</v>
      </c>
      <c r="E2">
        <v>2308761</v>
      </c>
      <c r="F2">
        <f>E2/B2</f>
        <v>16921.437994722957</v>
      </c>
      <c r="AJ2" s="2996" t="s">
        <v>3836</v>
      </c>
      <c r="AK2" s="2996" t="s">
        <v>3697</v>
      </c>
      <c r="AL2" s="2996" t="s">
        <v>3455</v>
      </c>
      <c r="AM2" s="2996" t="s">
        <v>3456</v>
      </c>
    </row>
    <row r="3" spans="1:39" ht="14.4">
      <c r="A3" t="s">
        <v>3462</v>
      </c>
      <c r="B3">
        <v>126.44</v>
      </c>
      <c r="C3" t="s">
        <v>3460</v>
      </c>
      <c r="D3" t="s">
        <v>3461</v>
      </c>
      <c r="E3">
        <v>2027892</v>
      </c>
      <c r="F3">
        <f t="shared" ref="F3:F66" si="0">E3/B3</f>
        <v>16038.373932299904</v>
      </c>
      <c r="AJ3" s="2996">
        <v>1</v>
      </c>
      <c r="AK3" s="2996" t="s">
        <v>3698</v>
      </c>
      <c r="AL3" s="2996">
        <v>136.44</v>
      </c>
      <c r="AM3" s="2996" t="s">
        <v>3696</v>
      </c>
    </row>
    <row r="4" spans="1:39" ht="14.4">
      <c r="A4" t="s">
        <v>3463</v>
      </c>
      <c r="B4">
        <v>86.66</v>
      </c>
      <c r="C4" t="s">
        <v>3460</v>
      </c>
      <c r="D4" t="s">
        <v>3461</v>
      </c>
      <c r="E4">
        <v>1399390</v>
      </c>
      <c r="F4">
        <f t="shared" si="0"/>
        <v>16148.049849988462</v>
      </c>
      <c r="AJ4" s="2996">
        <v>2</v>
      </c>
      <c r="AK4" s="2996" t="s">
        <v>3699</v>
      </c>
      <c r="AL4" s="2996">
        <v>126.44</v>
      </c>
      <c r="AM4" s="2996" t="s">
        <v>3696</v>
      </c>
    </row>
    <row r="5" spans="1:39" ht="14.4">
      <c r="A5" t="s">
        <v>3464</v>
      </c>
      <c r="B5">
        <v>102.09</v>
      </c>
      <c r="C5" t="s">
        <v>3460</v>
      </c>
      <c r="D5" t="s">
        <v>3461</v>
      </c>
      <c r="E5">
        <v>1694143</v>
      </c>
      <c r="F5">
        <f t="shared" si="0"/>
        <v>16594.602801449702</v>
      </c>
      <c r="AJ5" s="2996">
        <v>3</v>
      </c>
      <c r="AK5" s="2996" t="s">
        <v>3700</v>
      </c>
      <c r="AL5" s="2996">
        <v>86.66</v>
      </c>
      <c r="AM5" s="2996" t="s">
        <v>3696</v>
      </c>
    </row>
    <row r="6" spans="1:39" ht="14.4">
      <c r="A6" t="s">
        <v>3465</v>
      </c>
      <c r="B6">
        <v>136.44</v>
      </c>
      <c r="C6" t="s">
        <v>3460</v>
      </c>
      <c r="D6" t="s">
        <v>3461</v>
      </c>
      <c r="E6">
        <v>2581863</v>
      </c>
      <c r="F6">
        <f t="shared" si="0"/>
        <v>18923.065083553211</v>
      </c>
      <c r="AJ6" s="2996">
        <v>4</v>
      </c>
      <c r="AK6" s="2996" t="s">
        <v>3701</v>
      </c>
      <c r="AL6" s="2996">
        <v>102.09</v>
      </c>
      <c r="AM6" s="2996" t="s">
        <v>3696</v>
      </c>
    </row>
    <row r="7" spans="1:39" ht="14.4">
      <c r="A7" t="s">
        <v>3466</v>
      </c>
      <c r="B7">
        <v>126.44</v>
      </c>
      <c r="C7" t="s">
        <v>3460</v>
      </c>
      <c r="D7" t="s">
        <v>3461</v>
      </c>
      <c r="E7">
        <v>2280982</v>
      </c>
      <c r="F7">
        <f t="shared" si="0"/>
        <v>18040.034799114204</v>
      </c>
      <c r="AJ7" s="2996">
        <v>5</v>
      </c>
      <c r="AK7" s="2996" t="s">
        <v>3702</v>
      </c>
      <c r="AL7" s="2996">
        <v>136.44</v>
      </c>
      <c r="AM7" s="2996" t="s">
        <v>3696</v>
      </c>
    </row>
    <row r="8" spans="1:39" ht="14.4">
      <c r="A8" t="s">
        <v>3467</v>
      </c>
      <c r="B8">
        <v>126.44</v>
      </c>
      <c r="C8" t="s">
        <v>3460</v>
      </c>
      <c r="D8" t="s">
        <v>3461</v>
      </c>
      <c r="E8">
        <v>2280982</v>
      </c>
      <c r="F8">
        <f t="shared" si="0"/>
        <v>18040.034799114204</v>
      </c>
      <c r="AJ8" s="2996">
        <v>6</v>
      </c>
      <c r="AK8" s="2996" t="s">
        <v>3703</v>
      </c>
      <c r="AL8" s="2996">
        <v>126.44</v>
      </c>
      <c r="AM8" s="2996" t="s">
        <v>3696</v>
      </c>
    </row>
    <row r="9" spans="1:39" ht="14.4">
      <c r="A9" t="s">
        <v>3468</v>
      </c>
      <c r="B9">
        <v>102.09</v>
      </c>
      <c r="C9" t="s">
        <v>3460</v>
      </c>
      <c r="D9" t="s">
        <v>3461</v>
      </c>
      <c r="E9">
        <v>1898483</v>
      </c>
      <c r="F9">
        <f t="shared" si="0"/>
        <v>18596.170046037809</v>
      </c>
      <c r="AJ9" s="2996">
        <v>7</v>
      </c>
      <c r="AK9" s="2996" t="s">
        <v>3706</v>
      </c>
      <c r="AL9" s="2996">
        <v>126.44</v>
      </c>
      <c r="AM9" s="2996" t="s">
        <v>3696</v>
      </c>
    </row>
    <row r="10" spans="1:39" ht="14.4">
      <c r="A10" t="s">
        <v>3469</v>
      </c>
      <c r="B10">
        <v>136.44</v>
      </c>
      <c r="C10" t="s">
        <v>3460</v>
      </c>
      <c r="D10" t="s">
        <v>3461</v>
      </c>
      <c r="E10">
        <v>2588691</v>
      </c>
      <c r="F10">
        <f t="shared" si="0"/>
        <v>18973.109058927002</v>
      </c>
      <c r="AJ10" s="2996">
        <v>8</v>
      </c>
      <c r="AK10" s="2996" t="s">
        <v>3704</v>
      </c>
      <c r="AL10" s="2996">
        <v>102.09</v>
      </c>
      <c r="AM10" s="2996" t="s">
        <v>3696</v>
      </c>
    </row>
    <row r="11" spans="1:39" ht="14.4">
      <c r="A11" t="s">
        <v>3470</v>
      </c>
      <c r="B11">
        <v>136.44</v>
      </c>
      <c r="C11" t="s">
        <v>3460</v>
      </c>
      <c r="D11" t="s">
        <v>3461</v>
      </c>
      <c r="E11">
        <v>2588691</v>
      </c>
      <c r="F11">
        <f t="shared" si="0"/>
        <v>18973.109058927002</v>
      </c>
      <c r="AJ11" s="2996">
        <v>9</v>
      </c>
      <c r="AK11" s="2996" t="s">
        <v>3707</v>
      </c>
      <c r="AL11" s="2996">
        <v>136.44</v>
      </c>
      <c r="AM11" s="2996" t="s">
        <v>3696</v>
      </c>
    </row>
    <row r="12" spans="1:39" ht="14.4">
      <c r="A12" t="s">
        <v>3471</v>
      </c>
      <c r="B12">
        <v>126.44</v>
      </c>
      <c r="C12" t="s">
        <v>3460</v>
      </c>
      <c r="D12" t="s">
        <v>3461</v>
      </c>
      <c r="E12">
        <v>2325273</v>
      </c>
      <c r="F12">
        <f t="shared" si="0"/>
        <v>18390.327428029104</v>
      </c>
      <c r="AJ12" s="2996">
        <v>10</v>
      </c>
      <c r="AK12" s="2996" t="s">
        <v>3708</v>
      </c>
      <c r="AL12" s="2996">
        <v>136.44</v>
      </c>
      <c r="AM12" s="2996" t="s">
        <v>3696</v>
      </c>
    </row>
    <row r="13" spans="1:39" ht="14.4">
      <c r="A13" t="s">
        <v>3472</v>
      </c>
      <c r="B13">
        <v>136.44</v>
      </c>
      <c r="C13" t="s">
        <v>3460</v>
      </c>
      <c r="D13" t="s">
        <v>3461</v>
      </c>
      <c r="E13">
        <v>2643311</v>
      </c>
      <c r="F13">
        <f t="shared" si="0"/>
        <v>19373.431545001466</v>
      </c>
      <c r="AJ13" s="2996">
        <v>11</v>
      </c>
      <c r="AK13" s="2996" t="s">
        <v>3710</v>
      </c>
      <c r="AL13" s="2996">
        <v>126.44</v>
      </c>
      <c r="AM13" s="2996" t="s">
        <v>3696</v>
      </c>
    </row>
    <row r="14" spans="1:39" ht="14.4">
      <c r="A14" t="s">
        <v>3473</v>
      </c>
      <c r="B14">
        <v>102.09</v>
      </c>
      <c r="C14" t="s">
        <v>3460</v>
      </c>
      <c r="D14" t="s">
        <v>3461</v>
      </c>
      <c r="E14">
        <v>1949568</v>
      </c>
      <c r="F14">
        <f t="shared" si="0"/>
        <v>19096.561857184835</v>
      </c>
      <c r="AJ14" s="2996">
        <v>12</v>
      </c>
      <c r="AK14" s="2996" t="s">
        <v>3709</v>
      </c>
      <c r="AL14" s="2996">
        <v>136.44</v>
      </c>
      <c r="AM14" s="2996" t="s">
        <v>3696</v>
      </c>
    </row>
    <row r="15" spans="1:39" ht="14.4">
      <c r="A15" t="s">
        <v>3474</v>
      </c>
      <c r="B15">
        <v>102.09</v>
      </c>
      <c r="C15" t="s">
        <v>3460</v>
      </c>
      <c r="D15" t="s">
        <v>3461</v>
      </c>
      <c r="E15">
        <v>1939351</v>
      </c>
      <c r="F15">
        <f t="shared" si="0"/>
        <v>18996.483494955432</v>
      </c>
      <c r="AJ15" s="2996">
        <v>13</v>
      </c>
      <c r="AK15" s="2996" t="s">
        <v>3711</v>
      </c>
      <c r="AL15" s="2996">
        <v>102.09</v>
      </c>
      <c r="AM15" s="2996" t="s">
        <v>3696</v>
      </c>
    </row>
    <row r="16" spans="1:39" ht="14.4">
      <c r="A16" t="s">
        <v>3475</v>
      </c>
      <c r="B16">
        <v>102.09</v>
      </c>
      <c r="C16" t="s">
        <v>3460</v>
      </c>
      <c r="D16" t="s">
        <v>3461</v>
      </c>
      <c r="E16">
        <v>1756365</v>
      </c>
      <c r="F16">
        <f t="shared" si="0"/>
        <v>17204.084631207756</v>
      </c>
      <c r="AJ16" s="2996">
        <v>14</v>
      </c>
      <c r="AK16" s="2996" t="s">
        <v>3713</v>
      </c>
      <c r="AL16" s="2996">
        <v>102.09</v>
      </c>
      <c r="AM16" s="2996" t="s">
        <v>3696</v>
      </c>
    </row>
    <row r="17" spans="1:39" ht="14.4">
      <c r="A17" t="s">
        <v>3476</v>
      </c>
      <c r="B17">
        <v>86.66</v>
      </c>
      <c r="C17" t="s">
        <v>3460</v>
      </c>
      <c r="D17" t="s">
        <v>3461</v>
      </c>
      <c r="E17">
        <v>1443538</v>
      </c>
      <c r="F17">
        <f t="shared" si="0"/>
        <v>16657.489037618278</v>
      </c>
      <c r="AJ17" s="2996">
        <v>15</v>
      </c>
      <c r="AK17" s="2996" t="s">
        <v>3712</v>
      </c>
      <c r="AL17" s="2996">
        <v>102.09</v>
      </c>
      <c r="AM17" s="2996" t="s">
        <v>3696</v>
      </c>
    </row>
    <row r="18" spans="1:39" ht="14.4">
      <c r="A18" t="s">
        <v>3477</v>
      </c>
      <c r="B18">
        <v>126.44</v>
      </c>
      <c r="C18" t="s">
        <v>3460</v>
      </c>
      <c r="D18" t="s">
        <v>3461</v>
      </c>
      <c r="E18">
        <v>2092304</v>
      </c>
      <c r="F18">
        <f t="shared" si="0"/>
        <v>16547.801328693451</v>
      </c>
      <c r="AJ18" s="2996">
        <v>16</v>
      </c>
      <c r="AK18" s="2996" t="s">
        <v>3714</v>
      </c>
      <c r="AL18" s="2996">
        <v>86.66</v>
      </c>
      <c r="AM18" s="2996" t="s">
        <v>3696</v>
      </c>
    </row>
    <row r="19" spans="1:39" ht="14.4">
      <c r="A19" t="s">
        <v>3478</v>
      </c>
      <c r="B19">
        <v>136.44</v>
      </c>
      <c r="C19" t="s">
        <v>3460</v>
      </c>
      <c r="D19" t="s">
        <v>3461</v>
      </c>
      <c r="E19">
        <v>2350956</v>
      </c>
      <c r="F19">
        <f t="shared" si="0"/>
        <v>17230.694810905894</v>
      </c>
      <c r="AJ19" s="2996">
        <v>17</v>
      </c>
      <c r="AK19" s="2996" t="s">
        <v>3715</v>
      </c>
      <c r="AL19" s="2996">
        <v>126.44</v>
      </c>
      <c r="AM19" s="2996" t="s">
        <v>3696</v>
      </c>
    </row>
    <row r="20" spans="1:39" ht="14.4">
      <c r="A20" t="s">
        <v>3479</v>
      </c>
      <c r="B20">
        <v>126.44</v>
      </c>
      <c r="C20" t="s">
        <v>3460</v>
      </c>
      <c r="D20" t="s">
        <v>3461</v>
      </c>
      <c r="E20">
        <v>2345394</v>
      </c>
      <c r="F20">
        <f t="shared" si="0"/>
        <v>18549.462195507753</v>
      </c>
      <c r="AJ20" s="2996">
        <v>18</v>
      </c>
      <c r="AK20" s="2996" t="s">
        <v>3716</v>
      </c>
      <c r="AL20" s="2996">
        <v>136.44</v>
      </c>
      <c r="AM20" s="2996" t="s">
        <v>3696</v>
      </c>
    </row>
    <row r="21" spans="1:39" ht="14.4">
      <c r="A21" t="s">
        <v>3480</v>
      </c>
      <c r="B21">
        <v>136.44</v>
      </c>
      <c r="C21" t="s">
        <v>3460</v>
      </c>
      <c r="D21" t="s">
        <v>3461</v>
      </c>
      <c r="E21">
        <v>2630885</v>
      </c>
      <c r="F21">
        <f t="shared" si="0"/>
        <v>19282.358545880972</v>
      </c>
      <c r="AJ21" s="2996">
        <v>19</v>
      </c>
      <c r="AK21" s="2996" t="s">
        <v>3725</v>
      </c>
      <c r="AL21" s="2996">
        <v>126.44</v>
      </c>
      <c r="AM21" s="2996" t="s">
        <v>3696</v>
      </c>
    </row>
    <row r="22" spans="1:39" ht="14.4">
      <c r="A22" t="s">
        <v>3481</v>
      </c>
      <c r="B22">
        <v>102.09</v>
      </c>
      <c r="C22" t="s">
        <v>3460</v>
      </c>
      <c r="D22" t="s">
        <v>3461</v>
      </c>
      <c r="E22">
        <v>2001573</v>
      </c>
      <c r="F22">
        <f t="shared" si="0"/>
        <v>19605.965324713488</v>
      </c>
      <c r="AJ22" s="2996">
        <v>20</v>
      </c>
      <c r="AK22" s="2996" t="s">
        <v>3717</v>
      </c>
      <c r="AL22" s="2996">
        <v>136.44</v>
      </c>
      <c r="AM22" s="2996" t="s">
        <v>3696</v>
      </c>
    </row>
    <row r="23" spans="1:39" ht="14.4">
      <c r="A23" t="s">
        <v>3482</v>
      </c>
      <c r="B23">
        <v>126.44</v>
      </c>
      <c r="C23" t="s">
        <v>3460</v>
      </c>
      <c r="D23" t="s">
        <v>3461</v>
      </c>
      <c r="E23">
        <v>2402339</v>
      </c>
      <c r="F23">
        <f t="shared" si="0"/>
        <v>18999.833913318569</v>
      </c>
      <c r="AJ23" s="2996">
        <v>21</v>
      </c>
      <c r="AK23" s="2996" t="s">
        <v>3724</v>
      </c>
      <c r="AL23" s="2996">
        <v>102.09</v>
      </c>
      <c r="AM23" s="2996" t="s">
        <v>3696</v>
      </c>
    </row>
    <row r="24" spans="1:39" ht="14.4">
      <c r="A24" t="s">
        <v>3483</v>
      </c>
      <c r="B24">
        <v>102.09</v>
      </c>
      <c r="C24" t="s">
        <v>3460</v>
      </c>
      <c r="D24" t="s">
        <v>3461</v>
      </c>
      <c r="E24">
        <v>1673505</v>
      </c>
      <c r="F24">
        <f t="shared" si="0"/>
        <v>16392.447840141052</v>
      </c>
      <c r="AJ24" s="2996">
        <v>22</v>
      </c>
      <c r="AK24" s="2996" t="s">
        <v>3719</v>
      </c>
      <c r="AL24" s="2996">
        <v>126.44</v>
      </c>
      <c r="AM24" s="2996" t="s">
        <v>3696</v>
      </c>
    </row>
    <row r="25" spans="1:39" ht="14.4">
      <c r="A25" t="s">
        <v>3484</v>
      </c>
      <c r="B25">
        <v>86.66</v>
      </c>
      <c r="C25" t="s">
        <v>3460</v>
      </c>
      <c r="D25" t="s">
        <v>3461</v>
      </c>
      <c r="E25">
        <v>1390542</v>
      </c>
      <c r="F25">
        <f t="shared" si="0"/>
        <v>16045.949688437573</v>
      </c>
      <c r="AJ25" s="2996">
        <v>23</v>
      </c>
      <c r="AK25" s="2996" t="s">
        <v>3726</v>
      </c>
      <c r="AL25" s="2996">
        <v>102.09</v>
      </c>
      <c r="AM25" s="2996" t="s">
        <v>3696</v>
      </c>
    </row>
    <row r="26" spans="1:39" ht="14.4">
      <c r="A26" t="s">
        <v>3485</v>
      </c>
      <c r="B26">
        <v>126.44</v>
      </c>
      <c r="C26" t="s">
        <v>3460</v>
      </c>
      <c r="D26" t="s">
        <v>3461</v>
      </c>
      <c r="E26">
        <v>2014985</v>
      </c>
      <c r="F26">
        <f t="shared" si="0"/>
        <v>15936.293894337236</v>
      </c>
      <c r="AJ26" s="2996">
        <v>24</v>
      </c>
      <c r="AK26" s="2996" t="s">
        <v>3723</v>
      </c>
      <c r="AL26" s="2996">
        <v>86.66</v>
      </c>
      <c r="AM26" s="2996" t="s">
        <v>3696</v>
      </c>
    </row>
    <row r="27" spans="1:39" ht="14.4">
      <c r="A27" t="s">
        <v>3486</v>
      </c>
      <c r="B27">
        <v>136.44</v>
      </c>
      <c r="C27" t="s">
        <v>3460</v>
      </c>
      <c r="D27" t="s">
        <v>3461</v>
      </c>
      <c r="E27">
        <v>2260696</v>
      </c>
      <c r="F27">
        <f t="shared" si="0"/>
        <v>16569.158604514807</v>
      </c>
      <c r="AJ27" s="2996">
        <v>25</v>
      </c>
      <c r="AK27" s="2996" t="s">
        <v>3718</v>
      </c>
      <c r="AL27" s="2996">
        <v>126.44</v>
      </c>
      <c r="AM27" s="2996" t="s">
        <v>3696</v>
      </c>
    </row>
    <row r="28" spans="1:39" ht="14.4">
      <c r="A28" t="s">
        <v>3487</v>
      </c>
      <c r="B28">
        <v>126.44</v>
      </c>
      <c r="C28" t="s">
        <v>3460</v>
      </c>
      <c r="D28" t="s">
        <v>3461</v>
      </c>
      <c r="E28">
        <v>2281844</v>
      </c>
      <c r="F28">
        <f t="shared" si="0"/>
        <v>18046.852261942422</v>
      </c>
      <c r="AJ28" s="2996">
        <v>26</v>
      </c>
      <c r="AK28" s="2996" t="s">
        <v>3722</v>
      </c>
      <c r="AL28" s="2996">
        <v>136.44</v>
      </c>
      <c r="AM28" s="2996" t="s">
        <v>3696</v>
      </c>
    </row>
    <row r="29" spans="1:39" ht="14.4">
      <c r="A29" t="s">
        <v>3488</v>
      </c>
      <c r="B29">
        <v>126.44</v>
      </c>
      <c r="C29" t="s">
        <v>3460</v>
      </c>
      <c r="D29" t="s">
        <v>3461</v>
      </c>
      <c r="E29">
        <v>2268075</v>
      </c>
      <c r="F29">
        <f t="shared" si="0"/>
        <v>17937.954761151534</v>
      </c>
      <c r="AJ29" s="2996">
        <v>27</v>
      </c>
      <c r="AK29" s="2996" t="s">
        <v>3727</v>
      </c>
      <c r="AL29" s="2996">
        <v>126.44</v>
      </c>
      <c r="AM29" s="2996" t="s">
        <v>3696</v>
      </c>
    </row>
    <row r="30" spans="1:39" ht="14.4">
      <c r="A30" t="s">
        <v>3489</v>
      </c>
      <c r="B30">
        <v>136.44</v>
      </c>
      <c r="C30" t="s">
        <v>3460</v>
      </c>
      <c r="D30" t="s">
        <v>3461</v>
      </c>
      <c r="E30">
        <v>2533797</v>
      </c>
      <c r="F30">
        <f t="shared" si="0"/>
        <v>18570.778364116097</v>
      </c>
      <c r="AJ30" s="2996">
        <v>28</v>
      </c>
      <c r="AK30" s="2996" t="s">
        <v>3721</v>
      </c>
      <c r="AL30" s="2996">
        <v>126.44</v>
      </c>
      <c r="AM30" s="2996" t="s">
        <v>3696</v>
      </c>
    </row>
    <row r="31" spans="1:39" ht="14.4">
      <c r="A31" t="s">
        <v>3490</v>
      </c>
      <c r="B31">
        <v>126.44</v>
      </c>
      <c r="C31" t="s">
        <v>3460</v>
      </c>
      <c r="D31" t="s">
        <v>3461</v>
      </c>
      <c r="E31">
        <v>2288171</v>
      </c>
      <c r="F31">
        <f t="shared" si="0"/>
        <v>18096.891806390384</v>
      </c>
      <c r="AJ31" s="2996">
        <v>29</v>
      </c>
      <c r="AK31" s="2996" t="s">
        <v>3728</v>
      </c>
      <c r="AL31" s="2996">
        <v>136.44</v>
      </c>
      <c r="AM31" s="2996" t="s">
        <v>3696</v>
      </c>
    </row>
    <row r="32" spans="1:39" ht="14.4">
      <c r="A32" t="s">
        <v>3491</v>
      </c>
      <c r="B32">
        <v>136.44</v>
      </c>
      <c r="C32" t="s">
        <v>3460</v>
      </c>
      <c r="D32" t="s">
        <v>3461</v>
      </c>
      <c r="E32">
        <v>2540625</v>
      </c>
      <c r="F32">
        <f t="shared" si="0"/>
        <v>18620.822339489885</v>
      </c>
      <c r="AJ32" s="2996">
        <v>30</v>
      </c>
      <c r="AK32" s="2996" t="s">
        <v>3720</v>
      </c>
      <c r="AL32" s="2996">
        <v>126.44</v>
      </c>
      <c r="AM32" s="2996" t="s">
        <v>3696</v>
      </c>
    </row>
    <row r="33" spans="1:39" ht="14.4">
      <c r="A33" t="s">
        <v>3492</v>
      </c>
      <c r="B33">
        <v>136.44</v>
      </c>
      <c r="C33" t="s">
        <v>3460</v>
      </c>
      <c r="D33" t="s">
        <v>3461</v>
      </c>
      <c r="E33">
        <v>2540625</v>
      </c>
      <c r="F33">
        <f t="shared" si="0"/>
        <v>18620.822339489885</v>
      </c>
      <c r="AJ33" s="2996">
        <v>31</v>
      </c>
      <c r="AK33" s="2996" t="s">
        <v>3729</v>
      </c>
      <c r="AL33" s="2996">
        <v>136.44</v>
      </c>
      <c r="AM33" s="2996" t="s">
        <v>3696</v>
      </c>
    </row>
    <row r="34" spans="1:39" ht="14.4">
      <c r="A34" t="s">
        <v>3493</v>
      </c>
      <c r="B34">
        <v>126.44</v>
      </c>
      <c r="C34" t="s">
        <v>3460</v>
      </c>
      <c r="D34" t="s">
        <v>3461</v>
      </c>
      <c r="E34">
        <v>2319807</v>
      </c>
      <c r="F34">
        <f t="shared" si="0"/>
        <v>18347.097437519773</v>
      </c>
      <c r="AJ34" s="2996">
        <v>32</v>
      </c>
      <c r="AK34" s="2996" t="s">
        <v>3730</v>
      </c>
      <c r="AL34" s="2996">
        <v>136.44</v>
      </c>
      <c r="AM34" s="2996" t="s">
        <v>3696</v>
      </c>
    </row>
    <row r="35" spans="1:39" ht="14.4">
      <c r="A35" t="s">
        <v>3494</v>
      </c>
      <c r="B35">
        <v>126.44</v>
      </c>
      <c r="C35" t="s">
        <v>3460</v>
      </c>
      <c r="D35" t="s">
        <v>3461</v>
      </c>
      <c r="E35">
        <v>2332462</v>
      </c>
      <c r="F35">
        <f t="shared" si="0"/>
        <v>18447.184435305284</v>
      </c>
      <c r="AJ35" s="2996">
        <v>33</v>
      </c>
      <c r="AK35" s="2996" t="s">
        <v>3734</v>
      </c>
      <c r="AL35" s="2996">
        <v>126.44</v>
      </c>
      <c r="AM35" s="2996" t="s">
        <v>3696</v>
      </c>
    </row>
    <row r="36" spans="1:39" ht="14.4">
      <c r="A36" t="s">
        <v>3495</v>
      </c>
      <c r="B36">
        <v>110.36</v>
      </c>
      <c r="C36" t="s">
        <v>3460</v>
      </c>
      <c r="D36" t="s">
        <v>3461</v>
      </c>
      <c r="E36">
        <v>1895795</v>
      </c>
      <c r="F36">
        <f t="shared" si="0"/>
        <v>17178.28017397608</v>
      </c>
      <c r="AJ36" s="2996">
        <v>34</v>
      </c>
      <c r="AK36" s="2996" t="s">
        <v>3736</v>
      </c>
      <c r="AL36" s="2996">
        <v>126.44</v>
      </c>
      <c r="AM36" s="2996" t="s">
        <v>3696</v>
      </c>
    </row>
    <row r="37" spans="1:39" ht="14.4">
      <c r="A37" t="s">
        <v>3496</v>
      </c>
      <c r="B37">
        <v>77.77</v>
      </c>
      <c r="C37" t="s">
        <v>3460</v>
      </c>
      <c r="D37" t="s">
        <v>3461</v>
      </c>
      <c r="E37">
        <v>1259204</v>
      </c>
      <c r="F37">
        <f t="shared" si="0"/>
        <v>16191.384852770992</v>
      </c>
      <c r="AJ37" s="2996">
        <v>35</v>
      </c>
      <c r="AK37" s="2996" t="s">
        <v>3735</v>
      </c>
      <c r="AL37" s="2996">
        <v>110.36</v>
      </c>
      <c r="AM37" s="2996" t="s">
        <v>3696</v>
      </c>
    </row>
    <row r="38" spans="1:39" ht="14.4">
      <c r="A38" t="s">
        <v>3497</v>
      </c>
      <c r="B38">
        <v>77.77</v>
      </c>
      <c r="C38" t="s">
        <v>3460</v>
      </c>
      <c r="D38" t="s">
        <v>3461</v>
      </c>
      <c r="E38">
        <v>1259204</v>
      </c>
      <c r="F38">
        <f t="shared" si="0"/>
        <v>16191.384852770992</v>
      </c>
      <c r="AJ38" s="2996">
        <v>36</v>
      </c>
      <c r="AK38" s="2996" t="s">
        <v>3746</v>
      </c>
      <c r="AL38" s="2996">
        <v>77.77</v>
      </c>
      <c r="AM38" s="2996" t="s">
        <v>3696</v>
      </c>
    </row>
    <row r="39" spans="1:39" ht="14.4">
      <c r="A39" t="s">
        <v>3498</v>
      </c>
      <c r="B39">
        <v>117.15</v>
      </c>
      <c r="C39" t="s">
        <v>3460</v>
      </c>
      <c r="D39" t="s">
        <v>3461</v>
      </c>
      <c r="E39">
        <v>1998918</v>
      </c>
      <c r="F39">
        <f t="shared" si="0"/>
        <v>17062.893725992315</v>
      </c>
      <c r="AJ39" s="2996">
        <v>37</v>
      </c>
      <c r="AK39" s="2996" t="s">
        <v>3739</v>
      </c>
      <c r="AL39" s="2996">
        <v>77.77</v>
      </c>
      <c r="AM39" s="2996" t="s">
        <v>3696</v>
      </c>
    </row>
    <row r="40" spans="1:39" ht="14.4">
      <c r="A40" t="s">
        <v>3499</v>
      </c>
      <c r="B40">
        <v>77.84</v>
      </c>
      <c r="C40" t="s">
        <v>3460</v>
      </c>
      <c r="D40" t="s">
        <v>3461</v>
      </c>
      <c r="E40">
        <v>1416113</v>
      </c>
      <c r="F40">
        <f t="shared" si="0"/>
        <v>18192.61305241521</v>
      </c>
      <c r="AJ40" s="2996">
        <v>38</v>
      </c>
      <c r="AK40" s="2996" t="s">
        <v>3747</v>
      </c>
      <c r="AL40" s="2996">
        <v>117.15</v>
      </c>
      <c r="AM40" s="2996" t="s">
        <v>3696</v>
      </c>
    </row>
    <row r="41" spans="1:39" ht="14.4">
      <c r="A41" t="s">
        <v>3500</v>
      </c>
      <c r="B41">
        <v>117.22</v>
      </c>
      <c r="C41" t="s">
        <v>3460</v>
      </c>
      <c r="D41" t="s">
        <v>3461</v>
      </c>
      <c r="E41">
        <v>2234722</v>
      </c>
      <c r="F41">
        <f t="shared" si="0"/>
        <v>19064.340556219075</v>
      </c>
      <c r="AJ41" s="2996">
        <v>39</v>
      </c>
      <c r="AK41" s="2996" t="s">
        <v>3738</v>
      </c>
      <c r="AL41" s="2996">
        <v>77.84</v>
      </c>
      <c r="AM41" s="2996" t="s">
        <v>3696</v>
      </c>
    </row>
    <row r="42" spans="1:39" ht="14.4">
      <c r="A42" t="s">
        <v>3501</v>
      </c>
      <c r="B42">
        <v>117.22</v>
      </c>
      <c r="C42" t="s">
        <v>3460</v>
      </c>
      <c r="D42" t="s">
        <v>3461</v>
      </c>
      <c r="E42">
        <v>2240588</v>
      </c>
      <c r="F42">
        <f t="shared" si="0"/>
        <v>19114.383211056134</v>
      </c>
      <c r="AJ42" s="2996">
        <v>40</v>
      </c>
      <c r="AK42" s="2996" t="s">
        <v>3740</v>
      </c>
      <c r="AL42" s="2996">
        <v>117.22</v>
      </c>
      <c r="AM42" s="2996" t="s">
        <v>3696</v>
      </c>
    </row>
    <row r="43" spans="1:39" ht="14.4">
      <c r="A43" t="s">
        <v>3502</v>
      </c>
      <c r="B43">
        <v>110.43</v>
      </c>
      <c r="C43" t="s">
        <v>3460</v>
      </c>
      <c r="D43" t="s">
        <v>3461</v>
      </c>
      <c r="E43">
        <v>2123536</v>
      </c>
      <c r="F43">
        <f t="shared" si="0"/>
        <v>19229.702073711851</v>
      </c>
      <c r="AJ43" s="2996">
        <v>41</v>
      </c>
      <c r="AK43" s="2996" t="s">
        <v>3737</v>
      </c>
      <c r="AL43" s="2996">
        <v>117.22</v>
      </c>
      <c r="AM43" s="2996" t="s">
        <v>3696</v>
      </c>
    </row>
    <row r="44" spans="1:39" ht="14.4">
      <c r="A44" t="s">
        <v>3503</v>
      </c>
      <c r="B44">
        <v>117.22</v>
      </c>
      <c r="C44" t="s">
        <v>3460</v>
      </c>
      <c r="D44" t="s">
        <v>3461</v>
      </c>
      <c r="E44">
        <v>2240588</v>
      </c>
      <c r="F44">
        <f t="shared" si="0"/>
        <v>19114.383211056134</v>
      </c>
      <c r="AJ44" s="2996">
        <v>42</v>
      </c>
      <c r="AK44" s="2996" t="s">
        <v>3748</v>
      </c>
      <c r="AL44" s="2996">
        <v>110.43</v>
      </c>
      <c r="AM44" s="2996" t="s">
        <v>3696</v>
      </c>
    </row>
    <row r="45" spans="1:39" ht="14.4">
      <c r="A45" t="s">
        <v>3504</v>
      </c>
      <c r="B45">
        <v>77.84</v>
      </c>
      <c r="C45" t="s">
        <v>3460</v>
      </c>
      <c r="D45" t="s">
        <v>3461</v>
      </c>
      <c r="E45">
        <v>1431693</v>
      </c>
      <c r="F45">
        <f t="shared" si="0"/>
        <v>18392.767214799587</v>
      </c>
      <c r="AJ45" s="2996">
        <v>43</v>
      </c>
      <c r="AK45" s="2996" t="s">
        <v>3749</v>
      </c>
      <c r="AL45" s="2996">
        <v>117.22</v>
      </c>
      <c r="AM45" s="2996" t="s">
        <v>3696</v>
      </c>
    </row>
    <row r="46" spans="1:39" ht="14.4">
      <c r="A46" t="s">
        <v>3505</v>
      </c>
      <c r="B46">
        <v>117.22</v>
      </c>
      <c r="C46" t="s">
        <v>3460</v>
      </c>
      <c r="D46" t="s">
        <v>3461</v>
      </c>
      <c r="E46">
        <v>2264050</v>
      </c>
      <c r="F46">
        <f t="shared" si="0"/>
        <v>19314.536768469545</v>
      </c>
      <c r="AJ46" s="2996">
        <v>44</v>
      </c>
      <c r="AK46" s="2996" t="s">
        <v>3750</v>
      </c>
      <c r="AL46" s="2996">
        <v>77.84</v>
      </c>
      <c r="AM46" s="2996" t="s">
        <v>3696</v>
      </c>
    </row>
    <row r="47" spans="1:39" ht="14.4">
      <c r="A47" t="s">
        <v>3506</v>
      </c>
      <c r="B47">
        <v>117.22</v>
      </c>
      <c r="C47" t="s">
        <v>3460</v>
      </c>
      <c r="D47" t="s">
        <v>3461</v>
      </c>
      <c r="E47">
        <v>2281646</v>
      </c>
      <c r="F47">
        <f t="shared" si="0"/>
        <v>19464.647671045896</v>
      </c>
      <c r="AJ47" s="2996">
        <v>45</v>
      </c>
      <c r="AK47" s="2996" t="s">
        <v>3751</v>
      </c>
      <c r="AL47" s="2996">
        <v>117.22</v>
      </c>
      <c r="AM47" s="2996" t="s">
        <v>3696</v>
      </c>
    </row>
    <row r="48" spans="1:39" ht="14.4">
      <c r="A48" t="s">
        <v>3507</v>
      </c>
      <c r="B48">
        <v>77.84</v>
      </c>
      <c r="C48" t="s">
        <v>3460</v>
      </c>
      <c r="D48" t="s">
        <v>3461</v>
      </c>
      <c r="E48">
        <v>1462852</v>
      </c>
      <c r="F48">
        <f t="shared" si="0"/>
        <v>18793.062692702981</v>
      </c>
      <c r="AJ48" s="2996">
        <v>46</v>
      </c>
      <c r="AK48" s="2996" t="s">
        <v>3752</v>
      </c>
      <c r="AL48" s="2996">
        <v>117.22</v>
      </c>
      <c r="AM48" s="2996" t="s">
        <v>3696</v>
      </c>
    </row>
    <row r="49" spans="1:39" ht="14.4">
      <c r="A49" t="s">
        <v>3508</v>
      </c>
      <c r="B49">
        <v>77.84</v>
      </c>
      <c r="C49" t="s">
        <v>3460</v>
      </c>
      <c r="D49" t="s">
        <v>3461</v>
      </c>
      <c r="E49">
        <v>1447273</v>
      </c>
      <c r="F49">
        <f t="shared" si="0"/>
        <v>18592.921377183968</v>
      </c>
      <c r="AJ49" s="2996">
        <v>47</v>
      </c>
      <c r="AK49" s="2996" t="s">
        <v>3753</v>
      </c>
      <c r="AL49" s="2996">
        <v>77.84</v>
      </c>
      <c r="AM49" s="2996" t="s">
        <v>3696</v>
      </c>
    </row>
    <row r="50" spans="1:39" ht="14.4">
      <c r="A50" t="s">
        <v>3509</v>
      </c>
      <c r="B50">
        <v>117.22</v>
      </c>
      <c r="C50" t="s">
        <v>3460</v>
      </c>
      <c r="D50" t="s">
        <v>3461</v>
      </c>
      <c r="E50">
        <v>2234722</v>
      </c>
      <c r="F50">
        <f t="shared" si="0"/>
        <v>19064.340556219075</v>
      </c>
      <c r="AJ50" s="2996">
        <v>48</v>
      </c>
      <c r="AK50" s="2996" t="s">
        <v>3754</v>
      </c>
      <c r="AL50" s="2996">
        <v>77.84</v>
      </c>
      <c r="AM50" s="2996" t="s">
        <v>3696</v>
      </c>
    </row>
    <row r="51" spans="1:39" ht="14.4">
      <c r="A51" t="s">
        <v>3510</v>
      </c>
      <c r="B51">
        <v>125.69</v>
      </c>
      <c r="C51" t="s">
        <v>3460</v>
      </c>
      <c r="D51" t="s">
        <v>3461</v>
      </c>
      <c r="E51">
        <v>2254899</v>
      </c>
      <c r="F51">
        <f t="shared" si="0"/>
        <v>17940.16230408147</v>
      </c>
      <c r="AJ51" s="2996">
        <v>49</v>
      </c>
      <c r="AK51" s="2996" t="s">
        <v>3755</v>
      </c>
      <c r="AL51" s="2996">
        <v>117.22</v>
      </c>
      <c r="AM51" s="2996" t="s">
        <v>3696</v>
      </c>
    </row>
    <row r="52" spans="1:39" ht="14.4">
      <c r="A52" t="s">
        <v>3511</v>
      </c>
      <c r="B52">
        <v>125.69</v>
      </c>
      <c r="C52" t="s">
        <v>3460</v>
      </c>
      <c r="D52" t="s">
        <v>3461</v>
      </c>
      <c r="E52">
        <v>2254899</v>
      </c>
      <c r="F52">
        <f t="shared" si="0"/>
        <v>17940.16230408147</v>
      </c>
      <c r="AJ52" s="2996">
        <v>50</v>
      </c>
      <c r="AK52" s="2996" t="s">
        <v>3756</v>
      </c>
      <c r="AL52" s="2996">
        <v>125.69</v>
      </c>
      <c r="AM52" s="2996" t="s">
        <v>3696</v>
      </c>
    </row>
    <row r="53" spans="1:39" ht="14.4">
      <c r="A53" t="s">
        <v>3512</v>
      </c>
      <c r="B53">
        <v>135.76</v>
      </c>
      <c r="C53" t="s">
        <v>3460</v>
      </c>
      <c r="D53" t="s">
        <v>3461</v>
      </c>
      <c r="E53">
        <v>2521496</v>
      </c>
      <c r="F53">
        <f t="shared" si="0"/>
        <v>18573.187978786093</v>
      </c>
      <c r="AJ53" s="2996">
        <v>51</v>
      </c>
      <c r="AK53" s="2996" t="s">
        <v>3757</v>
      </c>
      <c r="AL53" s="2996">
        <v>125.69</v>
      </c>
      <c r="AM53" s="2996" t="s">
        <v>3696</v>
      </c>
    </row>
    <row r="54" spans="1:39" ht="14.4">
      <c r="A54" t="s">
        <v>3513</v>
      </c>
      <c r="B54">
        <v>125.69</v>
      </c>
      <c r="C54" t="s">
        <v>3460</v>
      </c>
      <c r="D54" t="s">
        <v>3461</v>
      </c>
      <c r="E54">
        <v>2261189</v>
      </c>
      <c r="F54">
        <f t="shared" si="0"/>
        <v>17990.206062534809</v>
      </c>
      <c r="AJ54" s="2996">
        <v>52</v>
      </c>
      <c r="AK54" s="2996" t="s">
        <v>3758</v>
      </c>
      <c r="AL54" s="2996">
        <v>135.76</v>
      </c>
      <c r="AM54" s="2996" t="s">
        <v>3696</v>
      </c>
    </row>
    <row r="55" spans="1:39" ht="14.4">
      <c r="A55" t="s">
        <v>3514</v>
      </c>
      <c r="B55">
        <v>125.69</v>
      </c>
      <c r="C55" t="s">
        <v>3460</v>
      </c>
      <c r="D55" t="s">
        <v>3461</v>
      </c>
      <c r="E55">
        <v>2261189</v>
      </c>
      <c r="F55">
        <f t="shared" si="0"/>
        <v>17990.206062534809</v>
      </c>
      <c r="AJ55" s="2996">
        <v>53</v>
      </c>
      <c r="AK55" s="2996" t="s">
        <v>3759</v>
      </c>
      <c r="AL55" s="2996">
        <v>125.69</v>
      </c>
      <c r="AM55" s="2996" t="s">
        <v>3696</v>
      </c>
    </row>
    <row r="56" spans="1:39" ht="14.4">
      <c r="A56" t="s">
        <v>3515</v>
      </c>
      <c r="B56">
        <v>125.69</v>
      </c>
      <c r="C56" t="s">
        <v>3460</v>
      </c>
      <c r="D56" t="s">
        <v>3461</v>
      </c>
      <c r="E56">
        <v>2261189</v>
      </c>
      <c r="F56">
        <f t="shared" si="0"/>
        <v>17990.206062534809</v>
      </c>
      <c r="AJ56" s="2996">
        <v>54</v>
      </c>
      <c r="AK56" s="2996" t="s">
        <v>3760</v>
      </c>
      <c r="AL56" s="2996">
        <v>125.69</v>
      </c>
      <c r="AM56" s="2996" t="s">
        <v>3696</v>
      </c>
    </row>
    <row r="57" spans="1:39" ht="14.4">
      <c r="A57" t="s">
        <v>3516</v>
      </c>
      <c r="B57">
        <v>135.76</v>
      </c>
      <c r="C57" t="s">
        <v>3460</v>
      </c>
      <c r="D57" t="s">
        <v>3461</v>
      </c>
      <c r="E57">
        <v>2528290</v>
      </c>
      <c r="F57">
        <f t="shared" si="0"/>
        <v>18623.232174425459</v>
      </c>
      <c r="AJ57" s="2996">
        <v>55</v>
      </c>
      <c r="AK57" s="2996" t="s">
        <v>3761</v>
      </c>
      <c r="AL57" s="2996">
        <v>125.69</v>
      </c>
      <c r="AM57" s="2996" t="s">
        <v>3696</v>
      </c>
    </row>
    <row r="58" spans="1:39" ht="14.4">
      <c r="A58" t="s">
        <v>3517</v>
      </c>
      <c r="B58">
        <v>101.69</v>
      </c>
      <c r="C58" t="s">
        <v>3460</v>
      </c>
      <c r="D58" t="s">
        <v>3461</v>
      </c>
      <c r="E58">
        <v>1880971</v>
      </c>
      <c r="F58">
        <f t="shared" si="0"/>
        <v>18497.108860261578</v>
      </c>
      <c r="AJ58" s="2996">
        <v>56</v>
      </c>
      <c r="AK58" s="2996" t="s">
        <v>3762</v>
      </c>
      <c r="AL58" s="2996">
        <v>135.76</v>
      </c>
      <c r="AM58" s="2996" t="s">
        <v>3696</v>
      </c>
    </row>
    <row r="59" spans="1:39" ht="14.4">
      <c r="A59" t="s">
        <v>3518</v>
      </c>
      <c r="B59">
        <v>101.69</v>
      </c>
      <c r="C59" t="s">
        <v>3460</v>
      </c>
      <c r="D59" t="s">
        <v>3461</v>
      </c>
      <c r="E59">
        <v>1921683</v>
      </c>
      <c r="F59">
        <f t="shared" si="0"/>
        <v>18897.462877372407</v>
      </c>
      <c r="AJ59" s="2996">
        <v>57</v>
      </c>
      <c r="AK59" s="2996" t="s">
        <v>3763</v>
      </c>
      <c r="AL59" s="2996">
        <v>101.69</v>
      </c>
      <c r="AM59" s="2996" t="s">
        <v>3696</v>
      </c>
    </row>
    <row r="60" spans="1:39" ht="14.4">
      <c r="A60" t="s">
        <v>3519</v>
      </c>
      <c r="B60">
        <v>136.37</v>
      </c>
      <c r="C60" t="s">
        <v>3460</v>
      </c>
      <c r="D60" t="s">
        <v>3461</v>
      </c>
      <c r="E60">
        <v>2487322</v>
      </c>
      <c r="F60">
        <f t="shared" si="0"/>
        <v>18239.510156192711</v>
      </c>
      <c r="AJ60" s="2996">
        <v>58</v>
      </c>
      <c r="AK60" s="2996" t="s">
        <v>3764</v>
      </c>
      <c r="AL60" s="2996">
        <v>101.69</v>
      </c>
      <c r="AM60" s="2996" t="s">
        <v>3696</v>
      </c>
    </row>
    <row r="61" spans="1:39" ht="14.4">
      <c r="A61" t="s">
        <v>3520</v>
      </c>
      <c r="B61">
        <v>126.38</v>
      </c>
      <c r="C61" t="s">
        <v>3460</v>
      </c>
      <c r="D61" t="s">
        <v>3461</v>
      </c>
      <c r="E61">
        <v>2269328</v>
      </c>
      <c r="F61">
        <f t="shared" si="0"/>
        <v>17956.38550403545</v>
      </c>
      <c r="AJ61" s="2996">
        <v>59</v>
      </c>
      <c r="AK61" s="2996" t="s">
        <v>3765</v>
      </c>
      <c r="AL61" s="2996">
        <v>136.37</v>
      </c>
      <c r="AM61" s="2996" t="s">
        <v>3696</v>
      </c>
    </row>
    <row r="62" spans="1:39" ht="14.4">
      <c r="A62" t="s">
        <v>3521</v>
      </c>
      <c r="B62">
        <v>126.38</v>
      </c>
      <c r="C62" t="s">
        <v>3460</v>
      </c>
      <c r="D62" t="s">
        <v>3461</v>
      </c>
      <c r="E62">
        <v>2269328</v>
      </c>
      <c r="F62">
        <f t="shared" si="0"/>
        <v>17956.38550403545</v>
      </c>
      <c r="AJ62" s="2996">
        <v>60</v>
      </c>
      <c r="AK62" s="2996" t="s">
        <v>3767</v>
      </c>
      <c r="AL62" s="2996">
        <v>126.38</v>
      </c>
      <c r="AM62" s="2996" t="s">
        <v>3696</v>
      </c>
    </row>
    <row r="63" spans="1:39" ht="14.4">
      <c r="A63" t="s">
        <v>3522</v>
      </c>
      <c r="B63">
        <v>102.04</v>
      </c>
      <c r="C63" t="s">
        <v>3460</v>
      </c>
      <c r="D63" t="s">
        <v>3461</v>
      </c>
      <c r="E63">
        <v>1863565</v>
      </c>
      <c r="F63">
        <f t="shared" si="0"/>
        <v>18263.083104664835</v>
      </c>
      <c r="AJ63" s="2996">
        <v>61</v>
      </c>
      <c r="AK63" s="2996" t="s">
        <v>3766</v>
      </c>
      <c r="AL63" s="2996">
        <v>126.38</v>
      </c>
      <c r="AM63" s="2996" t="s">
        <v>3696</v>
      </c>
    </row>
    <row r="64" spans="1:39" ht="14.4">
      <c r="A64" t="s">
        <v>3523</v>
      </c>
      <c r="B64">
        <v>136.37</v>
      </c>
      <c r="C64" t="s">
        <v>3460</v>
      </c>
      <c r="D64" t="s">
        <v>3461</v>
      </c>
      <c r="E64">
        <v>2623802</v>
      </c>
      <c r="F64">
        <f t="shared" si="0"/>
        <v>19240.316785216688</v>
      </c>
      <c r="AJ64" s="2996">
        <v>62</v>
      </c>
      <c r="AK64" s="2996" t="s">
        <v>3768</v>
      </c>
      <c r="AL64" s="2996">
        <v>102.04</v>
      </c>
      <c r="AM64" s="2996" t="s">
        <v>3696</v>
      </c>
    </row>
    <row r="65" spans="1:39" ht="14.4">
      <c r="A65" t="s">
        <v>3524</v>
      </c>
      <c r="B65">
        <v>126.38</v>
      </c>
      <c r="C65" t="s">
        <v>3460</v>
      </c>
      <c r="D65" t="s">
        <v>3461</v>
      </c>
      <c r="E65">
        <v>2395808</v>
      </c>
      <c r="F65">
        <f t="shared" si="0"/>
        <v>18957.176768476027</v>
      </c>
      <c r="AJ65" s="2996">
        <v>63</v>
      </c>
      <c r="AK65" s="2996" t="s">
        <v>3769</v>
      </c>
      <c r="AL65" s="2996">
        <v>136.37</v>
      </c>
      <c r="AM65" s="2996" t="s">
        <v>3696</v>
      </c>
    </row>
    <row r="66" spans="1:39" ht="14.4">
      <c r="A66" t="s">
        <v>3525</v>
      </c>
      <c r="B66">
        <v>126.38</v>
      </c>
      <c r="C66" t="s">
        <v>3460</v>
      </c>
      <c r="D66" t="s">
        <v>3461</v>
      </c>
      <c r="E66">
        <v>2395808</v>
      </c>
      <c r="F66">
        <f t="shared" si="0"/>
        <v>18957.176768476027</v>
      </c>
      <c r="AJ66" s="2996">
        <v>64</v>
      </c>
      <c r="AK66" s="2996" t="s">
        <v>3770</v>
      </c>
      <c r="AL66" s="2996">
        <v>126.38</v>
      </c>
      <c r="AM66" s="2996" t="s">
        <v>3696</v>
      </c>
    </row>
    <row r="67" spans="1:39" ht="14.4">
      <c r="A67" t="s">
        <v>3526</v>
      </c>
      <c r="B67">
        <v>126.38</v>
      </c>
      <c r="C67" t="s">
        <v>3460</v>
      </c>
      <c r="D67" t="s">
        <v>3461</v>
      </c>
      <c r="E67">
        <v>2421104</v>
      </c>
      <c r="F67">
        <f t="shared" ref="F67:F130" si="1">E67/B67</f>
        <v>19157.335021364139</v>
      </c>
      <c r="AJ67" s="2996">
        <v>65</v>
      </c>
      <c r="AK67" s="2996" t="s">
        <v>3771</v>
      </c>
      <c r="AL67" s="2996">
        <v>126.38</v>
      </c>
      <c r="AM67" s="2996" t="s">
        <v>3696</v>
      </c>
    </row>
    <row r="68" spans="1:39" ht="14.4">
      <c r="A68" t="s">
        <v>3527</v>
      </c>
      <c r="B68">
        <v>140.22</v>
      </c>
      <c r="C68" t="s">
        <v>3460</v>
      </c>
      <c r="D68" t="s">
        <v>3461</v>
      </c>
      <c r="E68">
        <v>2698076</v>
      </c>
      <c r="F68">
        <f t="shared" si="1"/>
        <v>19241.734417344174</v>
      </c>
      <c r="AJ68" s="2996">
        <v>66</v>
      </c>
      <c r="AK68" s="2996" t="s">
        <v>3772</v>
      </c>
      <c r="AL68" s="2996">
        <v>126.38</v>
      </c>
      <c r="AM68" s="2996" t="s">
        <v>3696</v>
      </c>
    </row>
    <row r="69" spans="1:39" ht="14.4">
      <c r="A69" t="s">
        <v>3528</v>
      </c>
      <c r="B69">
        <v>101.37</v>
      </c>
      <c r="C69" t="s">
        <v>3460</v>
      </c>
      <c r="D69" t="s">
        <v>3461</v>
      </c>
      <c r="E69">
        <v>1908215</v>
      </c>
      <c r="F69">
        <f t="shared" si="1"/>
        <v>18824.257669922066</v>
      </c>
      <c r="AJ69" s="2996">
        <v>67</v>
      </c>
      <c r="AK69" s="2996" t="s">
        <v>3773</v>
      </c>
      <c r="AL69" s="2996">
        <v>140.22</v>
      </c>
      <c r="AM69" s="2996" t="s">
        <v>3696</v>
      </c>
    </row>
    <row r="70" spans="1:39" ht="14.4">
      <c r="A70" t="s">
        <v>3529</v>
      </c>
      <c r="B70">
        <v>94.56</v>
      </c>
      <c r="C70" t="s">
        <v>3460</v>
      </c>
      <c r="D70" t="s">
        <v>3461</v>
      </c>
      <c r="E70">
        <v>1789469</v>
      </c>
      <c r="F70">
        <f t="shared" si="1"/>
        <v>18924.164551607446</v>
      </c>
      <c r="AJ70" s="2996">
        <v>68</v>
      </c>
      <c r="AK70" s="2996" t="s">
        <v>3774</v>
      </c>
      <c r="AL70" s="2996">
        <v>101.37</v>
      </c>
      <c r="AM70" s="2996" t="s">
        <v>3696</v>
      </c>
    </row>
    <row r="71" spans="1:39" ht="14.4">
      <c r="A71" t="s">
        <v>3530</v>
      </c>
      <c r="B71">
        <v>140.22</v>
      </c>
      <c r="C71" t="s">
        <v>3460</v>
      </c>
      <c r="D71" t="s">
        <v>3461</v>
      </c>
      <c r="E71">
        <v>2838346</v>
      </c>
      <c r="F71">
        <f t="shared" si="1"/>
        <v>20242.090999857366</v>
      </c>
      <c r="AJ71" s="2996">
        <v>69</v>
      </c>
      <c r="AK71" s="2996" t="s">
        <v>3775</v>
      </c>
      <c r="AL71" s="2996">
        <v>94.56</v>
      </c>
      <c r="AM71" s="2996" t="s">
        <v>3696</v>
      </c>
    </row>
    <row r="72" spans="1:39" ht="14.4">
      <c r="A72" t="s">
        <v>3531</v>
      </c>
      <c r="B72">
        <v>124.81</v>
      </c>
      <c r="C72" t="s">
        <v>3460</v>
      </c>
      <c r="D72" t="s">
        <v>3461</v>
      </c>
      <c r="E72">
        <v>2477185</v>
      </c>
      <c r="F72">
        <f t="shared" si="1"/>
        <v>19847.648425606923</v>
      </c>
      <c r="AJ72" s="2996">
        <v>70</v>
      </c>
      <c r="AK72" s="2996" t="s">
        <v>3776</v>
      </c>
      <c r="AL72" s="2996">
        <v>140.22</v>
      </c>
      <c r="AM72" s="2996" t="s">
        <v>3696</v>
      </c>
    </row>
    <row r="73" spans="1:39" ht="14.4">
      <c r="A73" t="s">
        <v>3532</v>
      </c>
      <c r="B73">
        <v>94.56</v>
      </c>
      <c r="C73" t="s">
        <v>3460</v>
      </c>
      <c r="D73" t="s">
        <v>3461</v>
      </c>
      <c r="E73">
        <v>1789469</v>
      </c>
      <c r="F73">
        <f t="shared" si="1"/>
        <v>18924.164551607446</v>
      </c>
      <c r="AJ73" s="2996">
        <v>71</v>
      </c>
      <c r="AK73" s="2996" t="s">
        <v>3777</v>
      </c>
      <c r="AL73" s="2996">
        <v>124.81</v>
      </c>
      <c r="AM73" s="2996" t="s">
        <v>3696</v>
      </c>
    </row>
    <row r="74" spans="1:39" ht="14.4">
      <c r="A74" t="s">
        <v>3533</v>
      </c>
      <c r="B74">
        <v>101.37</v>
      </c>
      <c r="C74" t="s">
        <v>3460</v>
      </c>
      <c r="D74" t="s">
        <v>3461</v>
      </c>
      <c r="E74">
        <v>1908215</v>
      </c>
      <c r="F74">
        <f t="shared" si="1"/>
        <v>18824.257669922066</v>
      </c>
      <c r="AJ74" s="2996">
        <v>72</v>
      </c>
      <c r="AK74" s="2996" t="s">
        <v>3782</v>
      </c>
      <c r="AL74" s="2996">
        <v>94.56</v>
      </c>
      <c r="AM74" s="2996" t="s">
        <v>3696</v>
      </c>
    </row>
    <row r="75" spans="1:39" ht="14.4">
      <c r="A75" t="s">
        <v>3534</v>
      </c>
      <c r="B75">
        <v>140.22</v>
      </c>
      <c r="C75" t="s">
        <v>3460</v>
      </c>
      <c r="D75" t="s">
        <v>3461</v>
      </c>
      <c r="E75">
        <v>2691062</v>
      </c>
      <c r="F75">
        <f t="shared" si="1"/>
        <v>19191.713022393382</v>
      </c>
      <c r="AJ75" s="2996">
        <v>73</v>
      </c>
      <c r="AK75" s="2996" t="s">
        <v>3783</v>
      </c>
      <c r="AL75" s="2996">
        <v>101.37</v>
      </c>
      <c r="AM75" s="2996" t="s">
        <v>3696</v>
      </c>
    </row>
    <row r="76" spans="1:39" ht="14.4">
      <c r="A76" t="s">
        <v>3535</v>
      </c>
      <c r="B76">
        <v>124.81</v>
      </c>
      <c r="C76" t="s">
        <v>3460</v>
      </c>
      <c r="D76" t="s">
        <v>3461</v>
      </c>
      <c r="E76">
        <v>2477185</v>
      </c>
      <c r="F76">
        <f t="shared" si="1"/>
        <v>19847.648425606923</v>
      </c>
      <c r="AJ76" s="2996">
        <v>74</v>
      </c>
      <c r="AK76" s="2996" t="s">
        <v>3784</v>
      </c>
      <c r="AL76" s="2996">
        <v>140.22</v>
      </c>
      <c r="AM76" s="2996" t="s">
        <v>3696</v>
      </c>
    </row>
    <row r="77" spans="1:39" ht="14.4">
      <c r="A77" t="s">
        <v>3536</v>
      </c>
      <c r="B77">
        <v>140.22</v>
      </c>
      <c r="C77" t="s">
        <v>3460</v>
      </c>
      <c r="D77" t="s">
        <v>3461</v>
      </c>
      <c r="E77">
        <v>2831332</v>
      </c>
      <c r="F77">
        <f t="shared" si="1"/>
        <v>20192.069604906577</v>
      </c>
      <c r="AJ77" s="2996">
        <v>75</v>
      </c>
      <c r="AK77" s="2996" t="s">
        <v>3785</v>
      </c>
      <c r="AL77" s="2996">
        <v>124.81</v>
      </c>
      <c r="AM77" s="2996" t="s">
        <v>3696</v>
      </c>
    </row>
    <row r="78" spans="1:39" ht="14.4">
      <c r="A78" t="s">
        <v>3537</v>
      </c>
      <c r="B78">
        <v>124.81</v>
      </c>
      <c r="C78" t="s">
        <v>3460</v>
      </c>
      <c r="D78" t="s">
        <v>3461</v>
      </c>
      <c r="E78">
        <v>2502155</v>
      </c>
      <c r="F78">
        <f t="shared" si="1"/>
        <v>20047.712523035014</v>
      </c>
      <c r="AJ78" s="2996">
        <v>76</v>
      </c>
      <c r="AK78" s="2996" t="s">
        <v>3786</v>
      </c>
      <c r="AL78" s="2996">
        <v>140.22</v>
      </c>
      <c r="AM78" s="2996" t="s">
        <v>3696</v>
      </c>
    </row>
    <row r="79" spans="1:39" ht="14.4">
      <c r="A79" t="s">
        <v>3538</v>
      </c>
      <c r="B79">
        <v>140.22</v>
      </c>
      <c r="C79" t="s">
        <v>3460</v>
      </c>
      <c r="D79" t="s">
        <v>3461</v>
      </c>
      <c r="E79">
        <v>2929521</v>
      </c>
      <c r="F79">
        <f t="shared" si="1"/>
        <v>20892.31921266581</v>
      </c>
      <c r="AJ79" s="2996">
        <v>77</v>
      </c>
      <c r="AK79" s="2996" t="s">
        <v>3803</v>
      </c>
      <c r="AL79" s="2996">
        <v>124.81</v>
      </c>
      <c r="AM79" s="2996" t="s">
        <v>3696</v>
      </c>
    </row>
    <row r="80" spans="1:39" ht="14.4">
      <c r="A80" t="s">
        <v>3539</v>
      </c>
      <c r="B80">
        <v>104.46</v>
      </c>
      <c r="C80" t="s">
        <v>3460</v>
      </c>
      <c r="D80" t="s">
        <v>3461</v>
      </c>
      <c r="E80">
        <v>2137870</v>
      </c>
      <c r="F80">
        <f t="shared" si="1"/>
        <v>20465.919969366267</v>
      </c>
      <c r="AJ80" s="2996">
        <v>78</v>
      </c>
      <c r="AK80" s="2996" t="s">
        <v>3804</v>
      </c>
      <c r="AL80" s="2996">
        <v>140.22</v>
      </c>
      <c r="AM80" s="2996" t="s">
        <v>3696</v>
      </c>
    </row>
    <row r="81" spans="1:39" ht="14.4">
      <c r="A81" t="s">
        <v>3540</v>
      </c>
      <c r="B81">
        <v>124.81</v>
      </c>
      <c r="C81" t="s">
        <v>3460</v>
      </c>
      <c r="D81" t="s">
        <v>3461</v>
      </c>
      <c r="E81">
        <v>2514640</v>
      </c>
      <c r="F81">
        <f t="shared" si="1"/>
        <v>20147.744571749059</v>
      </c>
      <c r="AJ81" s="2996">
        <v>79</v>
      </c>
      <c r="AK81" s="2996" t="s">
        <v>3805</v>
      </c>
      <c r="AL81" s="2996">
        <v>104.46</v>
      </c>
      <c r="AM81" s="2996" t="s">
        <v>3696</v>
      </c>
    </row>
    <row r="82" spans="1:39" ht="14.4">
      <c r="A82" t="s">
        <v>3541</v>
      </c>
      <c r="B82">
        <v>117.04</v>
      </c>
      <c r="C82" t="s">
        <v>3460</v>
      </c>
      <c r="D82" t="s">
        <v>3461</v>
      </c>
      <c r="E82">
        <v>2114853</v>
      </c>
      <c r="F82">
        <f t="shared" si="1"/>
        <v>18069.489063568009</v>
      </c>
      <c r="AJ82" s="2996">
        <v>80</v>
      </c>
      <c r="AK82" s="2996" t="s">
        <v>3806</v>
      </c>
      <c r="AL82" s="2996">
        <v>124.81</v>
      </c>
      <c r="AM82" s="2996" t="s">
        <v>3696</v>
      </c>
    </row>
    <row r="83" spans="1:39" ht="14.4">
      <c r="A83" t="s">
        <v>3542</v>
      </c>
      <c r="B83">
        <v>77.69</v>
      </c>
      <c r="C83" t="s">
        <v>3460</v>
      </c>
      <c r="D83" t="s">
        <v>3461</v>
      </c>
      <c r="E83">
        <v>1382928</v>
      </c>
      <c r="F83">
        <f t="shared" si="1"/>
        <v>17800.592096794953</v>
      </c>
      <c r="AJ83" s="2996">
        <v>81</v>
      </c>
      <c r="AK83" s="2996" t="s">
        <v>3807</v>
      </c>
      <c r="AL83" s="2996">
        <v>117.04</v>
      </c>
      <c r="AM83" s="2996" t="s">
        <v>3696</v>
      </c>
    </row>
    <row r="84" spans="1:39" ht="14.4">
      <c r="A84" t="s">
        <v>3543</v>
      </c>
      <c r="B84">
        <v>52.52</v>
      </c>
      <c r="C84" t="s">
        <v>3460</v>
      </c>
      <c r="D84" t="s">
        <v>3461</v>
      </c>
      <c r="E84">
        <v>944597</v>
      </c>
      <c r="F84">
        <f t="shared" si="1"/>
        <v>17985.472201066259</v>
      </c>
      <c r="AJ84" s="2996">
        <v>82</v>
      </c>
      <c r="AK84" s="2996" t="s">
        <v>3808</v>
      </c>
      <c r="AL84" s="2996">
        <v>77.69</v>
      </c>
      <c r="AM84" s="2996" t="s">
        <v>3696</v>
      </c>
    </row>
    <row r="85" spans="1:39" ht="14.4">
      <c r="A85" t="s">
        <v>3544</v>
      </c>
      <c r="B85">
        <v>110.32</v>
      </c>
      <c r="C85" t="s">
        <v>3460</v>
      </c>
      <c r="D85" t="s">
        <v>3461</v>
      </c>
      <c r="E85">
        <v>1967630</v>
      </c>
      <c r="F85">
        <f t="shared" si="1"/>
        <v>17835.659898477159</v>
      </c>
      <c r="AJ85" s="2996">
        <v>83</v>
      </c>
      <c r="AK85" s="2996" t="s">
        <v>3809</v>
      </c>
      <c r="AL85" s="2996">
        <v>52.52</v>
      </c>
      <c r="AM85" s="2996" t="s">
        <v>3696</v>
      </c>
    </row>
    <row r="86" spans="1:39" ht="14.4">
      <c r="A86" t="s">
        <v>3545</v>
      </c>
      <c r="B86">
        <v>117.11</v>
      </c>
      <c r="C86" t="s">
        <v>3460</v>
      </c>
      <c r="D86" t="s">
        <v>3461</v>
      </c>
      <c r="E86">
        <v>2233289</v>
      </c>
      <c r="F86">
        <f t="shared" si="1"/>
        <v>19070.011100674579</v>
      </c>
      <c r="AJ86" s="2996">
        <v>84</v>
      </c>
      <c r="AK86" s="2996" t="s">
        <v>3810</v>
      </c>
      <c r="AL86" s="2996">
        <v>110.32</v>
      </c>
      <c r="AM86" s="2996" t="s">
        <v>3696</v>
      </c>
    </row>
    <row r="87" spans="1:39" ht="14.4">
      <c r="A87" t="s">
        <v>3546</v>
      </c>
      <c r="B87">
        <v>110.32</v>
      </c>
      <c r="C87" t="s">
        <v>3460</v>
      </c>
      <c r="D87" t="s">
        <v>3461</v>
      </c>
      <c r="E87">
        <v>2078030</v>
      </c>
      <c r="F87">
        <f t="shared" si="1"/>
        <v>18836.38506163887</v>
      </c>
      <c r="AJ87" s="2996">
        <v>85</v>
      </c>
      <c r="AK87" s="2996" t="s">
        <v>3811</v>
      </c>
      <c r="AL87" s="2996">
        <v>117.11</v>
      </c>
      <c r="AM87" s="2996" t="s">
        <v>3696</v>
      </c>
    </row>
    <row r="88" spans="1:39" ht="14.4">
      <c r="A88" t="s">
        <v>3547</v>
      </c>
      <c r="B88">
        <v>110.32</v>
      </c>
      <c r="C88" t="s">
        <v>3460</v>
      </c>
      <c r="D88" t="s">
        <v>3461</v>
      </c>
      <c r="E88">
        <v>2155310</v>
      </c>
      <c r="F88">
        <f t="shared" si="1"/>
        <v>19536.892675852068</v>
      </c>
      <c r="AJ88" s="2996">
        <v>86</v>
      </c>
      <c r="AK88" s="2996" t="s">
        <v>3812</v>
      </c>
      <c r="AL88" s="2996">
        <v>110.32</v>
      </c>
      <c r="AM88" s="2996" t="s">
        <v>3696</v>
      </c>
    </row>
    <row r="89" spans="1:39" ht="14.4">
      <c r="A89" t="s">
        <v>3548</v>
      </c>
      <c r="B89">
        <v>139.97999999999999</v>
      </c>
      <c r="C89" t="s">
        <v>3460</v>
      </c>
      <c r="D89" t="s">
        <v>3461</v>
      </c>
      <c r="E89">
        <v>2550820</v>
      </c>
      <c r="F89">
        <f t="shared" si="1"/>
        <v>18222.746106586656</v>
      </c>
      <c r="AJ89" s="2996">
        <v>87</v>
      </c>
      <c r="AK89" s="2996" t="s">
        <v>3813</v>
      </c>
      <c r="AL89" s="2996">
        <v>110.32</v>
      </c>
      <c r="AM89" s="2996" t="s">
        <v>3696</v>
      </c>
    </row>
    <row r="90" spans="1:39" ht="14.4">
      <c r="A90" t="s">
        <v>3549</v>
      </c>
      <c r="B90">
        <v>40.92</v>
      </c>
      <c r="C90" t="s">
        <v>3460</v>
      </c>
      <c r="D90" t="s">
        <v>3461</v>
      </c>
      <c r="E90">
        <v>746357</v>
      </c>
      <c r="F90">
        <f t="shared" si="1"/>
        <v>18239.418377321603</v>
      </c>
      <c r="AJ90" s="2996">
        <v>88</v>
      </c>
      <c r="AK90" s="2996" t="s">
        <v>3814</v>
      </c>
      <c r="AL90" s="2996">
        <v>139.97999999999999</v>
      </c>
      <c r="AM90" s="2996" t="s">
        <v>3696</v>
      </c>
    </row>
    <row r="91" spans="1:39" ht="14.4">
      <c r="A91" t="s">
        <v>3550</v>
      </c>
      <c r="B91">
        <v>144.58000000000001</v>
      </c>
      <c r="C91" t="s">
        <v>3460</v>
      </c>
      <c r="D91" t="s">
        <v>3461</v>
      </c>
      <c r="E91">
        <v>2570423</v>
      </c>
      <c r="F91">
        <f t="shared" si="1"/>
        <v>17778.55166689722</v>
      </c>
      <c r="AJ91" s="2996">
        <v>89</v>
      </c>
      <c r="AK91" s="2996" t="s">
        <v>3815</v>
      </c>
      <c r="AL91" s="2996">
        <v>40.92</v>
      </c>
      <c r="AM91" s="2996" t="s">
        <v>3696</v>
      </c>
    </row>
    <row r="92" spans="1:39" ht="14.4">
      <c r="A92" t="s">
        <v>3551</v>
      </c>
      <c r="B92">
        <v>139.97999999999999</v>
      </c>
      <c r="C92" t="s">
        <v>3460</v>
      </c>
      <c r="D92" t="s">
        <v>3461</v>
      </c>
      <c r="E92">
        <v>2690850</v>
      </c>
      <c r="F92">
        <f t="shared" si="1"/>
        <v>19223.103300471499</v>
      </c>
      <c r="AJ92" s="2996">
        <v>90</v>
      </c>
      <c r="AK92" s="2996" t="s">
        <v>3816</v>
      </c>
      <c r="AL92" s="2996">
        <v>144.58000000000001</v>
      </c>
      <c r="AM92" s="2996" t="s">
        <v>3696</v>
      </c>
    </row>
    <row r="93" spans="1:39" ht="14.4">
      <c r="A93" t="s">
        <v>3552</v>
      </c>
      <c r="B93">
        <v>124.6</v>
      </c>
      <c r="C93" t="s">
        <v>3460</v>
      </c>
      <c r="D93" t="s">
        <v>3461</v>
      </c>
      <c r="E93">
        <v>2346060</v>
      </c>
      <c r="F93">
        <f t="shared" si="1"/>
        <v>18828.73194221509</v>
      </c>
      <c r="AJ93" s="2996">
        <v>91</v>
      </c>
      <c r="AK93" s="2996" t="s">
        <v>3817</v>
      </c>
      <c r="AL93" s="2996">
        <v>139.97999999999999</v>
      </c>
      <c r="AM93" s="2996" t="s">
        <v>3696</v>
      </c>
    </row>
    <row r="94" spans="1:39" ht="14.4">
      <c r="A94" t="s">
        <v>3553</v>
      </c>
      <c r="B94">
        <v>139.97999999999999</v>
      </c>
      <c r="C94" t="s">
        <v>3460</v>
      </c>
      <c r="D94" t="s">
        <v>3461</v>
      </c>
      <c r="E94">
        <v>2711855</v>
      </c>
      <c r="F94">
        <f t="shared" si="1"/>
        <v>19373.160451493073</v>
      </c>
      <c r="AJ94" s="2996">
        <v>92</v>
      </c>
      <c r="AK94" s="2996" t="s">
        <v>3818</v>
      </c>
      <c r="AL94" s="2996">
        <v>124.6</v>
      </c>
      <c r="AM94" s="2996" t="s">
        <v>3696</v>
      </c>
    </row>
    <row r="95" spans="1:39" ht="14.4">
      <c r="A95" t="s">
        <v>3554</v>
      </c>
      <c r="B95">
        <v>104.29</v>
      </c>
      <c r="C95" t="s">
        <v>3460</v>
      </c>
      <c r="D95" t="s">
        <v>3461</v>
      </c>
      <c r="E95">
        <v>1975963</v>
      </c>
      <c r="F95">
        <f t="shared" si="1"/>
        <v>18946.811774858565</v>
      </c>
      <c r="AJ95" s="2996">
        <v>93</v>
      </c>
      <c r="AK95" s="2996" t="s">
        <v>3819</v>
      </c>
      <c r="AL95" s="2996">
        <v>139.97999999999999</v>
      </c>
      <c r="AM95" s="2996" t="s">
        <v>3696</v>
      </c>
    </row>
    <row r="96" spans="1:39" ht="14.4">
      <c r="A96" t="s">
        <v>3555</v>
      </c>
      <c r="B96">
        <v>124.6</v>
      </c>
      <c r="C96" t="s">
        <v>3460</v>
      </c>
      <c r="D96" t="s">
        <v>3461</v>
      </c>
      <c r="E96">
        <v>2364756</v>
      </c>
      <c r="F96">
        <f t="shared" si="1"/>
        <v>18978.780096308186</v>
      </c>
      <c r="AJ96" s="2996">
        <v>94</v>
      </c>
      <c r="AK96" s="2996" t="s">
        <v>3820</v>
      </c>
      <c r="AL96" s="2996">
        <v>104.29</v>
      </c>
      <c r="AM96" s="2996" t="s">
        <v>3696</v>
      </c>
    </row>
    <row r="97" spans="1:39" ht="14.4">
      <c r="A97" t="s">
        <v>3556</v>
      </c>
      <c r="B97">
        <v>104.29</v>
      </c>
      <c r="C97" t="s">
        <v>3460</v>
      </c>
      <c r="D97" t="s">
        <v>3461</v>
      </c>
      <c r="E97">
        <v>1981180</v>
      </c>
      <c r="F97">
        <f t="shared" si="1"/>
        <v>18996.835746476172</v>
      </c>
      <c r="AJ97" s="2996">
        <v>95</v>
      </c>
      <c r="AK97" s="2996" t="s">
        <v>3821</v>
      </c>
      <c r="AL97" s="2996">
        <v>124.6</v>
      </c>
      <c r="AM97" s="2996" t="s">
        <v>3696</v>
      </c>
    </row>
    <row r="98" spans="1:39" ht="14.4">
      <c r="A98" t="s">
        <v>3557</v>
      </c>
      <c r="B98">
        <v>124.6</v>
      </c>
      <c r="C98" t="s">
        <v>3460</v>
      </c>
      <c r="D98" t="s">
        <v>3461</v>
      </c>
      <c r="E98">
        <v>2370988</v>
      </c>
      <c r="F98">
        <f t="shared" si="1"/>
        <v>19028.796147672554</v>
      </c>
      <c r="AJ98" s="2996">
        <v>96</v>
      </c>
      <c r="AK98" s="2996" t="s">
        <v>3822</v>
      </c>
      <c r="AL98" s="2996">
        <v>104.29</v>
      </c>
      <c r="AM98" s="2996" t="s">
        <v>3696</v>
      </c>
    </row>
    <row r="99" spans="1:39" ht="14.4">
      <c r="A99" t="s">
        <v>3558</v>
      </c>
      <c r="B99">
        <v>139.97999999999999</v>
      </c>
      <c r="C99" t="s">
        <v>3460</v>
      </c>
      <c r="D99" t="s">
        <v>3461</v>
      </c>
      <c r="E99">
        <v>2732859</v>
      </c>
      <c r="F99">
        <f t="shared" si="1"/>
        <v>19523.21045863695</v>
      </c>
      <c r="AJ99" s="2996">
        <v>97</v>
      </c>
      <c r="AK99" s="2996" t="s">
        <v>3823</v>
      </c>
      <c r="AL99" s="2996">
        <v>124.6</v>
      </c>
      <c r="AM99" s="2996" t="s">
        <v>3696</v>
      </c>
    </row>
    <row r="100" spans="1:39" ht="14.4">
      <c r="A100" t="s">
        <v>3559</v>
      </c>
      <c r="B100">
        <v>104.29</v>
      </c>
      <c r="C100" t="s">
        <v>3460</v>
      </c>
      <c r="D100" t="s">
        <v>3461</v>
      </c>
      <c r="E100">
        <v>1991613</v>
      </c>
      <c r="F100">
        <f t="shared" si="1"/>
        <v>19096.874101064339</v>
      </c>
      <c r="AJ100" s="2996">
        <v>98</v>
      </c>
      <c r="AK100" s="2996" t="s">
        <v>3824</v>
      </c>
      <c r="AL100" s="2996">
        <v>139.97999999999999</v>
      </c>
      <c r="AM100" s="2996" t="s">
        <v>3696</v>
      </c>
    </row>
    <row r="101" spans="1:39" ht="14.4">
      <c r="A101" t="s">
        <v>3560</v>
      </c>
      <c r="B101">
        <v>124.6</v>
      </c>
      <c r="C101" t="s">
        <v>3460</v>
      </c>
      <c r="D101" t="s">
        <v>3461</v>
      </c>
      <c r="E101">
        <v>2433308</v>
      </c>
      <c r="F101">
        <f t="shared" si="1"/>
        <v>19528.956661316213</v>
      </c>
      <c r="AJ101" s="2996">
        <v>99</v>
      </c>
      <c r="AK101" s="2996" t="s">
        <v>3825</v>
      </c>
      <c r="AL101" s="2996">
        <v>104.29</v>
      </c>
      <c r="AM101" s="2996" t="s">
        <v>3696</v>
      </c>
    </row>
    <row r="102" spans="1:39" ht="14.4">
      <c r="A102" t="s">
        <v>3561</v>
      </c>
      <c r="B102">
        <v>144.58000000000001</v>
      </c>
      <c r="C102" t="s">
        <v>3460</v>
      </c>
      <c r="D102" t="s">
        <v>3461</v>
      </c>
      <c r="E102">
        <v>2570423</v>
      </c>
      <c r="F102">
        <f t="shared" si="1"/>
        <v>17778.55166689722</v>
      </c>
      <c r="AJ102" s="2996">
        <v>100</v>
      </c>
      <c r="AK102" s="2996" t="s">
        <v>3826</v>
      </c>
      <c r="AL102" s="2996">
        <v>124.6</v>
      </c>
      <c r="AM102" s="2996" t="s">
        <v>3696</v>
      </c>
    </row>
    <row r="103" spans="1:39" ht="14.4">
      <c r="A103" t="s">
        <v>3562</v>
      </c>
      <c r="B103">
        <v>40.92</v>
      </c>
      <c r="C103" t="s">
        <v>3460</v>
      </c>
      <c r="D103" t="s">
        <v>3461</v>
      </c>
      <c r="E103">
        <v>746357</v>
      </c>
      <c r="F103">
        <f t="shared" si="1"/>
        <v>18239.418377321603</v>
      </c>
      <c r="AJ103" s="2996">
        <v>101</v>
      </c>
      <c r="AK103" s="2996" t="s">
        <v>3827</v>
      </c>
      <c r="AL103" s="2996">
        <v>144.58000000000001</v>
      </c>
      <c r="AM103" s="2996" t="s">
        <v>3696</v>
      </c>
    </row>
    <row r="104" spans="1:39" ht="14.4">
      <c r="A104" t="s">
        <v>3563</v>
      </c>
      <c r="B104">
        <v>139.97999999999999</v>
      </c>
      <c r="C104" t="s">
        <v>3460</v>
      </c>
      <c r="D104" t="s">
        <v>3461</v>
      </c>
      <c r="E104">
        <v>2543819</v>
      </c>
      <c r="F104">
        <f t="shared" si="1"/>
        <v>18172.731818831264</v>
      </c>
      <c r="AJ104" s="2996">
        <v>102</v>
      </c>
      <c r="AK104" s="2996" t="s">
        <v>3828</v>
      </c>
      <c r="AL104" s="2996">
        <v>40.92</v>
      </c>
      <c r="AM104" s="2996" t="s">
        <v>3696</v>
      </c>
    </row>
    <row r="105" spans="1:39" ht="14.4">
      <c r="A105" t="s">
        <v>3564</v>
      </c>
      <c r="B105">
        <v>124.6</v>
      </c>
      <c r="C105" t="s">
        <v>3460</v>
      </c>
      <c r="D105" t="s">
        <v>3461</v>
      </c>
      <c r="E105">
        <v>2346060</v>
      </c>
      <c r="F105">
        <f t="shared" si="1"/>
        <v>18828.73194221509</v>
      </c>
      <c r="AJ105" s="2996">
        <v>103</v>
      </c>
      <c r="AK105" s="2996" t="s">
        <v>3829</v>
      </c>
      <c r="AL105" s="2996">
        <v>139.97999999999999</v>
      </c>
      <c r="AM105" s="2996" t="s">
        <v>3696</v>
      </c>
    </row>
    <row r="106" spans="1:39" ht="14.4">
      <c r="A106" t="s">
        <v>3565</v>
      </c>
      <c r="B106">
        <v>104.29</v>
      </c>
      <c r="C106" t="s">
        <v>3460</v>
      </c>
      <c r="D106" t="s">
        <v>3461</v>
      </c>
      <c r="E106">
        <v>1960314</v>
      </c>
      <c r="F106">
        <f t="shared" si="1"/>
        <v>18796.759037299835</v>
      </c>
      <c r="AJ106" s="2996">
        <v>104</v>
      </c>
      <c r="AK106" s="2996" t="s">
        <v>3830</v>
      </c>
      <c r="AL106" s="2996">
        <v>124.6</v>
      </c>
      <c r="AM106" s="2996" t="s">
        <v>3696</v>
      </c>
    </row>
    <row r="107" spans="1:39" ht="14.4">
      <c r="A107" t="s">
        <v>3566</v>
      </c>
      <c r="B107">
        <v>139.97999999999999</v>
      </c>
      <c r="C107" t="s">
        <v>3460</v>
      </c>
      <c r="D107" t="s">
        <v>3461</v>
      </c>
      <c r="E107">
        <v>2683849</v>
      </c>
      <c r="F107">
        <f t="shared" si="1"/>
        <v>19173.089012716104</v>
      </c>
      <c r="AJ107" s="2996">
        <v>105</v>
      </c>
      <c r="AK107" s="2996" t="s">
        <v>3831</v>
      </c>
      <c r="AL107" s="2996">
        <v>104.29</v>
      </c>
      <c r="AM107" s="2996" t="s">
        <v>3696</v>
      </c>
    </row>
    <row r="108" spans="1:39" ht="14.4">
      <c r="A108" t="s">
        <v>3567</v>
      </c>
      <c r="B108">
        <v>124.6</v>
      </c>
      <c r="C108" t="s">
        <v>3460</v>
      </c>
      <c r="D108" t="s">
        <v>3461</v>
      </c>
      <c r="E108">
        <v>2364756</v>
      </c>
      <c r="F108">
        <f t="shared" si="1"/>
        <v>18978.780096308186</v>
      </c>
      <c r="AJ108" s="2996">
        <v>106</v>
      </c>
      <c r="AK108" s="2996" t="s">
        <v>3832</v>
      </c>
      <c r="AL108" s="2996">
        <v>139.97999999999999</v>
      </c>
      <c r="AM108" s="2996" t="s">
        <v>3696</v>
      </c>
    </row>
    <row r="109" spans="1:39" ht="14.4">
      <c r="A109" t="s">
        <v>3568</v>
      </c>
      <c r="B109">
        <v>139.97999999999999</v>
      </c>
      <c r="C109" t="s">
        <v>3460</v>
      </c>
      <c r="D109" t="s">
        <v>3461</v>
      </c>
      <c r="E109">
        <v>2704853</v>
      </c>
      <c r="F109">
        <f t="shared" si="1"/>
        <v>19323.13901985998</v>
      </c>
      <c r="AJ109" s="2996">
        <v>107</v>
      </c>
      <c r="AK109" s="2996" t="s">
        <v>3733</v>
      </c>
      <c r="AL109" s="2996">
        <v>124.6</v>
      </c>
      <c r="AM109" s="2996" t="s">
        <v>3696</v>
      </c>
    </row>
    <row r="110" spans="1:39" ht="14.4">
      <c r="A110" t="s">
        <v>3569</v>
      </c>
      <c r="B110">
        <v>124.6</v>
      </c>
      <c r="C110" t="s">
        <v>3460</v>
      </c>
      <c r="D110" t="s">
        <v>3461</v>
      </c>
      <c r="E110">
        <v>2370988</v>
      </c>
      <c r="F110">
        <f t="shared" si="1"/>
        <v>19028.796147672554</v>
      </c>
      <c r="AJ110" s="2996">
        <v>108</v>
      </c>
      <c r="AK110" s="2996" t="s">
        <v>3833</v>
      </c>
      <c r="AL110" s="2996">
        <v>139.97999999999999</v>
      </c>
      <c r="AM110" s="2996" t="s">
        <v>3696</v>
      </c>
    </row>
    <row r="111" spans="1:39" ht="14.4">
      <c r="A111" t="s">
        <v>3570</v>
      </c>
      <c r="B111">
        <v>104.29</v>
      </c>
      <c r="C111" t="s">
        <v>3460</v>
      </c>
      <c r="D111" t="s">
        <v>3461</v>
      </c>
      <c r="E111">
        <v>1981180</v>
      </c>
      <c r="F111">
        <f t="shared" si="1"/>
        <v>18996.835746476172</v>
      </c>
      <c r="AJ111" s="2996">
        <v>109</v>
      </c>
      <c r="AK111" s="2996" t="s">
        <v>3834</v>
      </c>
      <c r="AL111" s="2996">
        <v>124.6</v>
      </c>
      <c r="AM111" s="2996" t="s">
        <v>3696</v>
      </c>
    </row>
    <row r="112" spans="1:39" ht="14.4">
      <c r="A112" t="s">
        <v>3571</v>
      </c>
      <c r="B112">
        <v>139.97999999999999</v>
      </c>
      <c r="C112" t="s">
        <v>3460</v>
      </c>
      <c r="D112" t="s">
        <v>3461</v>
      </c>
      <c r="E112">
        <v>2711855</v>
      </c>
      <c r="F112">
        <f t="shared" si="1"/>
        <v>19373.160451493073</v>
      </c>
      <c r="AJ112" s="2996">
        <v>110</v>
      </c>
      <c r="AK112" s="2996" t="s">
        <v>3732</v>
      </c>
      <c r="AL112" s="2996">
        <v>104.29</v>
      </c>
      <c r="AM112" s="2996" t="s">
        <v>3696</v>
      </c>
    </row>
    <row r="113" spans="1:39" ht="14.4">
      <c r="A113" t="s">
        <v>3572</v>
      </c>
      <c r="B113">
        <v>104.29</v>
      </c>
      <c r="C113" t="s">
        <v>3460</v>
      </c>
      <c r="D113" t="s">
        <v>3461</v>
      </c>
      <c r="E113">
        <v>1991613</v>
      </c>
      <c r="F113">
        <f t="shared" si="1"/>
        <v>19096.874101064339</v>
      </c>
      <c r="AJ113" s="2996">
        <v>111</v>
      </c>
      <c r="AK113" s="2996" t="s">
        <v>3741</v>
      </c>
      <c r="AL113" s="2996">
        <v>139.97999999999999</v>
      </c>
      <c r="AM113" s="2996" t="s">
        <v>3696</v>
      </c>
    </row>
    <row r="114" spans="1:39" ht="14.4">
      <c r="A114" t="s">
        <v>3573</v>
      </c>
      <c r="B114">
        <v>77.5</v>
      </c>
      <c r="C114" t="s">
        <v>3460</v>
      </c>
      <c r="D114" t="s">
        <v>3461</v>
      </c>
      <c r="E114">
        <v>1555026</v>
      </c>
      <c r="F114">
        <f t="shared" si="1"/>
        <v>20064.851612903225</v>
      </c>
      <c r="AJ114" s="2996">
        <v>112</v>
      </c>
      <c r="AK114" s="2996" t="s">
        <v>3835</v>
      </c>
      <c r="AL114" s="2996">
        <v>104.29</v>
      </c>
      <c r="AM114" s="2996" t="s">
        <v>3696</v>
      </c>
    </row>
    <row r="115" spans="1:39" ht="14.4">
      <c r="A115" t="s">
        <v>3574</v>
      </c>
      <c r="B115">
        <v>116.72</v>
      </c>
      <c r="C115" t="s">
        <v>3460</v>
      </c>
      <c r="D115" t="s">
        <v>3461</v>
      </c>
      <c r="E115">
        <v>2355687</v>
      </c>
      <c r="F115">
        <f t="shared" si="1"/>
        <v>20182.376627827278</v>
      </c>
      <c r="AJ115" s="2996">
        <v>113</v>
      </c>
      <c r="AK115" s="2996" t="s">
        <v>3731</v>
      </c>
      <c r="AL115" s="2996">
        <v>77.5</v>
      </c>
      <c r="AM115" s="2996" t="s">
        <v>3696</v>
      </c>
    </row>
    <row r="116" spans="1:39" ht="14.4">
      <c r="A116" t="s">
        <v>3575</v>
      </c>
      <c r="B116">
        <v>118.32</v>
      </c>
      <c r="C116" t="s">
        <v>3576</v>
      </c>
      <c r="D116" t="s">
        <v>3461</v>
      </c>
      <c r="E116">
        <v>2789501</v>
      </c>
      <c r="F116">
        <f t="shared" si="1"/>
        <v>23575.904327248143</v>
      </c>
      <c r="AJ116" s="2996">
        <v>114</v>
      </c>
      <c r="AK116" s="2996" t="s">
        <v>3705</v>
      </c>
      <c r="AL116" s="2996">
        <v>116.72</v>
      </c>
      <c r="AM116" s="2996" t="s">
        <v>3696</v>
      </c>
    </row>
    <row r="117" spans="1:39" ht="14.4">
      <c r="A117" t="s">
        <v>3577</v>
      </c>
      <c r="B117">
        <v>116.27</v>
      </c>
      <c r="C117" t="s">
        <v>3576</v>
      </c>
      <c r="D117" t="s">
        <v>3461</v>
      </c>
      <c r="E117">
        <v>2788122</v>
      </c>
      <c r="F117">
        <f t="shared" si="1"/>
        <v>23979.719618130213</v>
      </c>
      <c r="AJ117" s="2996">
        <v>115</v>
      </c>
      <c r="AK117" s="2996" t="s">
        <v>3837</v>
      </c>
      <c r="AL117" s="2996">
        <v>118.32</v>
      </c>
      <c r="AM117" s="2996" t="s">
        <v>3880</v>
      </c>
    </row>
    <row r="118" spans="1:39" ht="14.4">
      <c r="A118" t="s">
        <v>3578</v>
      </c>
      <c r="B118">
        <v>116.27</v>
      </c>
      <c r="C118" t="s">
        <v>3576</v>
      </c>
      <c r="D118" t="s">
        <v>3461</v>
      </c>
      <c r="E118">
        <v>2741538</v>
      </c>
      <c r="F118">
        <f t="shared" si="1"/>
        <v>23579.065967145438</v>
      </c>
      <c r="AJ118" s="2996">
        <v>116</v>
      </c>
      <c r="AK118" s="2996" t="s">
        <v>3838</v>
      </c>
      <c r="AL118" s="2996">
        <v>116.27</v>
      </c>
      <c r="AM118" s="2996" t="s">
        <v>3880</v>
      </c>
    </row>
    <row r="119" spans="1:39" ht="14.4">
      <c r="A119" t="s">
        <v>3579</v>
      </c>
      <c r="B119">
        <v>110.56</v>
      </c>
      <c r="C119" t="s">
        <v>3576</v>
      </c>
      <c r="D119" t="s">
        <v>3461</v>
      </c>
      <c r="E119">
        <v>2541915</v>
      </c>
      <c r="F119">
        <f t="shared" si="1"/>
        <v>22991.271707670043</v>
      </c>
      <c r="AJ119" s="2996">
        <v>117</v>
      </c>
      <c r="AK119" s="2996" t="s">
        <v>3839</v>
      </c>
      <c r="AL119" s="2996">
        <v>116.27</v>
      </c>
      <c r="AM119" s="2996" t="s">
        <v>3880</v>
      </c>
    </row>
    <row r="120" spans="1:39" ht="14.4">
      <c r="A120" t="s">
        <v>3580</v>
      </c>
      <c r="B120">
        <v>129.58000000000001</v>
      </c>
      <c r="C120" t="s">
        <v>3576</v>
      </c>
      <c r="D120" t="s">
        <v>3461</v>
      </c>
      <c r="E120">
        <v>3051668</v>
      </c>
      <c r="F120">
        <f t="shared" si="1"/>
        <v>23550.455317178574</v>
      </c>
      <c r="AJ120" s="2996">
        <v>118</v>
      </c>
      <c r="AK120" s="2996" t="s">
        <v>3840</v>
      </c>
      <c r="AL120" s="2996">
        <v>110.56</v>
      </c>
      <c r="AM120" s="2996" t="s">
        <v>3880</v>
      </c>
    </row>
    <row r="121" spans="1:39" ht="14.4">
      <c r="A121" t="s">
        <v>3581</v>
      </c>
      <c r="B121">
        <v>126.99</v>
      </c>
      <c r="C121" t="s">
        <v>3576</v>
      </c>
      <c r="D121" t="s">
        <v>3461</v>
      </c>
      <c r="E121">
        <v>3019770</v>
      </c>
      <c r="F121">
        <f t="shared" si="1"/>
        <v>23779.588944011339</v>
      </c>
      <c r="AJ121" s="2996">
        <v>119</v>
      </c>
      <c r="AK121" s="2996" t="s">
        <v>3841</v>
      </c>
      <c r="AL121" s="2996">
        <v>129.58000000000001</v>
      </c>
      <c r="AM121" s="2996" t="s">
        <v>3880</v>
      </c>
    </row>
    <row r="122" spans="1:39" ht="14.4">
      <c r="A122" t="s">
        <v>3582</v>
      </c>
      <c r="B122">
        <v>126.99</v>
      </c>
      <c r="C122" t="s">
        <v>3576</v>
      </c>
      <c r="D122" t="s">
        <v>3461</v>
      </c>
      <c r="E122">
        <v>3019770</v>
      </c>
      <c r="F122">
        <f t="shared" si="1"/>
        <v>23779.588944011339</v>
      </c>
      <c r="AJ122" s="2996">
        <v>120</v>
      </c>
      <c r="AK122" s="2996" t="s">
        <v>3842</v>
      </c>
      <c r="AL122" s="2996">
        <v>126.99</v>
      </c>
      <c r="AM122" s="2996" t="s">
        <v>3880</v>
      </c>
    </row>
    <row r="123" spans="1:39" ht="14.4">
      <c r="A123" t="s">
        <v>3583</v>
      </c>
      <c r="B123">
        <v>118.32</v>
      </c>
      <c r="C123" t="s">
        <v>3576</v>
      </c>
      <c r="D123" t="s">
        <v>3461</v>
      </c>
      <c r="E123">
        <v>2789501</v>
      </c>
      <c r="F123">
        <f t="shared" si="1"/>
        <v>23575.904327248143</v>
      </c>
      <c r="AJ123" s="2996">
        <v>121</v>
      </c>
      <c r="AK123" s="2996" t="s">
        <v>3843</v>
      </c>
      <c r="AL123" s="2996">
        <v>126.99</v>
      </c>
      <c r="AM123" s="2996" t="s">
        <v>3880</v>
      </c>
    </row>
    <row r="124" spans="1:39" ht="14.4">
      <c r="A124" t="s">
        <v>3584</v>
      </c>
      <c r="B124">
        <v>118.32</v>
      </c>
      <c r="C124" t="s">
        <v>3576</v>
      </c>
      <c r="D124" t="s">
        <v>3461</v>
      </c>
      <c r="E124">
        <v>2789501</v>
      </c>
      <c r="F124">
        <f t="shared" si="1"/>
        <v>23575.904327248143</v>
      </c>
      <c r="AJ124" s="2996">
        <v>122</v>
      </c>
      <c r="AK124" s="2996" t="s">
        <v>3844</v>
      </c>
      <c r="AL124" s="2996">
        <v>118.32</v>
      </c>
      <c r="AM124" s="2996" t="s">
        <v>3880</v>
      </c>
    </row>
    <row r="125" spans="1:39" ht="14.4">
      <c r="A125" t="s">
        <v>3585</v>
      </c>
      <c r="B125">
        <v>116.27</v>
      </c>
      <c r="C125" t="s">
        <v>3576</v>
      </c>
      <c r="D125" t="s">
        <v>3461</v>
      </c>
      <c r="E125">
        <v>2741538</v>
      </c>
      <c r="F125">
        <f t="shared" si="1"/>
        <v>23579.065967145438</v>
      </c>
      <c r="AJ125" s="2996">
        <v>123</v>
      </c>
      <c r="AK125" s="2996" t="s">
        <v>3845</v>
      </c>
      <c r="AL125" s="2996">
        <v>118.32</v>
      </c>
      <c r="AM125" s="2996" t="s">
        <v>3880</v>
      </c>
    </row>
    <row r="126" spans="1:39" ht="14.4">
      <c r="A126" t="s">
        <v>3586</v>
      </c>
      <c r="B126">
        <v>116.27</v>
      </c>
      <c r="C126" t="s">
        <v>3576</v>
      </c>
      <c r="D126" t="s">
        <v>3461</v>
      </c>
      <c r="E126">
        <v>2741538</v>
      </c>
      <c r="F126">
        <f t="shared" si="1"/>
        <v>23579.065967145438</v>
      </c>
      <c r="AJ126" s="2996">
        <v>124</v>
      </c>
      <c r="AK126" s="2996" t="s">
        <v>3846</v>
      </c>
      <c r="AL126" s="2996">
        <v>116.27</v>
      </c>
      <c r="AM126" s="2996" t="s">
        <v>3880</v>
      </c>
    </row>
    <row r="127" spans="1:39" ht="14.4">
      <c r="A127" t="s">
        <v>3587</v>
      </c>
      <c r="B127">
        <v>110.56</v>
      </c>
      <c r="C127" t="s">
        <v>3576</v>
      </c>
      <c r="D127" t="s">
        <v>3461</v>
      </c>
      <c r="E127">
        <v>2541915</v>
      </c>
      <c r="F127">
        <f t="shared" si="1"/>
        <v>22991.271707670043</v>
      </c>
      <c r="AJ127" s="2996">
        <v>125</v>
      </c>
      <c r="AK127" s="2996" t="s">
        <v>3847</v>
      </c>
      <c r="AL127" s="2996">
        <v>116.27</v>
      </c>
      <c r="AM127" s="2996" t="s">
        <v>3880</v>
      </c>
    </row>
    <row r="128" spans="1:39" ht="14.4">
      <c r="A128" t="s">
        <v>3588</v>
      </c>
      <c r="B128">
        <v>110.56</v>
      </c>
      <c r="C128" t="s">
        <v>3576</v>
      </c>
      <c r="D128" t="s">
        <v>3461</v>
      </c>
      <c r="E128">
        <v>2541915</v>
      </c>
      <c r="F128">
        <f t="shared" si="1"/>
        <v>22991.271707670043</v>
      </c>
      <c r="AJ128" s="2996">
        <v>126</v>
      </c>
      <c r="AK128" s="2996" t="s">
        <v>3848</v>
      </c>
      <c r="AL128" s="2996">
        <v>110.56</v>
      </c>
      <c r="AM128" s="2996" t="s">
        <v>3880</v>
      </c>
    </row>
    <row r="129" spans="1:39" ht="14.4">
      <c r="A129" t="s">
        <v>3589</v>
      </c>
      <c r="B129">
        <v>126.99</v>
      </c>
      <c r="C129" t="s">
        <v>3576</v>
      </c>
      <c r="D129" t="s">
        <v>3461</v>
      </c>
      <c r="E129">
        <v>3006929</v>
      </c>
      <c r="F129">
        <f t="shared" si="1"/>
        <v>23678.470745728013</v>
      </c>
      <c r="AJ129" s="2996">
        <v>127</v>
      </c>
      <c r="AK129" s="2996" t="s">
        <v>3849</v>
      </c>
      <c r="AL129" s="2996">
        <v>110.56</v>
      </c>
      <c r="AM129" s="2996" t="s">
        <v>3880</v>
      </c>
    </row>
    <row r="130" spans="1:39" ht="14.4">
      <c r="A130" t="s">
        <v>3590</v>
      </c>
      <c r="B130">
        <v>118.32</v>
      </c>
      <c r="C130" t="s">
        <v>3576</v>
      </c>
      <c r="D130" t="s">
        <v>3461</v>
      </c>
      <c r="E130">
        <v>2825057</v>
      </c>
      <c r="F130">
        <f t="shared" si="1"/>
        <v>23876.411426639625</v>
      </c>
      <c r="AJ130" s="2996">
        <v>128</v>
      </c>
      <c r="AK130" s="2996" t="s">
        <v>3850</v>
      </c>
      <c r="AL130" s="2996">
        <v>126.99</v>
      </c>
      <c r="AM130" s="2996" t="s">
        <v>3880</v>
      </c>
    </row>
    <row r="131" spans="1:39" ht="14.4">
      <c r="A131" t="s">
        <v>3591</v>
      </c>
      <c r="B131">
        <v>116.27</v>
      </c>
      <c r="C131" t="s">
        <v>3576</v>
      </c>
      <c r="D131" t="s">
        <v>3461</v>
      </c>
      <c r="E131">
        <v>2729892</v>
      </c>
      <c r="F131">
        <f t="shared" ref="F131:F182" si="2">E131/B131</f>
        <v>23478.902554399243</v>
      </c>
      <c r="AJ131" s="2996">
        <v>129</v>
      </c>
      <c r="AK131" s="2996" t="s">
        <v>3851</v>
      </c>
      <c r="AL131" s="2996">
        <v>118.32</v>
      </c>
      <c r="AM131" s="2996" t="s">
        <v>3880</v>
      </c>
    </row>
    <row r="132" spans="1:39" ht="14.4">
      <c r="A132" t="s">
        <v>3592</v>
      </c>
      <c r="B132">
        <v>116.27</v>
      </c>
      <c r="C132" t="s">
        <v>3576</v>
      </c>
      <c r="D132" t="s">
        <v>3461</v>
      </c>
      <c r="E132">
        <v>2776476</v>
      </c>
      <c r="F132">
        <f t="shared" si="2"/>
        <v>23879.556205384022</v>
      </c>
      <c r="AJ132" s="2996">
        <v>130</v>
      </c>
      <c r="AK132" s="2996" t="s">
        <v>3852</v>
      </c>
      <c r="AL132" s="2996">
        <v>116.27</v>
      </c>
      <c r="AM132" s="2996" t="s">
        <v>3880</v>
      </c>
    </row>
    <row r="133" spans="1:39" ht="14.4">
      <c r="A133" t="s">
        <v>3593</v>
      </c>
      <c r="B133">
        <v>110.56</v>
      </c>
      <c r="C133" t="s">
        <v>3576</v>
      </c>
      <c r="D133" t="s">
        <v>3461</v>
      </c>
      <c r="E133">
        <v>2530841</v>
      </c>
      <c r="F133">
        <f t="shared" si="2"/>
        <v>22891.108900144718</v>
      </c>
      <c r="AJ133" s="2996">
        <v>131</v>
      </c>
      <c r="AK133" s="2996" t="s">
        <v>3853</v>
      </c>
      <c r="AL133" s="2996">
        <v>116.27</v>
      </c>
      <c r="AM133" s="2996" t="s">
        <v>3880</v>
      </c>
    </row>
    <row r="134" spans="1:39" ht="14.4">
      <c r="A134" t="s">
        <v>3594</v>
      </c>
      <c r="B134">
        <v>110.56</v>
      </c>
      <c r="C134" t="s">
        <v>3576</v>
      </c>
      <c r="D134" t="s">
        <v>3461</v>
      </c>
      <c r="E134">
        <v>2575137</v>
      </c>
      <c r="F134">
        <f t="shared" si="2"/>
        <v>23291.760130246021</v>
      </c>
      <c r="AJ134" s="2996">
        <v>132</v>
      </c>
      <c r="AK134" s="2996" t="s">
        <v>3854</v>
      </c>
      <c r="AL134" s="2996">
        <v>110.56</v>
      </c>
      <c r="AM134" s="2996" t="s">
        <v>3880</v>
      </c>
    </row>
    <row r="135" spans="1:39" ht="14.4">
      <c r="A135" t="s">
        <v>3595</v>
      </c>
      <c r="B135">
        <v>246.52</v>
      </c>
      <c r="C135" t="s">
        <v>3576</v>
      </c>
      <c r="D135" t="s">
        <v>3461</v>
      </c>
      <c r="E135">
        <v>3709244</v>
      </c>
      <c r="F135">
        <f t="shared" si="2"/>
        <v>15046.422196981988</v>
      </c>
      <c r="AJ135" s="2996">
        <v>133</v>
      </c>
      <c r="AK135" s="2996" t="s">
        <v>3855</v>
      </c>
      <c r="AL135" s="2996">
        <v>110.56</v>
      </c>
      <c r="AM135" s="2996" t="s">
        <v>3880</v>
      </c>
    </row>
    <row r="136" spans="1:39" ht="14.4">
      <c r="A136" t="s">
        <v>3596</v>
      </c>
      <c r="B136">
        <v>127.27</v>
      </c>
      <c r="C136" t="s">
        <v>3576</v>
      </c>
      <c r="D136" t="s">
        <v>3461</v>
      </c>
      <c r="E136">
        <v>3072318</v>
      </c>
      <c r="F136">
        <f t="shared" si="2"/>
        <v>24140.158717686809</v>
      </c>
      <c r="AJ136" s="2996">
        <v>134</v>
      </c>
      <c r="AK136" s="2996" t="s">
        <v>3856</v>
      </c>
      <c r="AL136" s="2996">
        <v>246.52</v>
      </c>
      <c r="AM136" s="2996" t="s">
        <v>3880</v>
      </c>
    </row>
    <row r="137" spans="1:39" ht="14.4">
      <c r="A137" t="s">
        <v>3597</v>
      </c>
      <c r="B137">
        <v>127.27</v>
      </c>
      <c r="C137" t="s">
        <v>3576</v>
      </c>
      <c r="D137" t="s">
        <v>3461</v>
      </c>
      <c r="E137">
        <v>3020934</v>
      </c>
      <c r="F137">
        <f t="shared" si="2"/>
        <v>23736.418637542232</v>
      </c>
      <c r="AJ137" s="2996">
        <v>135</v>
      </c>
      <c r="AK137" s="2996" t="s">
        <v>3857</v>
      </c>
      <c r="AL137" s="2996">
        <v>127.27</v>
      </c>
      <c r="AM137" s="2996" t="s">
        <v>3880</v>
      </c>
    </row>
    <row r="138" spans="1:39" ht="14.4">
      <c r="A138" t="s">
        <v>3598</v>
      </c>
      <c r="B138">
        <v>118.59</v>
      </c>
      <c r="C138" t="s">
        <v>3576</v>
      </c>
      <c r="D138" t="s">
        <v>3461</v>
      </c>
      <c r="E138">
        <v>2790200</v>
      </c>
      <c r="F138">
        <f t="shared" si="2"/>
        <v>23528.122101357618</v>
      </c>
      <c r="AJ138" s="2996">
        <v>136</v>
      </c>
      <c r="AK138" s="2996" t="s">
        <v>3858</v>
      </c>
      <c r="AL138" s="2996">
        <v>127.27</v>
      </c>
      <c r="AM138" s="2996" t="s">
        <v>3880</v>
      </c>
    </row>
    <row r="139" spans="1:39" ht="14.4">
      <c r="A139" t="s">
        <v>3599</v>
      </c>
      <c r="B139">
        <v>116.53</v>
      </c>
      <c r="C139" t="s">
        <v>3576</v>
      </c>
      <c r="D139" t="s">
        <v>3461</v>
      </c>
      <c r="E139">
        <v>2789070</v>
      </c>
      <c r="F139">
        <f t="shared" si="2"/>
        <v>23934.351669098087</v>
      </c>
      <c r="AJ139" s="2996">
        <v>137</v>
      </c>
      <c r="AK139" s="2996" t="s">
        <v>3859</v>
      </c>
      <c r="AL139" s="2996">
        <v>118.59</v>
      </c>
      <c r="AM139" s="2996" t="s">
        <v>3880</v>
      </c>
    </row>
    <row r="140" spans="1:39" ht="14.4">
      <c r="A140" t="s">
        <v>3600</v>
      </c>
      <c r="B140">
        <v>116.53</v>
      </c>
      <c r="C140" t="s">
        <v>3576</v>
      </c>
      <c r="D140" t="s">
        <v>3461</v>
      </c>
      <c r="E140">
        <v>2742470</v>
      </c>
      <c r="F140">
        <f t="shared" si="2"/>
        <v>23534.454646872051</v>
      </c>
      <c r="AJ140" s="2996">
        <v>138</v>
      </c>
      <c r="AK140" s="2996" t="s">
        <v>3860</v>
      </c>
      <c r="AL140" s="2996">
        <v>116.53</v>
      </c>
      <c r="AM140" s="2996" t="s">
        <v>3880</v>
      </c>
    </row>
    <row r="141" spans="1:39" ht="14.4">
      <c r="A141" t="s">
        <v>3601</v>
      </c>
      <c r="B141">
        <v>110.8</v>
      </c>
      <c r="C141" t="s">
        <v>3576</v>
      </c>
      <c r="D141" t="s">
        <v>3461</v>
      </c>
      <c r="E141">
        <v>2586904</v>
      </c>
      <c r="F141">
        <f t="shared" si="2"/>
        <v>23347.50902527076</v>
      </c>
      <c r="AJ141" s="2996">
        <v>139</v>
      </c>
      <c r="AK141" s="2996" t="s">
        <v>3861</v>
      </c>
      <c r="AL141" s="2996">
        <v>116.53</v>
      </c>
      <c r="AM141" s="2996" t="s">
        <v>3880</v>
      </c>
    </row>
    <row r="142" spans="1:39" ht="14.4">
      <c r="A142" t="s">
        <v>3602</v>
      </c>
      <c r="B142">
        <v>110.8</v>
      </c>
      <c r="C142" t="s">
        <v>3576</v>
      </c>
      <c r="D142" t="s">
        <v>3461</v>
      </c>
      <c r="E142">
        <v>2542596</v>
      </c>
      <c r="F142">
        <f t="shared" si="2"/>
        <v>22947.617328519857</v>
      </c>
      <c r="AJ142" s="2996">
        <v>140</v>
      </c>
      <c r="AK142" s="2996" t="s">
        <v>3862</v>
      </c>
      <c r="AL142" s="2996">
        <v>110.8</v>
      </c>
      <c r="AM142" s="2996" t="s">
        <v>3880</v>
      </c>
    </row>
    <row r="143" spans="1:39" ht="14.4">
      <c r="A143" t="s">
        <v>3603</v>
      </c>
      <c r="B143">
        <v>127.27</v>
      </c>
      <c r="C143" t="s">
        <v>3576</v>
      </c>
      <c r="D143" t="s">
        <v>3461</v>
      </c>
      <c r="E143">
        <v>3020934</v>
      </c>
      <c r="F143">
        <f t="shared" si="2"/>
        <v>23736.418637542232</v>
      </c>
      <c r="AJ143" s="2996">
        <v>141</v>
      </c>
      <c r="AK143" s="2996" t="s">
        <v>3863</v>
      </c>
      <c r="AL143" s="2996">
        <v>110.8</v>
      </c>
      <c r="AM143" s="2996" t="s">
        <v>3880</v>
      </c>
    </row>
    <row r="144" spans="1:39" ht="14.4">
      <c r="A144" t="s">
        <v>3604</v>
      </c>
      <c r="B144">
        <v>127.27</v>
      </c>
      <c r="C144" t="s">
        <v>3576</v>
      </c>
      <c r="D144" t="s">
        <v>3461</v>
      </c>
      <c r="E144">
        <v>3020934</v>
      </c>
      <c r="F144">
        <f t="shared" si="2"/>
        <v>23736.418637542232</v>
      </c>
      <c r="AJ144" s="2996">
        <v>142</v>
      </c>
      <c r="AK144" s="2996" t="s">
        <v>3864</v>
      </c>
      <c r="AL144" s="2996">
        <v>127.27</v>
      </c>
      <c r="AM144" s="2996" t="s">
        <v>3880</v>
      </c>
    </row>
    <row r="145" spans="1:39" ht="14.4">
      <c r="A145" t="s">
        <v>3605</v>
      </c>
      <c r="B145">
        <v>118.59</v>
      </c>
      <c r="C145" t="s">
        <v>3576</v>
      </c>
      <c r="D145" t="s">
        <v>3461</v>
      </c>
      <c r="E145">
        <v>2790200</v>
      </c>
      <c r="F145">
        <f t="shared" si="2"/>
        <v>23528.122101357618</v>
      </c>
      <c r="AJ145" s="2996">
        <v>143</v>
      </c>
      <c r="AK145" s="2996" t="s">
        <v>3865</v>
      </c>
      <c r="AL145" s="2996">
        <v>127.27</v>
      </c>
      <c r="AM145" s="2996" t="s">
        <v>3880</v>
      </c>
    </row>
    <row r="146" spans="1:39" ht="14.4">
      <c r="A146" t="s">
        <v>3606</v>
      </c>
      <c r="B146">
        <v>118.59</v>
      </c>
      <c r="C146" t="s">
        <v>3576</v>
      </c>
      <c r="D146" t="s">
        <v>3461</v>
      </c>
      <c r="E146">
        <v>2790200</v>
      </c>
      <c r="F146">
        <f t="shared" si="2"/>
        <v>23528.122101357618</v>
      </c>
      <c r="AJ146" s="2996">
        <v>144</v>
      </c>
      <c r="AK146" s="2996" t="s">
        <v>3866</v>
      </c>
      <c r="AL146" s="2996">
        <v>118.59</v>
      </c>
      <c r="AM146" s="2996" t="s">
        <v>3880</v>
      </c>
    </row>
    <row r="147" spans="1:39" ht="14.4">
      <c r="A147" t="s">
        <v>3607</v>
      </c>
      <c r="B147">
        <v>116.53</v>
      </c>
      <c r="C147" t="s">
        <v>3576</v>
      </c>
      <c r="D147" t="s">
        <v>3461</v>
      </c>
      <c r="E147">
        <v>2742470</v>
      </c>
      <c r="F147">
        <f t="shared" si="2"/>
        <v>23534.454646872051</v>
      </c>
      <c r="AJ147" s="2996">
        <v>145</v>
      </c>
      <c r="AK147" s="2996" t="s">
        <v>3867</v>
      </c>
      <c r="AL147" s="2996">
        <v>118.59</v>
      </c>
      <c r="AM147" s="2996" t="s">
        <v>3880</v>
      </c>
    </row>
    <row r="148" spans="1:39" ht="14.4">
      <c r="A148" t="s">
        <v>3608</v>
      </c>
      <c r="B148">
        <v>116.53</v>
      </c>
      <c r="C148" t="s">
        <v>3576</v>
      </c>
      <c r="D148" t="s">
        <v>3461</v>
      </c>
      <c r="E148">
        <v>2742470</v>
      </c>
      <c r="F148">
        <f t="shared" si="2"/>
        <v>23534.454646872051</v>
      </c>
      <c r="AJ148" s="2996">
        <v>146</v>
      </c>
      <c r="AK148" s="2996" t="s">
        <v>3868</v>
      </c>
      <c r="AL148" s="2996">
        <v>116.53</v>
      </c>
      <c r="AM148" s="2996" t="s">
        <v>3880</v>
      </c>
    </row>
    <row r="149" spans="1:39" ht="14.4">
      <c r="A149" t="s">
        <v>3609</v>
      </c>
      <c r="B149">
        <v>110.8</v>
      </c>
      <c r="C149" t="s">
        <v>3576</v>
      </c>
      <c r="D149" t="s">
        <v>3461</v>
      </c>
      <c r="E149">
        <v>2542596</v>
      </c>
      <c r="F149">
        <f t="shared" si="2"/>
        <v>22947.617328519857</v>
      </c>
      <c r="AJ149" s="2996">
        <v>147</v>
      </c>
      <c r="AK149" s="2996" t="s">
        <v>3869</v>
      </c>
      <c r="AL149" s="2996">
        <v>116.53</v>
      </c>
      <c r="AM149" s="2996" t="s">
        <v>3880</v>
      </c>
    </row>
    <row r="150" spans="1:39" ht="14.4">
      <c r="A150" t="s">
        <v>3610</v>
      </c>
      <c r="B150">
        <v>110.8</v>
      </c>
      <c r="C150" t="s">
        <v>3576</v>
      </c>
      <c r="D150" t="s">
        <v>3461</v>
      </c>
      <c r="E150">
        <v>2542596</v>
      </c>
      <c r="F150">
        <f t="shared" si="2"/>
        <v>22947.617328519857</v>
      </c>
      <c r="AJ150" s="2996">
        <v>148</v>
      </c>
      <c r="AK150" s="2996" t="s">
        <v>3870</v>
      </c>
      <c r="AL150" s="2996">
        <v>110.8</v>
      </c>
      <c r="AM150" s="2996" t="s">
        <v>3880</v>
      </c>
    </row>
    <row r="151" spans="1:39" ht="14.4">
      <c r="A151" t="s">
        <v>3611</v>
      </c>
      <c r="B151">
        <v>118.59</v>
      </c>
      <c r="C151" t="s">
        <v>3576</v>
      </c>
      <c r="D151" t="s">
        <v>3461</v>
      </c>
      <c r="E151">
        <v>2825765</v>
      </c>
      <c r="F151">
        <f t="shared" si="2"/>
        <v>23828.020912387216</v>
      </c>
      <c r="AJ151" s="2996">
        <v>149</v>
      </c>
      <c r="AK151" s="2996" t="s">
        <v>3871</v>
      </c>
      <c r="AL151" s="2996">
        <v>110.8</v>
      </c>
      <c r="AM151" s="2996" t="s">
        <v>3880</v>
      </c>
    </row>
    <row r="152" spans="1:39" ht="14.4">
      <c r="A152" t="s">
        <v>3612</v>
      </c>
      <c r="B152">
        <v>116.53</v>
      </c>
      <c r="C152" t="s">
        <v>3576</v>
      </c>
      <c r="D152" t="s">
        <v>3461</v>
      </c>
      <c r="E152">
        <v>2777420</v>
      </c>
      <c r="F152">
        <f t="shared" si="2"/>
        <v>23834.377413541577</v>
      </c>
      <c r="AJ152" s="2996">
        <v>150</v>
      </c>
      <c r="AK152" s="2996" t="s">
        <v>3872</v>
      </c>
      <c r="AL152" s="2996">
        <v>118.59</v>
      </c>
      <c r="AM152" s="2996" t="s">
        <v>3880</v>
      </c>
    </row>
    <row r="153" spans="1:39" ht="14.4">
      <c r="A153" t="s">
        <v>3613</v>
      </c>
      <c r="B153">
        <v>110.8</v>
      </c>
      <c r="C153" t="s">
        <v>3576</v>
      </c>
      <c r="D153" t="s">
        <v>3461</v>
      </c>
      <c r="E153">
        <v>2531519</v>
      </c>
      <c r="F153">
        <f t="shared" si="2"/>
        <v>22847.644404332132</v>
      </c>
      <c r="AJ153" s="2996">
        <v>151</v>
      </c>
      <c r="AK153" s="2996" t="s">
        <v>3873</v>
      </c>
      <c r="AL153" s="2996">
        <v>116.53</v>
      </c>
      <c r="AM153" s="2996" t="s">
        <v>3880</v>
      </c>
    </row>
    <row r="154" spans="1:39" ht="14.4">
      <c r="A154" t="s">
        <v>3614</v>
      </c>
      <c r="B154">
        <v>110.8</v>
      </c>
      <c r="C154" t="s">
        <v>3576</v>
      </c>
      <c r="D154" t="s">
        <v>3461</v>
      </c>
      <c r="E154">
        <v>2575827</v>
      </c>
      <c r="F154">
        <f t="shared" si="2"/>
        <v>23247.536101083035</v>
      </c>
      <c r="AJ154" s="2996">
        <v>152</v>
      </c>
      <c r="AK154" s="2996" t="s">
        <v>3874</v>
      </c>
      <c r="AL154" s="2996">
        <v>110.8</v>
      </c>
      <c r="AM154" s="2996" t="s">
        <v>3880</v>
      </c>
    </row>
    <row r="155" spans="1:39" ht="14.4">
      <c r="A155" t="s">
        <v>3615</v>
      </c>
      <c r="B155">
        <v>127.32</v>
      </c>
      <c r="C155" t="s">
        <v>3576</v>
      </c>
      <c r="D155" t="s">
        <v>3461</v>
      </c>
      <c r="E155">
        <v>3060416</v>
      </c>
      <c r="F155">
        <f t="shared" si="2"/>
        <v>24037.197612315427</v>
      </c>
      <c r="AJ155" s="2996">
        <v>153</v>
      </c>
      <c r="AK155" s="2996" t="s">
        <v>3875</v>
      </c>
      <c r="AL155" s="2996">
        <v>110.8</v>
      </c>
      <c r="AM155" s="2996" t="s">
        <v>3880</v>
      </c>
    </row>
    <row r="156" spans="1:39" ht="14.4">
      <c r="A156" t="s">
        <v>3616</v>
      </c>
      <c r="B156">
        <v>110.84</v>
      </c>
      <c r="C156" t="s">
        <v>3576</v>
      </c>
      <c r="D156" t="s">
        <v>3461</v>
      </c>
      <c r="E156">
        <v>2621070</v>
      </c>
      <c r="F156">
        <f t="shared" si="2"/>
        <v>23647.329483940815</v>
      </c>
      <c r="AJ156" s="2996">
        <v>154</v>
      </c>
      <c r="AK156" s="2996" t="s">
        <v>3876</v>
      </c>
      <c r="AL156" s="2996">
        <v>127.32</v>
      </c>
      <c r="AM156" s="2996" t="s">
        <v>3880</v>
      </c>
    </row>
    <row r="157" spans="1:39" ht="14.4">
      <c r="A157" t="s">
        <v>3617</v>
      </c>
      <c r="B157">
        <v>110.84</v>
      </c>
      <c r="C157" t="s">
        <v>3576</v>
      </c>
      <c r="D157" t="s">
        <v>3461</v>
      </c>
      <c r="E157">
        <v>2576746</v>
      </c>
      <c r="F157">
        <f t="shared" si="2"/>
        <v>23247.437748105378</v>
      </c>
      <c r="AJ157" s="2996">
        <v>155</v>
      </c>
      <c r="AK157" s="2996" t="s">
        <v>3877</v>
      </c>
      <c r="AL157" s="2996">
        <v>110.84</v>
      </c>
      <c r="AM157" s="2996" t="s">
        <v>3880</v>
      </c>
    </row>
    <row r="158" spans="1:39" ht="14.4">
      <c r="A158" t="s">
        <v>3618</v>
      </c>
      <c r="B158">
        <v>127.32</v>
      </c>
      <c r="C158" t="s">
        <v>3576</v>
      </c>
      <c r="D158" t="s">
        <v>3461</v>
      </c>
      <c r="E158">
        <v>3060416</v>
      </c>
      <c r="F158">
        <f t="shared" si="2"/>
        <v>24037.197612315427</v>
      </c>
      <c r="AJ158" s="2996">
        <v>156</v>
      </c>
      <c r="AK158" s="2996" t="s">
        <v>3878</v>
      </c>
      <c r="AL158" s="2996">
        <v>110.84</v>
      </c>
      <c r="AM158" s="2996" t="s">
        <v>3880</v>
      </c>
    </row>
    <row r="159" spans="1:39" ht="14.4">
      <c r="A159" t="s">
        <v>3619</v>
      </c>
      <c r="B159">
        <v>118.63</v>
      </c>
      <c r="C159" t="s">
        <v>3576</v>
      </c>
      <c r="D159" t="s">
        <v>3461</v>
      </c>
      <c r="E159">
        <v>2826944</v>
      </c>
      <c r="F159">
        <f t="shared" si="2"/>
        <v>23829.924976818682</v>
      </c>
      <c r="AJ159" s="2996">
        <v>157</v>
      </c>
      <c r="AK159" s="2996" t="s">
        <v>3879</v>
      </c>
      <c r="AL159" s="2996">
        <v>127.32</v>
      </c>
      <c r="AM159" s="2996" t="s">
        <v>3880</v>
      </c>
    </row>
    <row r="160" spans="1:39" ht="14.4">
      <c r="A160" t="s">
        <v>3620</v>
      </c>
      <c r="B160">
        <v>118.63</v>
      </c>
      <c r="C160" t="s">
        <v>3576</v>
      </c>
      <c r="D160" t="s">
        <v>3461</v>
      </c>
      <c r="E160">
        <v>2826944</v>
      </c>
      <c r="F160">
        <f t="shared" si="2"/>
        <v>23829.924976818682</v>
      </c>
      <c r="AJ160" s="2996">
        <v>158</v>
      </c>
      <c r="AK160" s="2996" t="s">
        <v>3802</v>
      </c>
      <c r="AL160" s="2996">
        <v>118.63</v>
      </c>
      <c r="AM160" s="2996" t="s">
        <v>3880</v>
      </c>
    </row>
    <row r="161" spans="1:39" ht="14.4">
      <c r="A161" t="s">
        <v>3621</v>
      </c>
      <c r="B161">
        <v>116.57</v>
      </c>
      <c r="C161" t="s">
        <v>3576</v>
      </c>
      <c r="D161" t="s">
        <v>3461</v>
      </c>
      <c r="E161">
        <v>2778363</v>
      </c>
      <c r="F161">
        <f t="shared" si="2"/>
        <v>23834.288410397188</v>
      </c>
      <c r="AJ161" s="2996">
        <v>159</v>
      </c>
      <c r="AK161" s="2996" t="s">
        <v>3801</v>
      </c>
      <c r="AL161" s="2996">
        <v>118.63</v>
      </c>
      <c r="AM161" s="2996" t="s">
        <v>3880</v>
      </c>
    </row>
    <row r="162" spans="1:39" ht="14.4">
      <c r="A162" t="s">
        <v>3622</v>
      </c>
      <c r="B162">
        <v>110.84</v>
      </c>
      <c r="C162" t="s">
        <v>3576</v>
      </c>
      <c r="D162" t="s">
        <v>3461</v>
      </c>
      <c r="E162">
        <v>2576746</v>
      </c>
      <c r="F162">
        <f t="shared" si="2"/>
        <v>23247.437748105378</v>
      </c>
      <c r="AJ162" s="2996">
        <v>160</v>
      </c>
      <c r="AK162" s="2996" t="s">
        <v>3800</v>
      </c>
      <c r="AL162" s="2996">
        <v>116.57</v>
      </c>
      <c r="AM162" s="2996" t="s">
        <v>3880</v>
      </c>
    </row>
    <row r="163" spans="1:39" ht="14.4">
      <c r="A163" t="s">
        <v>3623</v>
      </c>
      <c r="B163">
        <v>110.84</v>
      </c>
      <c r="C163" t="s">
        <v>3576</v>
      </c>
      <c r="D163" t="s">
        <v>3461</v>
      </c>
      <c r="E163">
        <v>2576746</v>
      </c>
      <c r="F163">
        <f t="shared" si="2"/>
        <v>23247.437748105378</v>
      </c>
      <c r="AJ163" s="2996">
        <v>161</v>
      </c>
      <c r="AK163" s="2996" t="s">
        <v>3799</v>
      </c>
      <c r="AL163" s="2996">
        <v>110.84</v>
      </c>
      <c r="AM163" s="2996" t="s">
        <v>3880</v>
      </c>
    </row>
    <row r="164" spans="1:39" ht="14.4">
      <c r="A164" t="s">
        <v>3624</v>
      </c>
      <c r="B164">
        <v>127.32</v>
      </c>
      <c r="C164" t="s">
        <v>3576</v>
      </c>
      <c r="D164" t="s">
        <v>3461</v>
      </c>
      <c r="E164">
        <v>3047566</v>
      </c>
      <c r="F164">
        <f t="shared" si="2"/>
        <v>23936.270813697771</v>
      </c>
      <c r="AJ164" s="2996">
        <v>162</v>
      </c>
      <c r="AK164" s="2996" t="s">
        <v>3798</v>
      </c>
      <c r="AL164" s="2996">
        <v>110.84</v>
      </c>
      <c r="AM164" s="2996" t="s">
        <v>3880</v>
      </c>
    </row>
    <row r="165" spans="1:39" ht="14.4">
      <c r="A165" t="s">
        <v>3625</v>
      </c>
      <c r="B165">
        <v>127.32</v>
      </c>
      <c r="C165" t="s">
        <v>3576</v>
      </c>
      <c r="D165" t="s">
        <v>3461</v>
      </c>
      <c r="E165">
        <v>3098966</v>
      </c>
      <c r="F165">
        <f t="shared" si="2"/>
        <v>24339.978008168397</v>
      </c>
      <c r="AJ165" s="2996">
        <v>163</v>
      </c>
      <c r="AK165" s="2996" t="s">
        <v>3797</v>
      </c>
      <c r="AL165" s="2996">
        <v>127.32</v>
      </c>
      <c r="AM165" s="2996" t="s">
        <v>3880</v>
      </c>
    </row>
    <row r="166" spans="1:39" ht="14.4">
      <c r="A166" t="s">
        <v>3626</v>
      </c>
      <c r="B166">
        <v>116.57</v>
      </c>
      <c r="C166" t="s">
        <v>3576</v>
      </c>
      <c r="D166" t="s">
        <v>3461</v>
      </c>
      <c r="E166">
        <v>2766709</v>
      </c>
      <c r="F166">
        <f t="shared" si="2"/>
        <v>23734.314146006691</v>
      </c>
      <c r="AJ166" s="2996">
        <v>164</v>
      </c>
      <c r="AK166" s="2996" t="s">
        <v>3796</v>
      </c>
      <c r="AL166" s="2996">
        <v>127.32</v>
      </c>
      <c r="AM166" s="2996" t="s">
        <v>3880</v>
      </c>
    </row>
    <row r="167" spans="1:39" ht="14.4">
      <c r="A167" t="s">
        <v>3627</v>
      </c>
      <c r="B167">
        <v>116.57</v>
      </c>
      <c r="C167" t="s">
        <v>3576</v>
      </c>
      <c r="D167" t="s">
        <v>3461</v>
      </c>
      <c r="E167">
        <v>2813325</v>
      </c>
      <c r="F167">
        <f t="shared" si="2"/>
        <v>24134.211203568673</v>
      </c>
      <c r="AJ167" s="2996">
        <v>165</v>
      </c>
      <c r="AK167" s="2996" t="s">
        <v>3795</v>
      </c>
      <c r="AL167" s="2996">
        <v>116.57</v>
      </c>
      <c r="AM167" s="2996" t="s">
        <v>3880</v>
      </c>
    </row>
    <row r="168" spans="1:39" ht="14.4">
      <c r="A168" t="s">
        <v>3628</v>
      </c>
      <c r="B168">
        <v>110.84</v>
      </c>
      <c r="C168" t="s">
        <v>3576</v>
      </c>
      <c r="D168" t="s">
        <v>3461</v>
      </c>
      <c r="E168">
        <v>2565665</v>
      </c>
      <c r="F168">
        <f t="shared" si="2"/>
        <v>23147.464814146515</v>
      </c>
      <c r="AJ168" s="2996">
        <v>166</v>
      </c>
      <c r="AK168" s="2996" t="s">
        <v>3794</v>
      </c>
      <c r="AL168" s="2996">
        <v>116.57</v>
      </c>
      <c r="AM168" s="2996" t="s">
        <v>3880</v>
      </c>
    </row>
    <row r="169" spans="1:39" ht="14.4">
      <c r="A169" t="s">
        <v>3629</v>
      </c>
      <c r="B169">
        <v>110.84</v>
      </c>
      <c r="C169" t="s">
        <v>3576</v>
      </c>
      <c r="D169" t="s">
        <v>3461</v>
      </c>
      <c r="E169">
        <v>2609989</v>
      </c>
      <c r="F169">
        <f t="shared" si="2"/>
        <v>23547.356549981956</v>
      </c>
      <c r="AJ169" s="2996">
        <v>167</v>
      </c>
      <c r="AK169" s="2996" t="s">
        <v>3793</v>
      </c>
      <c r="AL169" s="2996">
        <v>110.84</v>
      </c>
      <c r="AM169" s="2996" t="s">
        <v>3880</v>
      </c>
    </row>
    <row r="170" spans="1:39" ht="14.4">
      <c r="A170" t="s">
        <v>3630</v>
      </c>
      <c r="B170">
        <v>116.53</v>
      </c>
      <c r="C170" t="s">
        <v>3576</v>
      </c>
      <c r="D170" t="s">
        <v>3461</v>
      </c>
      <c r="E170">
        <v>2777420</v>
      </c>
      <c r="F170">
        <f t="shared" si="2"/>
        <v>23834.377413541577</v>
      </c>
      <c r="AJ170" s="2996">
        <v>168</v>
      </c>
      <c r="AK170" s="2996" t="s">
        <v>3792</v>
      </c>
      <c r="AL170" s="2996">
        <v>110.84</v>
      </c>
      <c r="AM170" s="2996" t="s">
        <v>3880</v>
      </c>
    </row>
    <row r="171" spans="1:39" ht="14.4">
      <c r="A171" t="s">
        <v>3631</v>
      </c>
      <c r="B171">
        <v>110.8</v>
      </c>
      <c r="C171" t="s">
        <v>3576</v>
      </c>
      <c r="D171" t="s">
        <v>3461</v>
      </c>
      <c r="E171">
        <v>2620369</v>
      </c>
      <c r="F171">
        <f t="shared" si="2"/>
        <v>23649.539711191337</v>
      </c>
      <c r="AJ171" s="2996">
        <v>169</v>
      </c>
      <c r="AK171" s="2996" t="s">
        <v>3791</v>
      </c>
      <c r="AL171" s="2996">
        <v>116.53</v>
      </c>
      <c r="AM171" s="2996" t="s">
        <v>3880</v>
      </c>
    </row>
    <row r="172" spans="1:39" ht="14.4">
      <c r="A172" t="s">
        <v>3632</v>
      </c>
      <c r="B172">
        <v>110.8</v>
      </c>
      <c r="C172" t="s">
        <v>3576</v>
      </c>
      <c r="D172" t="s">
        <v>3461</v>
      </c>
      <c r="E172">
        <v>2576057</v>
      </c>
      <c r="F172">
        <f t="shared" si="2"/>
        <v>23249.611913357403</v>
      </c>
      <c r="AJ172" s="2996">
        <v>170</v>
      </c>
      <c r="AK172" s="2996" t="s">
        <v>3790</v>
      </c>
      <c r="AL172" s="2996">
        <v>110.8</v>
      </c>
      <c r="AM172" s="2996" t="s">
        <v>3880</v>
      </c>
    </row>
    <row r="173" spans="1:39" ht="14.4">
      <c r="A173" t="s">
        <v>3633</v>
      </c>
      <c r="B173">
        <v>127.27</v>
      </c>
      <c r="C173" t="s">
        <v>3576</v>
      </c>
      <c r="D173" t="s">
        <v>3461</v>
      </c>
      <c r="E173">
        <v>3059472</v>
      </c>
      <c r="F173">
        <f t="shared" si="2"/>
        <v>24039.223697650665</v>
      </c>
      <c r="AJ173" s="2996">
        <v>171</v>
      </c>
      <c r="AK173" s="2996" t="s">
        <v>3789</v>
      </c>
      <c r="AL173" s="2996">
        <v>110.8</v>
      </c>
      <c r="AM173" s="2996" t="s">
        <v>3880</v>
      </c>
    </row>
    <row r="174" spans="1:39" ht="14.4">
      <c r="A174" t="s">
        <v>3634</v>
      </c>
      <c r="B174">
        <v>118.59</v>
      </c>
      <c r="C174" t="s">
        <v>3576</v>
      </c>
      <c r="D174" t="s">
        <v>3461</v>
      </c>
      <c r="E174">
        <v>2826000</v>
      </c>
      <c r="F174">
        <f t="shared" si="2"/>
        <v>23830.002529724261</v>
      </c>
      <c r="AJ174" s="2996">
        <v>172</v>
      </c>
      <c r="AK174" s="2996" t="s">
        <v>3788</v>
      </c>
      <c r="AL174" s="2996">
        <v>127.27</v>
      </c>
      <c r="AM174" s="2996" t="s">
        <v>3880</v>
      </c>
    </row>
    <row r="175" spans="1:39" ht="14.4">
      <c r="A175" t="s">
        <v>3635</v>
      </c>
      <c r="B175">
        <v>116.53</v>
      </c>
      <c r="C175" t="s">
        <v>3576</v>
      </c>
      <c r="D175" t="s">
        <v>3461</v>
      </c>
      <c r="E175">
        <v>2777420</v>
      </c>
      <c r="F175">
        <f t="shared" si="2"/>
        <v>23834.377413541577</v>
      </c>
      <c r="AJ175" s="2996">
        <v>173</v>
      </c>
      <c r="AK175" s="2996" t="s">
        <v>3787</v>
      </c>
      <c r="AL175" s="2996">
        <v>118.59</v>
      </c>
      <c r="AM175" s="2996" t="s">
        <v>3880</v>
      </c>
    </row>
    <row r="176" spans="1:39" ht="14.4">
      <c r="A176" t="s">
        <v>3636</v>
      </c>
      <c r="B176">
        <v>116.53</v>
      </c>
      <c r="C176" t="s">
        <v>3576</v>
      </c>
      <c r="D176" t="s">
        <v>3461</v>
      </c>
      <c r="E176">
        <v>2777420</v>
      </c>
      <c r="F176">
        <f t="shared" si="2"/>
        <v>23834.377413541577</v>
      </c>
      <c r="AJ176" s="2996">
        <v>174</v>
      </c>
      <c r="AK176" s="2996" t="s">
        <v>3781</v>
      </c>
      <c r="AL176" s="2996">
        <v>116.53</v>
      </c>
      <c r="AM176" s="2996" t="s">
        <v>3880</v>
      </c>
    </row>
    <row r="177" spans="1:39" ht="14.4">
      <c r="A177" t="s">
        <v>3637</v>
      </c>
      <c r="B177">
        <v>110.8</v>
      </c>
      <c r="C177" t="s">
        <v>3576</v>
      </c>
      <c r="D177" t="s">
        <v>3461</v>
      </c>
      <c r="E177">
        <v>2576057</v>
      </c>
      <c r="F177">
        <f t="shared" si="2"/>
        <v>23249.611913357403</v>
      </c>
      <c r="AJ177" s="2996">
        <v>175</v>
      </c>
      <c r="AK177" s="2996" t="s">
        <v>3780</v>
      </c>
      <c r="AL177" s="2996">
        <v>116.53</v>
      </c>
      <c r="AM177" s="2996" t="s">
        <v>3880</v>
      </c>
    </row>
    <row r="178" spans="1:39" ht="14.4">
      <c r="A178" t="s">
        <v>3638</v>
      </c>
      <c r="B178">
        <v>110.8</v>
      </c>
      <c r="C178" t="s">
        <v>3576</v>
      </c>
      <c r="D178" t="s">
        <v>3461</v>
      </c>
      <c r="E178">
        <v>2576057</v>
      </c>
      <c r="F178">
        <f t="shared" si="2"/>
        <v>23249.611913357403</v>
      </c>
      <c r="AJ178" s="2996">
        <v>176</v>
      </c>
      <c r="AK178" s="2996" t="s">
        <v>3744</v>
      </c>
      <c r="AL178" s="2996">
        <v>110.8</v>
      </c>
      <c r="AM178" s="2996" t="s">
        <v>3880</v>
      </c>
    </row>
    <row r="179" spans="1:39" ht="14.4">
      <c r="A179" t="s">
        <v>3639</v>
      </c>
      <c r="B179">
        <v>116.53</v>
      </c>
      <c r="C179" t="s">
        <v>3576</v>
      </c>
      <c r="D179" t="s">
        <v>3461</v>
      </c>
      <c r="E179">
        <v>2765770</v>
      </c>
      <c r="F179">
        <f t="shared" si="2"/>
        <v>23734.403157985067</v>
      </c>
      <c r="AJ179" s="2996">
        <v>177</v>
      </c>
      <c r="AK179" s="2996" t="s">
        <v>3745</v>
      </c>
      <c r="AL179" s="2996">
        <v>110.8</v>
      </c>
      <c r="AM179" s="2996" t="s">
        <v>3880</v>
      </c>
    </row>
    <row r="180" spans="1:39" ht="14.4">
      <c r="A180" t="s">
        <v>3640</v>
      </c>
      <c r="B180">
        <v>116.53</v>
      </c>
      <c r="C180" t="s">
        <v>3576</v>
      </c>
      <c r="D180" t="s">
        <v>3461</v>
      </c>
      <c r="E180">
        <v>2812370</v>
      </c>
      <c r="F180">
        <f t="shared" si="2"/>
        <v>24134.300180211103</v>
      </c>
      <c r="AJ180" s="2996">
        <v>178</v>
      </c>
      <c r="AK180" s="2996" t="s">
        <v>3743</v>
      </c>
      <c r="AL180" s="2996">
        <v>116.53</v>
      </c>
      <c r="AM180" s="2996" t="s">
        <v>3880</v>
      </c>
    </row>
    <row r="181" spans="1:39" ht="14.4">
      <c r="A181" t="s">
        <v>3641</v>
      </c>
      <c r="B181">
        <v>110.8</v>
      </c>
      <c r="C181" t="s">
        <v>3576</v>
      </c>
      <c r="D181" t="s">
        <v>3461</v>
      </c>
      <c r="E181">
        <v>2564979</v>
      </c>
      <c r="F181">
        <f t="shared" si="2"/>
        <v>23149.629963898919</v>
      </c>
      <c r="AJ181" s="2996">
        <v>179</v>
      </c>
      <c r="AK181" s="2996" t="s">
        <v>3779</v>
      </c>
      <c r="AL181" s="2996">
        <v>116.53</v>
      </c>
      <c r="AM181" s="2996" t="s">
        <v>3880</v>
      </c>
    </row>
    <row r="182" spans="1:39" ht="14.4">
      <c r="A182" t="s">
        <v>3642</v>
      </c>
      <c r="B182">
        <v>110.8</v>
      </c>
      <c r="C182" t="s">
        <v>3576</v>
      </c>
      <c r="D182" t="s">
        <v>3461</v>
      </c>
      <c r="E182">
        <v>2609291</v>
      </c>
      <c r="F182">
        <f t="shared" si="2"/>
        <v>23549.557761732853</v>
      </c>
      <c r="AJ182" s="2996">
        <v>180</v>
      </c>
      <c r="AK182" s="2996" t="s">
        <v>3742</v>
      </c>
      <c r="AL182" s="2996">
        <v>110.8</v>
      </c>
      <c r="AM182" s="2996" t="s">
        <v>3880</v>
      </c>
    </row>
    <row r="183" spans="1:39" ht="14.4">
      <c r="AJ183" s="2996">
        <v>181</v>
      </c>
      <c r="AK183" s="2996" t="s">
        <v>3778</v>
      </c>
      <c r="AL183" s="2996">
        <v>110.8</v>
      </c>
      <c r="AM183" s="2996" t="s">
        <v>3880</v>
      </c>
    </row>
    <row r="184" spans="1:39" ht="14.4">
      <c r="AJ184" s="3076" t="s">
        <v>3881</v>
      </c>
      <c r="AK184" s="3076"/>
      <c r="AL184" s="2997">
        <f>SUM(AL3:AL183)</f>
        <v>21278.599999999988</v>
      </c>
      <c r="AM184" s="2998" t="s">
        <v>3882</v>
      </c>
    </row>
  </sheetData>
  <autoFilter ref="AK2:AM183"/>
  <mergeCells count="1">
    <mergeCell ref="AJ184:AK184"/>
  </mergeCells>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2" width="9.44140625" style="2148" customWidth="1"/>
    <col min="13" max="13" width="11.109375" style="2148" customWidth="1"/>
    <col min="14"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5" width="9.44140625" style="2148" customWidth="1"/>
    <col min="46" max="46" width="11.2187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1859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1861</v>
      </c>
      <c r="B2" s="11" t="s">
        <v>1862</v>
      </c>
      <c r="C2" s="11" t="s">
        <v>1863</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1864</v>
      </c>
      <c r="AZ2" s="1263" t="s">
        <v>1865</v>
      </c>
      <c r="BA2" s="11" t="s">
        <v>1866</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f>ROUND(G13/B15,2)</f>
        <v>8279.61</v>
      </c>
      <c r="B3" s="14">
        <f>IF(C3="否",G5-AT5,G5)</f>
        <v>21278.6</v>
      </c>
      <c r="C3" s="2157" t="s">
        <v>3648</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1867</v>
      </c>
      <c r="B5" s="1796"/>
      <c r="C5" s="1796"/>
      <c r="D5" s="1799"/>
      <c r="E5" s="16" t="s">
        <v>1</v>
      </c>
      <c r="F5" s="16">
        <f>SUM(F13:F587)</f>
        <v>0</v>
      </c>
      <c r="G5" s="16">
        <f>SUM(G13:G587)</f>
        <v>21278.6</v>
      </c>
      <c r="H5" s="16">
        <f t="shared" ref="H5:AT5" si="0">SUM(H13:H656)</f>
        <v>21278.6</v>
      </c>
      <c r="I5" s="16">
        <f t="shared" si="0"/>
        <v>7966.26</v>
      </c>
      <c r="J5" s="16">
        <f t="shared" si="0"/>
        <v>0</v>
      </c>
      <c r="K5" s="16">
        <f t="shared" si="0"/>
        <v>13312.34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1867</v>
      </c>
      <c r="AW5" s="1796"/>
      <c r="AX5" s="1796"/>
      <c r="AY5" s="17" t="s">
        <v>3</v>
      </c>
      <c r="AZ5" s="18">
        <f t="shared" ref="AZ5:BT5" si="1">SUM(AZ13:AZ656)</f>
        <v>21278.6</v>
      </c>
      <c r="BA5" s="18">
        <f t="shared" si="1"/>
        <v>21278.6</v>
      </c>
      <c r="BB5" s="18">
        <f t="shared" si="1"/>
        <v>7966.26</v>
      </c>
      <c r="BC5" s="18">
        <f t="shared" si="1"/>
        <v>13312.34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1868</v>
      </c>
      <c r="B6" s="2163"/>
      <c r="C6" s="2163"/>
      <c r="D6" s="2164"/>
      <c r="E6" s="16">
        <f>H6+AC6+AT6</f>
        <v>8279.61</v>
      </c>
      <c r="F6" s="16" t="s">
        <v>1</v>
      </c>
      <c r="G6" s="16" t="s">
        <v>2</v>
      </c>
      <c r="H6" s="20">
        <f>SUMIF(I$12:AB$12,"总值",I6:AB6)</f>
        <v>8279.61</v>
      </c>
      <c r="I6" s="16">
        <f t="shared" ref="I6:AB6" si="2">ROUND($A$3*I5/$B$3,2)</f>
        <v>3099.71</v>
      </c>
      <c r="J6" s="16">
        <f t="shared" si="2"/>
        <v>0</v>
      </c>
      <c r="K6" s="16">
        <f t="shared" si="2"/>
        <v>5179.8999999999996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1868</v>
      </c>
      <c r="AW6" s="2163"/>
      <c r="AX6" s="2163"/>
      <c r="AY6" s="21">
        <f>IF(AY3&gt;0,AY3,ROUND($A$3*AZ5/$B$3,2))</f>
        <v>8279.61</v>
      </c>
      <c r="AZ6" s="16" t="s">
        <v>3</v>
      </c>
      <c r="BA6" s="16">
        <f>ROUND($AY$6*BA5/$AZ$5,2)</f>
        <v>8279.61</v>
      </c>
      <c r="BB6" s="16">
        <f>ROUND($AY$6*BB5/$AZ$5,2)</f>
        <v>3099.71</v>
      </c>
      <c r="BC6" s="16">
        <f t="shared" ref="BC6:BH6" si="4">ROUND($AY$6*BC5/$AZ$5,2)</f>
        <v>5179.8999999999996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1869</v>
      </c>
      <c r="B7" s="2098" t="s">
        <v>1870</v>
      </c>
      <c r="C7" s="2098" t="s">
        <v>1871</v>
      </c>
      <c r="D7" s="2098" t="s">
        <v>1872</v>
      </c>
      <c r="E7" s="2098" t="s">
        <v>1873</v>
      </c>
      <c r="F7" s="2098" t="s">
        <v>1874</v>
      </c>
      <c r="G7" s="2167" t="s">
        <v>1875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1876</v>
      </c>
      <c r="AV7" s="23" t="s">
        <v>1877</v>
      </c>
      <c r="AW7" s="2155" t="s">
        <v>1878</v>
      </c>
      <c r="AX7" s="23" t="s">
        <v>1871</v>
      </c>
      <c r="AY7" s="1796" t="s">
        <v>1879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1880</v>
      </c>
      <c r="H8" s="2173" t="s">
        <v>1881</v>
      </c>
      <c r="I8" s="2174"/>
      <c r="J8" s="1811"/>
      <c r="K8" s="1811"/>
      <c r="L8" s="1811"/>
      <c r="M8" s="1811"/>
      <c r="N8" s="1811"/>
      <c r="O8" s="1811"/>
      <c r="P8" s="1811"/>
      <c r="Q8" s="1811"/>
      <c r="R8" s="1811"/>
      <c r="S8" s="1811"/>
      <c r="T8" s="1811"/>
      <c r="U8" s="1811"/>
      <c r="V8" s="2175"/>
      <c r="W8" s="1811"/>
      <c r="X8" s="1811"/>
      <c r="Y8" s="1811"/>
      <c r="Z8" s="1811"/>
      <c r="AA8" s="2175"/>
      <c r="AB8" s="2176"/>
      <c r="AC8" s="974" t="s">
        <v>1882</v>
      </c>
      <c r="AD8" s="2177"/>
      <c r="AE8" s="2169"/>
      <c r="AF8" s="1811"/>
      <c r="AG8" s="1811"/>
      <c r="AH8" s="1811"/>
      <c r="AI8" s="1811"/>
      <c r="AJ8" s="1811"/>
      <c r="AK8" s="1811"/>
      <c r="AL8" s="1811"/>
      <c r="AM8" s="1811"/>
      <c r="AN8" s="1811"/>
      <c r="AO8" s="1811"/>
      <c r="AP8" s="1811"/>
      <c r="AQ8" s="1811"/>
      <c r="AR8" s="1811"/>
      <c r="AS8" s="1811"/>
      <c r="AT8" s="1285" t="s">
        <v>1883</v>
      </c>
      <c r="AU8" s="2171" t="s">
        <v>1884</v>
      </c>
      <c r="AV8" s="1285"/>
      <c r="AW8" s="2154"/>
      <c r="AX8" s="1285"/>
      <c r="AY8" s="2155" t="s">
        <v>1885</v>
      </c>
      <c r="AZ8" s="1810" t="s">
        <v>1886</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3.2">
      <c r="A9" s="2171"/>
      <c r="B9" s="2171"/>
      <c r="C9" s="2171"/>
      <c r="D9" s="2171"/>
      <c r="E9" s="2171"/>
      <c r="F9" s="2171"/>
      <c r="G9" s="1285"/>
      <c r="H9" s="2179" t="s">
        <v>1887</v>
      </c>
      <c r="I9" s="2180" t="s">
        <v>3061</v>
      </c>
      <c r="J9" s="974"/>
      <c r="K9" s="2180" t="s">
        <v>3061</v>
      </c>
      <c r="L9" s="974"/>
      <c r="M9" s="2180"/>
      <c r="N9" s="974"/>
      <c r="O9" s="2180"/>
      <c r="P9" s="974"/>
      <c r="Q9" s="2180"/>
      <c r="R9" s="974"/>
      <c r="S9" s="2180"/>
      <c r="T9" s="974"/>
      <c r="U9" s="2180"/>
      <c r="V9" s="974"/>
      <c r="W9" s="2180"/>
      <c r="X9" s="2181"/>
      <c r="Y9" s="2180"/>
      <c r="Z9" s="974"/>
      <c r="AA9" s="2180"/>
      <c r="AB9" s="974"/>
      <c r="AC9" s="2172" t="s">
        <v>1887</v>
      </c>
      <c r="AD9" s="15" t="s">
        <v>1888</v>
      </c>
      <c r="AE9" s="1291"/>
      <c r="AF9" s="15" t="s">
        <v>1889</v>
      </c>
      <c r="AG9" s="1291"/>
      <c r="AH9" s="15" t="s">
        <v>1888</v>
      </c>
      <c r="AI9" s="1291"/>
      <c r="AJ9" s="15" t="s">
        <v>1889</v>
      </c>
      <c r="AK9" s="1291"/>
      <c r="AL9" s="15" t="s">
        <v>1888</v>
      </c>
      <c r="AM9" s="1291"/>
      <c r="AN9" s="15" t="s">
        <v>1889</v>
      </c>
      <c r="AO9" s="1291"/>
      <c r="AP9" s="15" t="s">
        <v>1888</v>
      </c>
      <c r="AQ9" s="1291"/>
      <c r="AR9" s="15" t="s">
        <v>1889</v>
      </c>
      <c r="AS9" s="2182"/>
      <c r="AT9" s="2171"/>
      <c r="AU9" s="2171" t="s">
        <v>1890</v>
      </c>
      <c r="AV9" s="1285"/>
      <c r="AW9" s="2154"/>
      <c r="AX9" s="1285"/>
      <c r="AY9" s="28"/>
      <c r="AZ9" s="28" t="s">
        <v>1880</v>
      </c>
      <c r="BA9" s="2183" t="s">
        <v>1891</v>
      </c>
      <c r="BB9" s="2184"/>
      <c r="BC9" s="1331"/>
      <c r="BD9" s="1331"/>
      <c r="BE9" s="1331"/>
      <c r="BF9" s="1331"/>
      <c r="BG9" s="1331"/>
      <c r="BH9" s="1331"/>
      <c r="BI9" s="1331"/>
      <c r="BJ9" s="1331"/>
      <c r="BK9" s="2185"/>
      <c r="BL9" s="15" t="s">
        <v>1892</v>
      </c>
      <c r="BM9" s="1811"/>
      <c r="BN9" s="2174"/>
      <c r="BO9" s="1811"/>
      <c r="BP9" s="1811"/>
      <c r="BQ9" s="1811"/>
      <c r="BR9" s="1811"/>
      <c r="BS9" s="1811"/>
      <c r="BT9" s="26"/>
    </row>
    <row r="10" spans="1:72" s="2178" customFormat="1" ht="13.2">
      <c r="A10" s="2171"/>
      <c r="B10" s="2171"/>
      <c r="C10" s="2171"/>
      <c r="D10" s="2171"/>
      <c r="E10" s="2171"/>
      <c r="F10" s="2171"/>
      <c r="G10" s="1285"/>
      <c r="H10" s="28"/>
      <c r="I10" s="2180" t="s">
        <v>3062</v>
      </c>
      <c r="J10" s="974"/>
      <c r="K10" s="2186" t="s">
        <v>3062</v>
      </c>
      <c r="L10" s="974"/>
      <c r="M10" s="2186"/>
      <c r="N10" s="974"/>
      <c r="O10" s="2186"/>
      <c r="P10" s="974"/>
      <c r="Q10" s="2186"/>
      <c r="R10" s="974"/>
      <c r="S10" s="2186"/>
      <c r="T10" s="974"/>
      <c r="U10" s="2186"/>
      <c r="V10" s="974"/>
      <c r="W10" s="2186"/>
      <c r="X10" s="974"/>
      <c r="Y10" s="2186"/>
      <c r="Z10" s="974"/>
      <c r="AA10" s="2186"/>
      <c r="AB10" s="974"/>
      <c r="AC10" s="1285"/>
      <c r="AD10" s="15" t="s">
        <v>1893</v>
      </c>
      <c r="AE10" s="2187"/>
      <c r="AF10" s="15" t="s">
        <v>1893</v>
      </c>
      <c r="AG10" s="2187"/>
      <c r="AH10" s="15" t="s">
        <v>1894</v>
      </c>
      <c r="AI10" s="2187"/>
      <c r="AJ10" s="15" t="s">
        <v>1894</v>
      </c>
      <c r="AK10" s="2187"/>
      <c r="AL10" s="15" t="s">
        <v>1895</v>
      </c>
      <c r="AM10" s="1291"/>
      <c r="AN10" s="15" t="s">
        <v>1895</v>
      </c>
      <c r="AO10" s="1291"/>
      <c r="AP10" s="15" t="s">
        <v>1896</v>
      </c>
      <c r="AQ10" s="1291"/>
      <c r="AR10" s="15" t="s">
        <v>1896</v>
      </c>
      <c r="AS10" s="1291"/>
      <c r="AT10" s="2171"/>
      <c r="AU10" s="2171"/>
      <c r="AV10" s="1285"/>
      <c r="AW10" s="2154"/>
      <c r="AX10" s="1285"/>
      <c r="AY10" s="28"/>
      <c r="AZ10" s="28"/>
      <c r="BA10" s="2188" t="s">
        <v>1887</v>
      </c>
      <c r="BB10" s="2189" t="str">
        <f>I9</f>
        <v>地上</v>
      </c>
      <c r="BC10" s="29" t="str">
        <f>K9</f>
        <v>地上</v>
      </c>
      <c r="BD10" s="29">
        <f>M9</f>
        <v>0</v>
      </c>
      <c r="BE10" s="29">
        <f>O9</f>
        <v>0</v>
      </c>
      <c r="BF10" s="29">
        <f>Q9</f>
        <v>0</v>
      </c>
      <c r="BG10" s="29">
        <f>S9</f>
        <v>0</v>
      </c>
      <c r="BH10" s="29">
        <f>U9</f>
        <v>0</v>
      </c>
      <c r="BI10" s="29">
        <f>W9</f>
        <v>0</v>
      </c>
      <c r="BJ10" s="29">
        <f>Y9</f>
        <v>0</v>
      </c>
      <c r="BK10" s="29">
        <f>AA9</f>
        <v>0</v>
      </c>
      <c r="BL10" s="25" t="s">
        <v>1887</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3.2">
      <c r="A11" s="2171"/>
      <c r="B11" s="2171"/>
      <c r="C11" s="2171"/>
      <c r="D11" s="2171"/>
      <c r="E11" s="2171"/>
      <c r="F11" s="2171"/>
      <c r="G11" s="1285"/>
      <c r="H11" s="2188"/>
      <c r="I11" s="2191" t="s">
        <v>3065</v>
      </c>
      <c r="J11" s="2192"/>
      <c r="K11" s="2191" t="s">
        <v>3063</v>
      </c>
      <c r="L11" s="2192"/>
      <c r="M11" s="2191"/>
      <c r="N11" s="2192"/>
      <c r="O11" s="2191"/>
      <c r="P11" s="2192"/>
      <c r="Q11" s="2191"/>
      <c r="R11" s="2192"/>
      <c r="S11" s="2191"/>
      <c r="T11" s="2192"/>
      <c r="U11" s="2191"/>
      <c r="V11" s="2192"/>
      <c r="W11" s="2191"/>
      <c r="X11" s="2192"/>
      <c r="Y11" s="2191"/>
      <c r="Z11" s="2192"/>
      <c r="AA11" s="2191"/>
      <c r="AB11" s="2192"/>
      <c r="AC11" s="1285"/>
      <c r="AD11" s="2193" t="s">
        <v>1897</v>
      </c>
      <c r="AE11" s="1812"/>
      <c r="AF11" s="2193" t="s">
        <v>1897</v>
      </c>
      <c r="AG11" s="1812"/>
      <c r="AH11" s="2193" t="s">
        <v>1898</v>
      </c>
      <c r="AI11" s="2194"/>
      <c r="AJ11" s="2193" t="s">
        <v>1898</v>
      </c>
      <c r="AK11" s="1812"/>
      <c r="AL11" s="1810"/>
      <c r="AM11" s="1812"/>
      <c r="AN11" s="1810"/>
      <c r="AO11" s="1812"/>
      <c r="AP11" s="1810"/>
      <c r="AQ11" s="1812"/>
      <c r="AR11" s="1810"/>
      <c r="AS11" s="1812"/>
      <c r="AT11" s="2154"/>
      <c r="AU11" s="2171"/>
      <c r="AV11" s="1285"/>
      <c r="AW11" s="2154"/>
      <c r="AX11" s="1285"/>
      <c r="AY11" s="28"/>
      <c r="AZ11" s="28"/>
      <c r="BA11" s="28"/>
      <c r="BB11" s="2176" t="str">
        <f>I10</f>
        <v>住宅</v>
      </c>
      <c r="BC11" s="2176" t="str">
        <f>K10</f>
        <v>住宅</v>
      </c>
      <c r="BD11" s="2176">
        <f>M10</f>
        <v>0</v>
      </c>
      <c r="BE11" s="2176">
        <f>O10</f>
        <v>0</v>
      </c>
      <c r="BF11" s="2176">
        <f>Q10</f>
        <v>0</v>
      </c>
      <c r="BG11" s="2176">
        <f>S10</f>
        <v>0</v>
      </c>
      <c r="BH11" s="2176">
        <f>U10</f>
        <v>0</v>
      </c>
      <c r="BI11" s="2176">
        <f>W10</f>
        <v>0</v>
      </c>
      <c r="BJ11" s="2176">
        <f>Y10</f>
        <v>0</v>
      </c>
      <c r="BK11" s="2176">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9"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5" t="s">
        <v>1900</v>
      </c>
      <c r="W12" s="11" t="s">
        <v>1899</v>
      </c>
      <c r="X12" s="11" t="s">
        <v>1900</v>
      </c>
      <c r="Y12" s="11" t="s">
        <v>1899</v>
      </c>
      <c r="Z12" s="11" t="s">
        <v>1900</v>
      </c>
      <c r="AA12" s="11" t="s">
        <v>1899</v>
      </c>
      <c r="AB12" s="11" t="s">
        <v>1900</v>
      </c>
      <c r="AC12" s="2198"/>
      <c r="AD12" s="1799"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6" t="s">
        <v>1900</v>
      </c>
      <c r="AT12" s="2199"/>
      <c r="AU12" s="2196"/>
      <c r="AV12" s="31"/>
      <c r="AW12" s="2155"/>
      <c r="AX12" s="31"/>
      <c r="AY12" s="2200"/>
      <c r="AZ12" s="28"/>
      <c r="BA12" s="2188"/>
      <c r="BB12" s="24" t="str">
        <f>I11</f>
        <v>洋房</v>
      </c>
      <c r="BC12" s="2201" t="str">
        <f>K11</f>
        <v>平层住宅</v>
      </c>
      <c r="BD12" s="2201">
        <f>M11</f>
        <v>0</v>
      </c>
      <c r="BE12" s="2176">
        <f>O11</f>
        <v>0</v>
      </c>
      <c r="BF12" s="2176">
        <f>Q11</f>
        <v>0</v>
      </c>
      <c r="BG12" s="2176">
        <f>S11</f>
        <v>0</v>
      </c>
      <c r="BH12" s="2176">
        <f>U11</f>
        <v>0</v>
      </c>
      <c r="BI12" s="2176">
        <f>W11</f>
        <v>0</v>
      </c>
      <c r="BJ12" s="2176">
        <f>Y11</f>
        <v>0</v>
      </c>
      <c r="BK12" s="2176">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26.4">
      <c r="A13" s="2987" t="s">
        <v>3645</v>
      </c>
      <c r="B13" s="1265">
        <v>223455.24</v>
      </c>
      <c r="C13" s="1265"/>
      <c r="D13" s="2202" t="s">
        <v>3060</v>
      </c>
      <c r="E13" s="16">
        <f>IF($C$3="是",ROUND($A$3*G13/$B$3,2),ROUND($A$3*(G13-AT13)/$B$3,2))</f>
        <v>8279.61</v>
      </c>
      <c r="F13" s="32"/>
      <c r="G13" s="33">
        <f>H13+AC13+AT13</f>
        <v>21278.6</v>
      </c>
      <c r="H13" s="20">
        <f>SUMIF(I$12:AB$12,"总值",I13:AB13)</f>
        <v>21278.6</v>
      </c>
      <c r="I13" s="2203">
        <v>7966.26</v>
      </c>
      <c r="J13" s="2203"/>
      <c r="K13" s="2203">
        <v>13312.34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t="str">
        <f t="shared" ref="AV13:AX17" si="6">A13</f>
        <v>总建筑面积</v>
      </c>
      <c r="AW13" s="11">
        <f t="shared" si="6"/>
        <v>223455.24</v>
      </c>
      <c r="AX13" s="11">
        <f t="shared" si="6"/>
        <v>0</v>
      </c>
      <c r="AY13" s="1799">
        <f>ROUND($AY$6*AZ13/$AZ$5,2)</f>
        <v>8279.61</v>
      </c>
      <c r="AZ13" s="16">
        <f>BA13+BL13</f>
        <v>21278.6</v>
      </c>
      <c r="BA13" s="16">
        <f>SUM(BB13:BK13)</f>
        <v>21278.6</v>
      </c>
      <c r="BB13" s="16">
        <f>IF($D13="是",I13-J13,0)</f>
        <v>7966.26</v>
      </c>
      <c r="BC13" s="16">
        <f>IF($D13="是",K13-L13,0)</f>
        <v>13312.34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c r="A14" s="2987" t="s">
        <v>3647</v>
      </c>
      <c r="B14" s="1265">
        <v>87088</v>
      </c>
      <c r="C14" s="34"/>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t="str">
        <f t="shared" si="6"/>
        <v>土地面积</v>
      </c>
      <c r="AW14" s="11">
        <f t="shared" si="6"/>
        <v>87088</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c r="A15" s="2987" t="s">
        <v>3646</v>
      </c>
      <c r="B15" s="1265">
        <f>ROUND(B13/B14,2)</f>
        <v>2.57</v>
      </c>
      <c r="C15" s="3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t="str">
        <f t="shared" si="6"/>
        <v>容积率</v>
      </c>
      <c r="AW15" s="11">
        <f t="shared" si="6"/>
        <v>2.57</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c r="A16" s="1265"/>
      <c r="B16" s="1265"/>
      <c r="C16" s="34"/>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c r="A17" s="1265"/>
      <c r="B17" s="1265"/>
      <c r="C17" s="34"/>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2203"/>
      <c r="J18" s="39"/>
      <c r="K18" s="2203"/>
      <c r="L18" s="39"/>
      <c r="M18" s="39"/>
      <c r="N18" s="39"/>
      <c r="O18" s="39"/>
      <c r="P18" s="39"/>
      <c r="Q18" s="39"/>
      <c r="R18" s="39"/>
      <c r="S18" s="39"/>
      <c r="T18" s="39"/>
      <c r="U18" s="39"/>
      <c r="V18" s="39"/>
      <c r="W18" s="39"/>
      <c r="X18" s="39"/>
      <c r="Y18" s="39"/>
      <c r="Z18" s="39"/>
      <c r="AA18" s="39"/>
      <c r="AB18" s="39"/>
      <c r="AC18" s="35">
        <f t="shared" ref="AC18:AC109" si="10">SUMIF(AD$12:AS$12,"总值",AD18:AS18)</f>
        <v>0</v>
      </c>
      <c r="AD18" s="2204"/>
      <c r="AE18" s="40"/>
      <c r="AF18" s="40"/>
      <c r="AG18" s="40"/>
      <c r="AH18" s="2204"/>
      <c r="AI18" s="40"/>
      <c r="AJ18" s="40"/>
      <c r="AK18" s="40"/>
      <c r="AL18" s="2204"/>
      <c r="AM18" s="40"/>
      <c r="AN18" s="2204"/>
      <c r="AO18" s="40"/>
      <c r="AP18" s="40"/>
      <c r="AQ18" s="40"/>
      <c r="AR18" s="40"/>
      <c r="AS18" s="40"/>
      <c r="AT18" s="41"/>
      <c r="AU18" s="2208"/>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2203"/>
      <c r="J19" s="39"/>
      <c r="K19" s="2203"/>
      <c r="L19" s="39"/>
      <c r="M19" s="39"/>
      <c r="N19" s="39"/>
      <c r="O19" s="39"/>
      <c r="P19" s="39"/>
      <c r="Q19" s="39"/>
      <c r="R19" s="39"/>
      <c r="S19" s="39"/>
      <c r="T19" s="39"/>
      <c r="U19" s="39"/>
      <c r="V19" s="39"/>
      <c r="W19" s="39"/>
      <c r="X19" s="39"/>
      <c r="Y19" s="39"/>
      <c r="Z19" s="39"/>
      <c r="AA19" s="39"/>
      <c r="AB19" s="39"/>
      <c r="AC19" s="35">
        <f t="shared" si="10"/>
        <v>0</v>
      </c>
      <c r="AD19" s="2204"/>
      <c r="AE19" s="40"/>
      <c r="AF19" s="40"/>
      <c r="AG19" s="40"/>
      <c r="AH19" s="2204"/>
      <c r="AI19" s="40"/>
      <c r="AJ19" s="40"/>
      <c r="AK19" s="40"/>
      <c r="AL19" s="2204"/>
      <c r="AM19" s="40"/>
      <c r="AN19" s="2204"/>
      <c r="AO19" s="40"/>
      <c r="AP19" s="40"/>
      <c r="AQ19" s="40"/>
      <c r="AR19" s="40"/>
      <c r="AS19" s="40"/>
      <c r="AT19" s="41"/>
      <c r="AU19" s="2208"/>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2203"/>
      <c r="J20" s="39"/>
      <c r="K20" s="2203"/>
      <c r="L20" s="39"/>
      <c r="M20" s="39"/>
      <c r="N20" s="39"/>
      <c r="O20" s="39"/>
      <c r="P20" s="39"/>
      <c r="Q20" s="39"/>
      <c r="R20" s="39"/>
      <c r="S20" s="39"/>
      <c r="T20" s="39"/>
      <c r="U20" s="39"/>
      <c r="V20" s="39"/>
      <c r="W20" s="39"/>
      <c r="X20" s="39"/>
      <c r="Y20" s="39"/>
      <c r="Z20" s="39"/>
      <c r="AA20" s="39"/>
      <c r="AB20" s="39"/>
      <c r="AC20" s="35">
        <f t="shared" si="10"/>
        <v>0</v>
      </c>
      <c r="AD20" s="2204"/>
      <c r="AE20" s="40"/>
      <c r="AF20" s="40"/>
      <c r="AG20" s="40"/>
      <c r="AH20" s="2204"/>
      <c r="AI20" s="40"/>
      <c r="AJ20" s="40"/>
      <c r="AK20" s="40"/>
      <c r="AL20" s="2204"/>
      <c r="AM20" s="40"/>
      <c r="AN20" s="2204"/>
      <c r="AO20" s="40"/>
      <c r="AP20" s="40"/>
      <c r="AQ20" s="40"/>
      <c r="AR20" s="40"/>
      <c r="AS20" s="40"/>
      <c r="AT20" s="41"/>
      <c r="AU20" s="2208"/>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2203"/>
      <c r="J21" s="39"/>
      <c r="K21" s="2203"/>
      <c r="L21" s="39"/>
      <c r="M21" s="39"/>
      <c r="N21" s="39"/>
      <c r="O21" s="39"/>
      <c r="P21" s="39"/>
      <c r="Q21" s="39"/>
      <c r="R21" s="39"/>
      <c r="S21" s="39"/>
      <c r="T21" s="39"/>
      <c r="U21" s="39"/>
      <c r="V21" s="39"/>
      <c r="W21" s="39"/>
      <c r="X21" s="39"/>
      <c r="Y21" s="39"/>
      <c r="Z21" s="39"/>
      <c r="AA21" s="39"/>
      <c r="AB21" s="39"/>
      <c r="AC21" s="35">
        <f t="shared" si="10"/>
        <v>0</v>
      </c>
      <c r="AD21" s="2204"/>
      <c r="AE21" s="40"/>
      <c r="AF21" s="40"/>
      <c r="AG21" s="40"/>
      <c r="AH21" s="2204"/>
      <c r="AI21" s="40"/>
      <c r="AJ21" s="40"/>
      <c r="AK21" s="40"/>
      <c r="AL21" s="2204"/>
      <c r="AM21" s="40"/>
      <c r="AN21" s="2204"/>
      <c r="AO21" s="40"/>
      <c r="AP21" s="40"/>
      <c r="AQ21" s="40"/>
      <c r="AR21" s="40"/>
      <c r="AS21" s="40"/>
      <c r="AT21" s="41"/>
      <c r="AU21" s="2208"/>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2203"/>
      <c r="J22" s="39"/>
      <c r="K22" s="2203"/>
      <c r="L22" s="39"/>
      <c r="M22" s="39"/>
      <c r="N22" s="39"/>
      <c r="O22" s="39"/>
      <c r="P22" s="39"/>
      <c r="Q22" s="39"/>
      <c r="R22" s="39"/>
      <c r="S22" s="39"/>
      <c r="T22" s="39"/>
      <c r="U22" s="39"/>
      <c r="V22" s="39"/>
      <c r="W22" s="39"/>
      <c r="X22" s="39"/>
      <c r="Y22" s="39"/>
      <c r="Z22" s="39"/>
      <c r="AA22" s="39"/>
      <c r="AB22" s="39"/>
      <c r="AC22" s="35">
        <f t="shared" si="10"/>
        <v>0</v>
      </c>
      <c r="AD22" s="2204"/>
      <c r="AE22" s="40"/>
      <c r="AF22" s="40"/>
      <c r="AG22" s="40"/>
      <c r="AH22" s="2204"/>
      <c r="AI22" s="40"/>
      <c r="AJ22" s="40"/>
      <c r="AK22" s="40"/>
      <c r="AL22" s="2204"/>
      <c r="AM22" s="40"/>
      <c r="AN22" s="2204"/>
      <c r="AO22" s="40"/>
      <c r="AP22" s="40"/>
      <c r="AQ22" s="40"/>
      <c r="AR22" s="40"/>
      <c r="AS22" s="40"/>
      <c r="AT22" s="41"/>
      <c r="AU22" s="2208"/>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2203"/>
      <c r="J23" s="39"/>
      <c r="K23" s="2203"/>
      <c r="L23" s="39"/>
      <c r="M23" s="39"/>
      <c r="N23" s="39"/>
      <c r="O23" s="39"/>
      <c r="P23" s="39"/>
      <c r="Q23" s="39"/>
      <c r="R23" s="39"/>
      <c r="S23" s="39"/>
      <c r="T23" s="39"/>
      <c r="U23" s="39"/>
      <c r="V23" s="39"/>
      <c r="W23" s="39"/>
      <c r="X23" s="39"/>
      <c r="Y23" s="39"/>
      <c r="Z23" s="39"/>
      <c r="AA23" s="39"/>
      <c r="AB23" s="39"/>
      <c r="AC23" s="35">
        <f t="shared" si="10"/>
        <v>0</v>
      </c>
      <c r="AD23" s="2204"/>
      <c r="AE23" s="40"/>
      <c r="AF23" s="40"/>
      <c r="AG23" s="40"/>
      <c r="AH23" s="2204"/>
      <c r="AI23" s="40"/>
      <c r="AJ23" s="40"/>
      <c r="AK23" s="40"/>
      <c r="AL23" s="2204"/>
      <c r="AM23" s="40"/>
      <c r="AN23" s="2204"/>
      <c r="AO23" s="40"/>
      <c r="AP23" s="40"/>
      <c r="AQ23" s="40"/>
      <c r="AR23" s="40"/>
      <c r="AS23" s="40"/>
      <c r="AT23" s="41"/>
      <c r="AU23" s="2208"/>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2203"/>
      <c r="J24" s="39"/>
      <c r="K24" s="2203"/>
      <c r="L24" s="39"/>
      <c r="M24" s="39"/>
      <c r="N24" s="39"/>
      <c r="O24" s="39"/>
      <c r="P24" s="39"/>
      <c r="Q24" s="39"/>
      <c r="R24" s="39"/>
      <c r="S24" s="39"/>
      <c r="T24" s="39"/>
      <c r="U24" s="39"/>
      <c r="V24" s="39"/>
      <c r="W24" s="39"/>
      <c r="X24" s="39"/>
      <c r="Y24" s="39"/>
      <c r="Z24" s="39"/>
      <c r="AA24" s="39"/>
      <c r="AB24" s="39"/>
      <c r="AC24" s="35">
        <f t="shared" si="10"/>
        <v>0</v>
      </c>
      <c r="AD24" s="2204"/>
      <c r="AE24" s="40"/>
      <c r="AF24" s="40"/>
      <c r="AG24" s="40"/>
      <c r="AH24" s="2204"/>
      <c r="AI24" s="40"/>
      <c r="AJ24" s="40"/>
      <c r="AK24" s="40"/>
      <c r="AL24" s="2204"/>
      <c r="AM24" s="40"/>
      <c r="AN24" s="2204"/>
      <c r="AO24" s="40"/>
      <c r="AP24" s="40"/>
      <c r="AQ24" s="40"/>
      <c r="AR24" s="40"/>
      <c r="AS24" s="40"/>
      <c r="AT24" s="41"/>
      <c r="AU24" s="2208"/>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2203"/>
      <c r="J25" s="39"/>
      <c r="K25" s="2203"/>
      <c r="L25" s="39"/>
      <c r="M25" s="39"/>
      <c r="N25" s="39"/>
      <c r="O25" s="39"/>
      <c r="P25" s="39"/>
      <c r="Q25" s="39"/>
      <c r="R25" s="39"/>
      <c r="S25" s="39"/>
      <c r="T25" s="39"/>
      <c r="U25" s="39"/>
      <c r="V25" s="39"/>
      <c r="W25" s="39"/>
      <c r="X25" s="39"/>
      <c r="Y25" s="39"/>
      <c r="Z25" s="39"/>
      <c r="AA25" s="39"/>
      <c r="AB25" s="39"/>
      <c r="AC25" s="35">
        <f t="shared" si="10"/>
        <v>0</v>
      </c>
      <c r="AD25" s="2204"/>
      <c r="AE25" s="40"/>
      <c r="AF25" s="40"/>
      <c r="AG25" s="40"/>
      <c r="AH25" s="2204"/>
      <c r="AI25" s="40"/>
      <c r="AJ25" s="40"/>
      <c r="AK25" s="40"/>
      <c r="AL25" s="2204"/>
      <c r="AM25" s="40"/>
      <c r="AN25" s="2204"/>
      <c r="AO25" s="40"/>
      <c r="AP25" s="40"/>
      <c r="AQ25" s="40"/>
      <c r="AR25" s="40"/>
      <c r="AS25" s="40"/>
      <c r="AT25" s="41"/>
      <c r="AU25" s="2208"/>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2203"/>
      <c r="J26" s="39"/>
      <c r="K26" s="2203"/>
      <c r="L26" s="39"/>
      <c r="M26" s="39"/>
      <c r="N26" s="39"/>
      <c r="O26" s="39"/>
      <c r="P26" s="39"/>
      <c r="Q26" s="39"/>
      <c r="R26" s="39"/>
      <c r="S26" s="39"/>
      <c r="T26" s="39"/>
      <c r="U26" s="39"/>
      <c r="V26" s="39"/>
      <c r="W26" s="39"/>
      <c r="X26" s="39"/>
      <c r="Y26" s="39"/>
      <c r="Z26" s="39"/>
      <c r="AA26" s="39"/>
      <c r="AB26" s="39"/>
      <c r="AC26" s="35">
        <f t="shared" si="10"/>
        <v>0</v>
      </c>
      <c r="AD26" s="2204"/>
      <c r="AE26" s="40"/>
      <c r="AF26" s="40"/>
      <c r="AG26" s="40"/>
      <c r="AH26" s="2204"/>
      <c r="AI26" s="40"/>
      <c r="AJ26" s="40"/>
      <c r="AK26" s="40"/>
      <c r="AL26" s="2204"/>
      <c r="AM26" s="40"/>
      <c r="AN26" s="2204"/>
      <c r="AO26" s="40"/>
      <c r="AP26" s="40"/>
      <c r="AQ26" s="40"/>
      <c r="AR26" s="40"/>
      <c r="AS26" s="40"/>
      <c r="AT26" s="41"/>
      <c r="AU26" s="2208"/>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2203"/>
      <c r="J27" s="39"/>
      <c r="K27" s="2203"/>
      <c r="L27" s="39"/>
      <c r="M27" s="39"/>
      <c r="N27" s="39"/>
      <c r="O27" s="39"/>
      <c r="P27" s="39"/>
      <c r="Q27" s="39"/>
      <c r="R27" s="39"/>
      <c r="S27" s="39"/>
      <c r="T27" s="39"/>
      <c r="U27" s="39"/>
      <c r="V27" s="39"/>
      <c r="W27" s="39"/>
      <c r="X27" s="39"/>
      <c r="Y27" s="39"/>
      <c r="Z27" s="39"/>
      <c r="AA27" s="39"/>
      <c r="AB27" s="39"/>
      <c r="AC27" s="35">
        <f t="shared" si="10"/>
        <v>0</v>
      </c>
      <c r="AD27" s="2204"/>
      <c r="AE27" s="40"/>
      <c r="AF27" s="40"/>
      <c r="AG27" s="40"/>
      <c r="AH27" s="2204"/>
      <c r="AI27" s="40"/>
      <c r="AJ27" s="40"/>
      <c r="AK27" s="40"/>
      <c r="AL27" s="2204"/>
      <c r="AM27" s="40"/>
      <c r="AN27" s="2204"/>
      <c r="AO27" s="40"/>
      <c r="AP27" s="40"/>
      <c r="AQ27" s="40"/>
      <c r="AR27" s="40"/>
      <c r="AS27" s="40"/>
      <c r="AT27" s="41"/>
      <c r="AU27" s="2208"/>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2203"/>
      <c r="J28" s="39"/>
      <c r="K28" s="2203"/>
      <c r="L28" s="39"/>
      <c r="M28" s="39"/>
      <c r="N28" s="39"/>
      <c r="O28" s="39"/>
      <c r="P28" s="39"/>
      <c r="Q28" s="39"/>
      <c r="R28" s="39"/>
      <c r="S28" s="39"/>
      <c r="T28" s="39"/>
      <c r="U28" s="39"/>
      <c r="V28" s="39"/>
      <c r="W28" s="39"/>
      <c r="X28" s="39"/>
      <c r="Y28" s="39"/>
      <c r="Z28" s="39"/>
      <c r="AA28" s="39"/>
      <c r="AB28" s="39"/>
      <c r="AC28" s="35">
        <f t="shared" si="10"/>
        <v>0</v>
      </c>
      <c r="AD28" s="2204"/>
      <c r="AE28" s="40"/>
      <c r="AF28" s="40"/>
      <c r="AG28" s="40"/>
      <c r="AH28" s="2204"/>
      <c r="AI28" s="40"/>
      <c r="AJ28" s="40"/>
      <c r="AK28" s="40"/>
      <c r="AL28" s="2204"/>
      <c r="AM28" s="40"/>
      <c r="AN28" s="2204"/>
      <c r="AO28" s="40"/>
      <c r="AP28" s="40"/>
      <c r="AQ28" s="40"/>
      <c r="AR28" s="40"/>
      <c r="AS28" s="40"/>
      <c r="AT28" s="41"/>
      <c r="AU28" s="2208"/>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2203"/>
      <c r="J29" s="39"/>
      <c r="K29" s="2203"/>
      <c r="L29" s="39"/>
      <c r="M29" s="39"/>
      <c r="N29" s="39"/>
      <c r="O29" s="39"/>
      <c r="P29" s="39"/>
      <c r="Q29" s="39"/>
      <c r="R29" s="39"/>
      <c r="S29" s="39"/>
      <c r="T29" s="39"/>
      <c r="U29" s="39"/>
      <c r="V29" s="39"/>
      <c r="W29" s="39"/>
      <c r="X29" s="39"/>
      <c r="Y29" s="39"/>
      <c r="Z29" s="39"/>
      <c r="AA29" s="39"/>
      <c r="AB29" s="39"/>
      <c r="AC29" s="35">
        <f t="shared" si="10"/>
        <v>0</v>
      </c>
      <c r="AD29" s="2204"/>
      <c r="AE29" s="40"/>
      <c r="AF29" s="40"/>
      <c r="AG29" s="40"/>
      <c r="AH29" s="2204"/>
      <c r="AI29" s="40"/>
      <c r="AJ29" s="40"/>
      <c r="AK29" s="40"/>
      <c r="AL29" s="2204"/>
      <c r="AM29" s="40"/>
      <c r="AN29" s="2204"/>
      <c r="AO29" s="40"/>
      <c r="AP29" s="40"/>
      <c r="AQ29" s="40"/>
      <c r="AR29" s="40"/>
      <c r="AS29" s="40"/>
      <c r="AT29" s="41"/>
      <c r="AU29" s="2208"/>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2203"/>
      <c r="J30" s="39"/>
      <c r="K30" s="2203"/>
      <c r="L30" s="39"/>
      <c r="M30" s="39"/>
      <c r="N30" s="39"/>
      <c r="O30" s="39"/>
      <c r="P30" s="39"/>
      <c r="Q30" s="39"/>
      <c r="R30" s="39"/>
      <c r="S30" s="39"/>
      <c r="T30" s="39"/>
      <c r="U30" s="39"/>
      <c r="V30" s="39"/>
      <c r="W30" s="39"/>
      <c r="X30" s="39"/>
      <c r="Y30" s="39"/>
      <c r="Z30" s="39"/>
      <c r="AA30" s="39"/>
      <c r="AB30" s="39"/>
      <c r="AC30" s="35">
        <f t="shared" si="10"/>
        <v>0</v>
      </c>
      <c r="AD30" s="2959"/>
      <c r="AE30" s="2960"/>
      <c r="AF30" s="40"/>
      <c r="AG30" s="40"/>
      <c r="AH30" s="2204"/>
      <c r="AI30" s="40"/>
      <c r="AJ30" s="40"/>
      <c r="AK30" s="40"/>
      <c r="AL30" s="2204"/>
      <c r="AM30" s="40"/>
      <c r="AN30" s="2204"/>
      <c r="AO30" s="40"/>
      <c r="AP30" s="40"/>
      <c r="AQ30" s="40"/>
      <c r="AR30" s="40"/>
      <c r="AS30" s="40"/>
      <c r="AT30" s="41"/>
      <c r="AU30" s="2208"/>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2203"/>
      <c r="J31" s="39"/>
      <c r="K31" s="2203"/>
      <c r="L31" s="39"/>
      <c r="M31" s="39"/>
      <c r="N31" s="39"/>
      <c r="O31" s="39"/>
      <c r="P31" s="39"/>
      <c r="Q31" s="39"/>
      <c r="R31" s="39"/>
      <c r="S31" s="39"/>
      <c r="T31" s="39"/>
      <c r="U31" s="39"/>
      <c r="V31" s="39"/>
      <c r="W31" s="39"/>
      <c r="X31" s="39"/>
      <c r="Y31" s="39"/>
      <c r="Z31" s="39"/>
      <c r="AA31" s="39"/>
      <c r="AB31" s="39"/>
      <c r="AC31" s="35">
        <f t="shared" si="10"/>
        <v>0</v>
      </c>
      <c r="AD31" s="2204"/>
      <c r="AE31" s="40"/>
      <c r="AF31" s="40"/>
      <c r="AG31" s="40"/>
      <c r="AH31" s="2204"/>
      <c r="AI31" s="40"/>
      <c r="AJ31" s="40"/>
      <c r="AK31" s="40"/>
      <c r="AL31" s="2204"/>
      <c r="AM31" s="40"/>
      <c r="AN31" s="2204"/>
      <c r="AO31" s="40"/>
      <c r="AP31" s="40"/>
      <c r="AQ31" s="40"/>
      <c r="AR31" s="40"/>
      <c r="AS31" s="40"/>
      <c r="AT31" s="41"/>
      <c r="AU31" s="2208"/>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2203"/>
      <c r="J32" s="39"/>
      <c r="K32" s="2203"/>
      <c r="L32" s="39"/>
      <c r="M32" s="39"/>
      <c r="N32" s="39"/>
      <c r="O32" s="39"/>
      <c r="P32" s="39"/>
      <c r="Q32" s="39"/>
      <c r="R32" s="39"/>
      <c r="S32" s="39"/>
      <c r="T32" s="39"/>
      <c r="U32" s="39"/>
      <c r="V32" s="39"/>
      <c r="W32" s="39"/>
      <c r="X32" s="39"/>
      <c r="Y32" s="39"/>
      <c r="Z32" s="39"/>
      <c r="AA32" s="39"/>
      <c r="AB32" s="39"/>
      <c r="AC32" s="35">
        <f t="shared" si="10"/>
        <v>0</v>
      </c>
      <c r="AD32" s="2204"/>
      <c r="AE32" s="40"/>
      <c r="AF32" s="40"/>
      <c r="AG32" s="40"/>
      <c r="AH32" s="2204"/>
      <c r="AI32" s="40"/>
      <c r="AJ32" s="40"/>
      <c r="AK32" s="40"/>
      <c r="AL32" s="2204"/>
      <c r="AM32" s="40"/>
      <c r="AN32" s="2204"/>
      <c r="AO32" s="40"/>
      <c r="AP32" s="40"/>
      <c r="AQ32" s="40"/>
      <c r="AR32" s="40"/>
      <c r="AS32" s="40"/>
      <c r="AT32" s="41"/>
      <c r="AU32" s="2208"/>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2203"/>
      <c r="J33" s="39"/>
      <c r="K33" s="2203"/>
      <c r="L33" s="39"/>
      <c r="M33" s="39"/>
      <c r="N33" s="39"/>
      <c r="O33" s="39"/>
      <c r="P33" s="39"/>
      <c r="Q33" s="39"/>
      <c r="R33" s="39"/>
      <c r="S33" s="39"/>
      <c r="T33" s="39"/>
      <c r="U33" s="39"/>
      <c r="V33" s="39"/>
      <c r="W33" s="39"/>
      <c r="X33" s="39"/>
      <c r="Y33" s="39"/>
      <c r="Z33" s="39"/>
      <c r="AA33" s="39"/>
      <c r="AB33" s="39"/>
      <c r="AC33" s="35">
        <f t="shared" si="10"/>
        <v>0</v>
      </c>
      <c r="AD33" s="2204"/>
      <c r="AE33" s="40"/>
      <c r="AF33" s="40"/>
      <c r="AG33" s="40"/>
      <c r="AH33" s="2204"/>
      <c r="AI33" s="40"/>
      <c r="AJ33" s="40"/>
      <c r="AK33" s="40"/>
      <c r="AL33" s="2204"/>
      <c r="AM33" s="40"/>
      <c r="AN33" s="2204"/>
      <c r="AO33" s="40"/>
      <c r="AP33" s="40"/>
      <c r="AQ33" s="40"/>
      <c r="AR33" s="40"/>
      <c r="AS33" s="40"/>
      <c r="AT33" s="41"/>
      <c r="AU33" s="2208"/>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2203"/>
      <c r="J34" s="39"/>
      <c r="K34" s="2203"/>
      <c r="L34" s="39"/>
      <c r="M34" s="39"/>
      <c r="N34" s="39"/>
      <c r="O34" s="39"/>
      <c r="P34" s="39"/>
      <c r="Q34" s="39"/>
      <c r="R34" s="39"/>
      <c r="S34" s="39"/>
      <c r="T34" s="39"/>
      <c r="U34" s="39"/>
      <c r="V34" s="39"/>
      <c r="W34" s="39"/>
      <c r="X34" s="39"/>
      <c r="Y34" s="39"/>
      <c r="Z34" s="39"/>
      <c r="AA34" s="39"/>
      <c r="AB34" s="39"/>
      <c r="AC34" s="35">
        <f t="shared" si="10"/>
        <v>0</v>
      </c>
      <c r="AD34" s="2204"/>
      <c r="AE34" s="40"/>
      <c r="AF34" s="40"/>
      <c r="AG34" s="40"/>
      <c r="AH34" s="2204"/>
      <c r="AI34" s="40"/>
      <c r="AJ34" s="40"/>
      <c r="AK34" s="40"/>
      <c r="AL34" s="2204"/>
      <c r="AM34" s="40"/>
      <c r="AN34" s="2204"/>
      <c r="AO34" s="40"/>
      <c r="AP34" s="40"/>
      <c r="AQ34" s="40"/>
      <c r="AR34" s="40"/>
      <c r="AS34" s="40"/>
      <c r="AT34" s="41"/>
      <c r="AU34" s="2208"/>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2203"/>
      <c r="J35" s="39"/>
      <c r="K35" s="2203"/>
      <c r="L35" s="39"/>
      <c r="M35" s="39"/>
      <c r="N35" s="39"/>
      <c r="O35" s="39"/>
      <c r="P35" s="39"/>
      <c r="Q35" s="39"/>
      <c r="R35" s="39"/>
      <c r="S35" s="39"/>
      <c r="T35" s="39"/>
      <c r="U35" s="39"/>
      <c r="V35" s="39"/>
      <c r="W35" s="39"/>
      <c r="X35" s="39"/>
      <c r="Y35" s="39"/>
      <c r="Z35" s="39"/>
      <c r="AA35" s="39"/>
      <c r="AB35" s="39"/>
      <c r="AC35" s="35">
        <f t="shared" si="10"/>
        <v>0</v>
      </c>
      <c r="AD35" s="2204"/>
      <c r="AE35" s="40"/>
      <c r="AF35" s="40"/>
      <c r="AG35" s="40"/>
      <c r="AH35" s="2204"/>
      <c r="AI35" s="40"/>
      <c r="AJ35" s="40"/>
      <c r="AK35" s="40"/>
      <c r="AL35" s="2204"/>
      <c r="AM35" s="40"/>
      <c r="AN35" s="2204"/>
      <c r="AO35" s="40"/>
      <c r="AP35" s="40"/>
      <c r="AQ35" s="40"/>
      <c r="AR35" s="40"/>
      <c r="AS35" s="40"/>
      <c r="AT35" s="41"/>
      <c r="AU35" s="2208"/>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2203"/>
      <c r="J36" s="39"/>
      <c r="K36" s="2203"/>
      <c r="L36" s="39"/>
      <c r="M36" s="39"/>
      <c r="N36" s="39"/>
      <c r="O36" s="39"/>
      <c r="P36" s="39"/>
      <c r="Q36" s="39"/>
      <c r="R36" s="39"/>
      <c r="S36" s="39"/>
      <c r="T36" s="39"/>
      <c r="U36" s="39"/>
      <c r="V36" s="39"/>
      <c r="W36" s="39"/>
      <c r="X36" s="39"/>
      <c r="Y36" s="39"/>
      <c r="Z36" s="39"/>
      <c r="AA36" s="39"/>
      <c r="AB36" s="39"/>
      <c r="AC36" s="35">
        <f t="shared" si="10"/>
        <v>0</v>
      </c>
      <c r="AD36" s="2204"/>
      <c r="AE36" s="40"/>
      <c r="AF36" s="40"/>
      <c r="AG36" s="40"/>
      <c r="AH36" s="2204"/>
      <c r="AI36" s="40"/>
      <c r="AJ36" s="40"/>
      <c r="AK36" s="40"/>
      <c r="AL36" s="2204"/>
      <c r="AM36" s="40"/>
      <c r="AN36" s="2204"/>
      <c r="AO36" s="40"/>
      <c r="AP36" s="40"/>
      <c r="AQ36" s="40"/>
      <c r="AR36" s="40"/>
      <c r="AS36" s="40"/>
      <c r="AT36" s="41"/>
      <c r="AU36" s="2208"/>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2203"/>
      <c r="J37" s="39"/>
      <c r="K37" s="2203"/>
      <c r="L37" s="39"/>
      <c r="M37" s="39"/>
      <c r="N37" s="39"/>
      <c r="O37" s="39"/>
      <c r="P37" s="39"/>
      <c r="Q37" s="39"/>
      <c r="R37" s="39"/>
      <c r="S37" s="39"/>
      <c r="T37" s="39"/>
      <c r="U37" s="39"/>
      <c r="V37" s="39"/>
      <c r="W37" s="39"/>
      <c r="X37" s="39"/>
      <c r="Y37" s="39"/>
      <c r="Z37" s="39"/>
      <c r="AA37" s="39"/>
      <c r="AB37" s="39"/>
      <c r="AC37" s="35">
        <f t="shared" si="10"/>
        <v>0</v>
      </c>
      <c r="AD37" s="2204"/>
      <c r="AE37" s="40"/>
      <c r="AF37" s="40"/>
      <c r="AG37" s="40"/>
      <c r="AH37" s="2204"/>
      <c r="AI37" s="40"/>
      <c r="AJ37" s="40"/>
      <c r="AK37" s="40"/>
      <c r="AL37" s="2204"/>
      <c r="AM37" s="40"/>
      <c r="AN37" s="2204"/>
      <c r="AO37" s="40"/>
      <c r="AP37" s="40"/>
      <c r="AQ37" s="40"/>
      <c r="AR37" s="40"/>
      <c r="AS37" s="40"/>
      <c r="AT37" s="41"/>
      <c r="AU37" s="2208"/>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46.8">
      <c r="A3" s="3077"/>
      <c r="B3" s="3077"/>
      <c r="C3" s="3077"/>
      <c r="D3" s="3078"/>
      <c r="E3" s="307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1" sqref="L31"/>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1926</v>
      </c>
      <c r="B1" s="1385"/>
      <c r="C1" s="1385"/>
      <c r="D1" s="1385"/>
      <c r="E1" s="1385"/>
      <c r="F1" s="1385"/>
      <c r="G1" s="1385"/>
      <c r="H1" s="1385"/>
      <c r="I1" s="1385"/>
      <c r="J1" s="1385"/>
      <c r="K1" s="1385"/>
      <c r="L1" s="1385"/>
      <c r="M1" s="1385"/>
      <c r="N1" s="1385"/>
      <c r="O1" s="1385"/>
      <c r="P1" s="1385"/>
    </row>
    <row r="2" spans="1:16" ht="14.4">
      <c r="A2" s="3088" t="s">
        <v>1927</v>
      </c>
      <c r="B2" s="3088"/>
      <c r="C2" s="3088"/>
      <c r="D2" s="960" t="s">
        <v>1903</v>
      </c>
      <c r="E2" s="2216" t="s">
        <v>1904</v>
      </c>
      <c r="F2" s="1385"/>
      <c r="G2" s="2217"/>
      <c r="H2" s="2218"/>
      <c r="I2" s="2219" t="s">
        <v>1928</v>
      </c>
      <c r="J2" s="1385"/>
      <c r="K2" s="1385"/>
      <c r="L2" s="1385"/>
      <c r="M2" s="1385"/>
      <c r="N2" s="1420"/>
      <c r="O2" s="1385"/>
      <c r="P2" s="1385"/>
    </row>
    <row r="3" spans="1:16" ht="15" thickBot="1">
      <c r="A3" s="3089" t="s">
        <v>1901</v>
      </c>
      <c r="B3" s="3089"/>
      <c r="C3" s="3089"/>
      <c r="D3" s="46">
        <f>'数据-基础表'!AY6</f>
        <v>8279.61</v>
      </c>
      <c r="E3" s="46">
        <f>'数据-基础表'!AZ5</f>
        <v>21278.6</v>
      </c>
      <c r="F3" s="1385"/>
      <c r="G3" s="1392"/>
      <c r="H3" s="1240" t="s">
        <v>1902</v>
      </c>
      <c r="I3" s="55">
        <f>ROUND('数据-基础表'!B3/'数据-基础表'!A3,2)</f>
        <v>2.57</v>
      </c>
      <c r="J3" s="1385"/>
      <c r="K3" s="1385"/>
      <c r="L3" s="1385"/>
      <c r="M3" s="1385"/>
      <c r="N3" s="1420"/>
      <c r="O3" s="1385"/>
      <c r="P3" s="1385"/>
    </row>
    <row r="4" spans="1:16" ht="14.4">
      <c r="A4" s="3090"/>
      <c r="B4" s="3091"/>
      <c r="C4" s="3092"/>
      <c r="D4" s="2220" t="s">
        <v>1903</v>
      </c>
      <c r="E4" s="2221" t="s">
        <v>1904</v>
      </c>
      <c r="F4" s="1385"/>
      <c r="G4" s="2222" t="s">
        <v>1929</v>
      </c>
      <c r="H4" s="1240" t="s">
        <v>1909</v>
      </c>
      <c r="I4" s="55">
        <f>ROUND(SUMIF('数据-基础表'!I9:AS9,"地上",'数据-基础表'!I5:AS5)/'数据-基础表'!A3,2)</f>
        <v>2.57</v>
      </c>
      <c r="J4" s="1385"/>
      <c r="K4" s="1385"/>
      <c r="L4" s="1385"/>
      <c r="M4" s="1385"/>
      <c r="N4" s="1420"/>
      <c r="O4" s="1385"/>
      <c r="P4" s="1385"/>
    </row>
    <row r="5" spans="1:16" ht="14.4">
      <c r="A5" s="47" t="s">
        <v>1905</v>
      </c>
      <c r="B5" s="3093" t="s">
        <v>1906</v>
      </c>
      <c r="C5" s="3093"/>
      <c r="D5" s="48">
        <f>ROUND($D$3*E5/$E$3,2)</f>
        <v>8279.61</v>
      </c>
      <c r="E5" s="49">
        <f>SUMIF('数据-基础表'!$11:$11,"住宅",'数据-基础表'!$5:$5)</f>
        <v>21278.6</v>
      </c>
      <c r="F5" s="1385"/>
      <c r="G5" s="1392"/>
      <c r="H5" s="1240" t="s">
        <v>1902</v>
      </c>
      <c r="I5" s="55">
        <f>ROUND(E31/D31,2)</f>
        <v>2.57</v>
      </c>
      <c r="J5" s="1385"/>
      <c r="K5" s="1385"/>
      <c r="L5" s="1385"/>
      <c r="M5" s="1385"/>
      <c r="N5" s="1385"/>
      <c r="O5" s="1385"/>
      <c r="P5" s="1385"/>
    </row>
    <row r="6" spans="1:16" ht="15" thickBot="1">
      <c r="A6" s="2223"/>
      <c r="B6" s="3093" t="s">
        <v>1907</v>
      </c>
      <c r="C6" s="3093"/>
      <c r="D6" s="48">
        <f>ROUND($D$3*E6/$E$3,2)</f>
        <v>0</v>
      </c>
      <c r="E6" s="49">
        <f>E3-E5</f>
        <v>0</v>
      </c>
      <c r="F6" s="1385"/>
      <c r="G6" s="2224" t="s">
        <v>1908</v>
      </c>
      <c r="H6" s="1392" t="s">
        <v>1909</v>
      </c>
      <c r="I6" s="932">
        <f>ROUND(F31/D31,2)</f>
        <v>2.57</v>
      </c>
      <c r="J6" s="1385"/>
      <c r="K6" s="1385"/>
      <c r="L6" s="1385"/>
      <c r="M6" s="1385"/>
      <c r="N6" s="1385"/>
      <c r="O6" s="1385"/>
      <c r="P6" s="1385"/>
    </row>
    <row r="7" spans="1:16" ht="14.4">
      <c r="A7" s="3085"/>
      <c r="B7" s="3086"/>
      <c r="C7" s="3087"/>
      <c r="D7" s="2220" t="s">
        <v>1903</v>
      </c>
      <c r="E7" s="2225" t="s">
        <v>1910</v>
      </c>
      <c r="F7" s="1385"/>
      <c r="G7" s="2217" t="s">
        <v>1911</v>
      </c>
      <c r="H7" s="64"/>
      <c r="I7" s="419"/>
      <c r="J7" s="1385"/>
      <c r="K7" s="1385"/>
      <c r="L7" s="1385"/>
      <c r="M7" s="1385"/>
      <c r="N7" s="1385"/>
      <c r="O7" s="1385"/>
      <c r="P7" s="1385"/>
    </row>
    <row r="8" spans="1:16" ht="14.4">
      <c r="A8" s="47" t="s">
        <v>1912</v>
      </c>
      <c r="B8" s="50" t="s">
        <v>1913</v>
      </c>
      <c r="C8" s="48" t="s">
        <v>1914</v>
      </c>
      <c r="D8" s="48">
        <f t="shared" ref="D8:D15" si="0">ROUND($D$3*E8/$E$3,2)</f>
        <v>8279.61</v>
      </c>
      <c r="E8" s="51">
        <f>SUMIF('数据-基础表'!BB10:BK10,"地上",'数据-基础表'!BB5:BK5)</f>
        <v>21278.6</v>
      </c>
      <c r="F8" s="1385"/>
      <c r="G8" s="2226"/>
      <c r="H8" s="2226"/>
      <c r="I8" s="1385"/>
      <c r="J8" s="1385"/>
      <c r="K8" s="1385"/>
      <c r="L8" s="1385"/>
      <c r="M8" s="1385"/>
      <c r="N8" s="1385"/>
      <c r="O8" s="1385"/>
      <c r="P8" s="1385"/>
    </row>
    <row r="9" spans="1:16" ht="14.4">
      <c r="A9" s="2227"/>
      <c r="B9" s="2228"/>
      <c r="C9" s="48" t="s">
        <v>1915</v>
      </c>
      <c r="D9" s="48">
        <f t="shared" si="0"/>
        <v>0</v>
      </c>
      <c r="E9" s="52"/>
      <c r="F9" s="1385"/>
      <c r="G9" s="2226"/>
      <c r="H9" s="2226"/>
      <c r="I9" s="1385"/>
      <c r="J9" s="1385"/>
      <c r="K9" s="1385"/>
      <c r="L9" s="1385"/>
      <c r="M9" s="1385"/>
      <c r="N9" s="1385"/>
      <c r="O9" s="1385"/>
      <c r="P9" s="1385"/>
    </row>
    <row r="10" spans="1:16" ht="14.4">
      <c r="A10" s="2227"/>
      <c r="B10" s="2228"/>
      <c r="C10" s="48" t="s">
        <v>1924</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ht="14.4">
      <c r="A11" s="2227"/>
      <c r="B11" s="2228"/>
      <c r="C11" s="48" t="s">
        <v>1916</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ht="14.4">
      <c r="A12" s="2227"/>
      <c r="B12" s="2228"/>
      <c r="C12" s="48" t="s">
        <v>1917</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ht="14.4">
      <c r="A13" s="2227"/>
      <c r="B13" s="2228"/>
      <c r="C13" s="48" t="s">
        <v>1918</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ht="14.4">
      <c r="A14" s="2227"/>
      <c r="B14" s="2228"/>
      <c r="C14" s="48" t="s">
        <v>1930</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1925</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 thickBot="1">
      <c r="A16" s="2223"/>
      <c r="B16" s="2228"/>
      <c r="C16" s="50" t="s">
        <v>1919</v>
      </c>
      <c r="D16" s="50">
        <f>SUM(D8:D15)</f>
        <v>8279.61</v>
      </c>
      <c r="E16" s="53">
        <f>SUM(E8:E15)</f>
        <v>21278.6</v>
      </c>
      <c r="F16" s="1385"/>
      <c r="G16" s="2226"/>
      <c r="H16" s="2229" t="s">
        <v>1931</v>
      </c>
      <c r="I16" s="2230"/>
      <c r="J16" s="1385"/>
      <c r="K16" s="3082" t="s">
        <v>1931</v>
      </c>
      <c r="L16" s="3083"/>
      <c r="M16" s="3083"/>
      <c r="N16" s="3083"/>
      <c r="O16" s="3083"/>
      <c r="P16" s="3084"/>
    </row>
    <row r="17" spans="1:19" ht="14.4">
      <c r="A17" s="2231" t="s">
        <v>1932</v>
      </c>
      <c r="B17" s="2232" t="s">
        <v>1933</v>
      </c>
      <c r="C17" s="2233" t="s">
        <v>1934</v>
      </c>
      <c r="D17" s="2234" t="s">
        <v>1922</v>
      </c>
      <c r="E17" s="2235" t="s">
        <v>1923</v>
      </c>
      <c r="F17" s="2236"/>
      <c r="G17" s="2237"/>
      <c r="H17" s="2238" t="s">
        <v>1935</v>
      </c>
      <c r="I17" s="2239" t="s">
        <v>1920</v>
      </c>
      <c r="J17" s="1385"/>
      <c r="K17" s="3079" t="s">
        <v>1936</v>
      </c>
      <c r="L17" s="3080"/>
      <c r="M17" s="3081"/>
      <c r="N17" s="3079" t="s">
        <v>1937</v>
      </c>
      <c r="O17" s="3080"/>
      <c r="P17" s="3081"/>
      <c r="R17" s="2217" t="s">
        <v>1938</v>
      </c>
      <c r="S17" s="64"/>
    </row>
    <row r="18" spans="1:19" ht="14.4">
      <c r="A18" s="2227"/>
      <c r="B18" s="2240"/>
      <c r="C18" s="2241"/>
      <c r="D18" s="2242"/>
      <c r="E18" s="2243" t="s">
        <v>1939</v>
      </c>
      <c r="F18" s="2244" t="s">
        <v>1940</v>
      </c>
      <c r="G18" s="2245" t="s">
        <v>1941</v>
      </c>
      <c r="H18" s="1255" t="s">
        <v>1942</v>
      </c>
      <c r="I18" s="2246" t="s">
        <v>1943</v>
      </c>
      <c r="J18" s="1385"/>
      <c r="K18" s="1255" t="s">
        <v>1944</v>
      </c>
      <c r="L18" s="2247" t="s">
        <v>1945</v>
      </c>
      <c r="M18" s="1039" t="s">
        <v>1946</v>
      </c>
      <c r="N18" s="1255" t="s">
        <v>1944</v>
      </c>
      <c r="O18" s="2247" t="s">
        <v>1945</v>
      </c>
      <c r="P18" s="1039" t="s">
        <v>1946</v>
      </c>
      <c r="R18" s="1240" t="s">
        <v>1947</v>
      </c>
      <c r="S18" s="1240" t="s">
        <v>1948</v>
      </c>
    </row>
    <row r="19" spans="1:19" ht="14.4">
      <c r="A19" s="2248"/>
      <c r="B19" s="50" t="s">
        <v>1921</v>
      </c>
      <c r="C19" s="2954" t="s">
        <v>3670</v>
      </c>
      <c r="D19" s="48">
        <f>ROUND($D$3*E19/$E$3,2)</f>
        <v>3099.71</v>
      </c>
      <c r="E19" s="56">
        <f t="shared" ref="E19:E26" si="1">SUM(F19:G19)</f>
        <v>7966.26</v>
      </c>
      <c r="F19" s="57">
        <f>'数据-基础表'!I5-'数据-基础表'!J5</f>
        <v>7966.26</v>
      </c>
      <c r="G19" s="58"/>
      <c r="H19" s="722">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3099.71</v>
      </c>
      <c r="S19" s="1241">
        <f t="shared" si="5"/>
        <v>7966.26</v>
      </c>
    </row>
    <row r="20" spans="1:19" ht="14.4">
      <c r="A20" s="2251"/>
      <c r="B20" s="50" t="s">
        <v>1949</v>
      </c>
      <c r="C20" s="2954" t="s">
        <v>3672</v>
      </c>
      <c r="D20" s="48">
        <f t="shared" ref="D20:D26" si="6">ROUND($D$3*E20/$E$3,2)</f>
        <v>5179.8999999999996</v>
      </c>
      <c r="E20" s="56">
        <f t="shared" si="1"/>
        <v>13312.34</v>
      </c>
      <c r="F20" s="57">
        <f>'数据-基础表'!K5</f>
        <v>13312.34</v>
      </c>
      <c r="G20" s="58"/>
      <c r="H20" s="722">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5179.8999999999996</v>
      </c>
      <c r="S20" s="1241">
        <f t="shared" si="5"/>
        <v>13312.34</v>
      </c>
    </row>
    <row r="21" spans="1:19" ht="14.4">
      <c r="A21" s="2251"/>
      <c r="B21" s="50" t="s">
        <v>1949</v>
      </c>
      <c r="C21" s="2954"/>
      <c r="D21" s="48">
        <f t="shared" si="6"/>
        <v>0</v>
      </c>
      <c r="E21" s="56">
        <f t="shared" si="1"/>
        <v>0</v>
      </c>
      <c r="F21" s="57"/>
      <c r="G21" s="58">
        <f>'数据-基础表'!M5</f>
        <v>0</v>
      </c>
      <c r="H21" s="722">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0</v>
      </c>
    </row>
    <row r="22" spans="1:19" ht="14.4">
      <c r="A22" s="2251"/>
      <c r="B22" s="50" t="s">
        <v>1949</v>
      </c>
      <c r="C22" s="60"/>
      <c r="D22" s="48">
        <f t="shared" si="6"/>
        <v>0</v>
      </c>
      <c r="E22" s="56">
        <f t="shared" si="1"/>
        <v>0</v>
      </c>
      <c r="F22" s="61"/>
      <c r="G22" s="62"/>
      <c r="H22" s="722">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ht="14.4">
      <c r="A23" s="2251"/>
      <c r="B23" s="50" t="s">
        <v>1949</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ht="14.4">
      <c r="A24" s="2251"/>
      <c r="B24" s="50" t="s">
        <v>1949</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ht="14.4">
      <c r="A25" s="2251"/>
      <c r="B25" s="50" t="s">
        <v>1949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ht="14.4">
      <c r="A26" s="2251"/>
      <c r="B26" s="50" t="s">
        <v>1949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 thickBot="1">
      <c r="A27" s="2251"/>
      <c r="B27" s="48"/>
      <c r="C27" s="2254" t="s">
        <v>1950</v>
      </c>
      <c r="D27" s="1386">
        <f>SUM(D19:D26)</f>
        <v>8279.61</v>
      </c>
      <c r="E27" s="1387">
        <f>IF(SUM(E19:E26)='数据-基础表'!BA5,SUM(E19:E26),IF(F27="地上面积有误","面积有误","地下面积有误"))</f>
        <v>21278.6</v>
      </c>
      <c r="F27" s="1386">
        <f>IF(SUM(F19:F26)=E8,SUM(F19:F26),"地上面积有误")</f>
        <v>21278.6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8279.61</v>
      </c>
      <c r="S27" s="1240">
        <f>IF(SUM(S19:S26)=$E$3,SUM(S19:S26),SUM(S19:S26)&amp;"误差"&amp;ROUND(SUM(S19:S26)-E3,2))</f>
        <v>21278.6</v>
      </c>
    </row>
    <row r="28" spans="1:19" ht="14.4">
      <c r="A28" s="2251"/>
      <c r="B28" s="50" t="s">
        <v>1951</v>
      </c>
      <c r="C28" s="1252" t="s">
        <v>1952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1"/>
      <c r="B29" s="50" t="s">
        <v>1951</v>
      </c>
      <c r="C29" s="2255" t="s">
        <v>1953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1"/>
      <c r="B30" s="50"/>
      <c r="C30" s="2256" t="s">
        <v>1950</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57"/>
      <c r="B31" s="2258"/>
      <c r="C31" s="1000" t="s">
        <v>1954</v>
      </c>
      <c r="D31" s="728">
        <f>D27+D30</f>
        <v>8279.61</v>
      </c>
      <c r="E31" s="728">
        <f>E27+E30</f>
        <v>21278.6</v>
      </c>
      <c r="F31" s="729">
        <f>F27+F30</f>
        <v>21278.6</v>
      </c>
      <c r="G31" s="730">
        <f>G27+G30</f>
        <v>0</v>
      </c>
      <c r="H31" s="1385"/>
      <c r="I31" s="1385"/>
      <c r="J31" s="1385"/>
      <c r="K31" s="1385"/>
      <c r="L31" s="1385"/>
      <c r="M31" s="1385"/>
      <c r="N31" s="1385"/>
      <c r="O31" s="1385"/>
      <c r="P31" s="1385"/>
    </row>
    <row r="32" spans="1:19" ht="14.4">
      <c r="A32" s="2222"/>
      <c r="B32" s="2222" t="s">
        <v>1955</v>
      </c>
      <c r="C32" s="2222"/>
      <c r="D32" s="2222"/>
      <c r="E32" s="1267">
        <f>SUMIF(C19:C26,"*住宅*",E19:E26)</f>
        <v>21278.6</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4" sqref="S24"/>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8"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24" width="6.77734375" style="2263" customWidth="1"/>
    <col min="25" max="25" width="8.6640625" style="2263" customWidth="1"/>
    <col min="26" max="30" width="6.77734375" style="2263" customWidth="1"/>
    <col min="31" max="31" width="8" style="2263" customWidth="1"/>
    <col min="32" max="34" width="7.2187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1956</v>
      </c>
      <c r="B1" s="731"/>
      <c r="C1" s="1574"/>
      <c r="D1" s="2261"/>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 thickBot="1">
      <c r="A2" s="2264" t="s">
        <v>1957</v>
      </c>
      <c r="B2" s="1259">
        <f>项目基本情况!D3</f>
        <v>43699</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4.4"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1958</v>
      </c>
      <c r="B4" s="2269"/>
      <c r="C4" s="2270"/>
      <c r="D4" s="2271"/>
      <c r="E4" s="2270" t="s">
        <v>1959</v>
      </c>
      <c r="F4" s="2270"/>
      <c r="G4" s="2270"/>
      <c r="H4" s="2270"/>
      <c r="I4" s="2270"/>
      <c r="J4" s="2272"/>
      <c r="K4" s="2273"/>
      <c r="L4" s="2274"/>
      <c r="M4" s="2270"/>
      <c r="N4" s="2270" t="s">
        <v>1960</v>
      </c>
      <c r="O4" s="2270"/>
      <c r="P4" s="2270"/>
      <c r="Q4" s="2270"/>
      <c r="R4" s="2270"/>
      <c r="S4" s="2272"/>
      <c r="T4" s="2275" t="str">
        <f>'数据-汇总表'!I17</f>
        <v>按面积比例</v>
      </c>
      <c r="U4" s="2269" t="s">
        <v>1961</v>
      </c>
      <c r="V4" s="2270"/>
      <c r="W4" s="2270"/>
      <c r="X4" s="2270"/>
      <c r="Y4" s="2272"/>
      <c r="Z4" s="2233" t="s">
        <v>1962</v>
      </c>
      <c r="AA4" s="2233"/>
      <c r="AB4" s="2233"/>
      <c r="AC4" s="2233"/>
      <c r="AD4" s="2233"/>
      <c r="AE4" s="2231" t="s">
        <v>1963</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57.6">
      <c r="A5" s="2277" t="s">
        <v>1964</v>
      </c>
      <c r="B5" s="2278" t="s">
        <v>1965</v>
      </c>
      <c r="C5" s="2279" t="s">
        <v>1966</v>
      </c>
      <c r="D5" s="2280" t="s">
        <v>1967</v>
      </c>
      <c r="E5" s="1261" t="s">
        <v>1968</v>
      </c>
      <c r="F5" s="2281" t="s">
        <v>1969</v>
      </c>
      <c r="G5" s="1261" t="s">
        <v>1970</v>
      </c>
      <c r="H5" s="1261" t="s">
        <v>1971</v>
      </c>
      <c r="I5" s="1261" t="s">
        <v>1972</v>
      </c>
      <c r="J5" s="2282" t="s">
        <v>1973</v>
      </c>
      <c r="K5" s="2283" t="s">
        <v>1974</v>
      </c>
      <c r="L5" s="2284" t="s">
        <v>1975</v>
      </c>
      <c r="M5" s="2285" t="s">
        <v>1976</v>
      </c>
      <c r="N5" s="2286" t="s">
        <v>3656</v>
      </c>
      <c r="O5" s="2284" t="s">
        <v>1977</v>
      </c>
      <c r="P5" s="2287" t="s">
        <v>1978</v>
      </c>
      <c r="Q5" s="69" t="s">
        <v>1979</v>
      </c>
      <c r="R5" s="2288" t="s">
        <v>1980</v>
      </c>
      <c r="S5" s="2289" t="s">
        <v>1981</v>
      </c>
      <c r="T5" s="2290" t="s">
        <v>1982</v>
      </c>
      <c r="U5" s="1260" t="s">
        <v>1983</v>
      </c>
      <c r="V5" s="1261" t="s">
        <v>1984</v>
      </c>
      <c r="W5" s="1261" t="s">
        <v>1985</v>
      </c>
      <c r="X5" s="71"/>
      <c r="Y5" s="70" t="s">
        <v>1986</v>
      </c>
      <c r="Z5" s="2291" t="s">
        <v>1983</v>
      </c>
      <c r="AA5" s="1261" t="s">
        <v>1984</v>
      </c>
      <c r="AB5" s="1261" t="s">
        <v>1985</v>
      </c>
      <c r="AC5" s="71"/>
      <c r="AD5" s="71" t="s">
        <v>1986</v>
      </c>
      <c r="AE5" s="1260" t="s">
        <v>1987</v>
      </c>
      <c r="AF5" s="1261" t="s">
        <v>1988</v>
      </c>
      <c r="AG5" s="70" t="s">
        <v>1989</v>
      </c>
      <c r="AH5" s="1260" t="s">
        <v>1990</v>
      </c>
      <c r="AI5" s="2291" t="s">
        <v>1991</v>
      </c>
      <c r="AJ5" s="2291" t="s">
        <v>1992</v>
      </c>
      <c r="AK5" s="1261" t="s">
        <v>1993</v>
      </c>
      <c r="AL5" s="1261" t="s">
        <v>1994</v>
      </c>
      <c r="AM5" s="70" t="s">
        <v>1995</v>
      </c>
      <c r="AN5" s="2292" t="s">
        <v>1996</v>
      </c>
      <c r="AO5" s="2063" t="s">
        <v>1997</v>
      </c>
      <c r="AP5" s="1242" t="s">
        <v>1998</v>
      </c>
      <c r="AQ5" s="2293" t="s">
        <v>1999</v>
      </c>
      <c r="AR5" s="2293" t="s">
        <v>2000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3.8">
      <c r="A6" s="2294" t="str">
        <f>'数据-汇总表'!C19</f>
        <v>洋房住宅</v>
      </c>
      <c r="B6" s="2295" t="str">
        <f>IF(A6=0,"","经营性")</f>
        <v>经营性</v>
      </c>
      <c r="C6" s="2296" t="s">
        <v>3062</v>
      </c>
      <c r="D6" s="1044">
        <f>SUMIF(项目基本情况!D$12:I$12,C6,项目基本情况!D$14:I$14)</f>
        <v>70</v>
      </c>
      <c r="E6" s="1041">
        <f>IF(B6="","",SUMIF(项目基本情况!D$12:I$12,C6,项目基本情况!D$13:I$13))</f>
        <v>68392</v>
      </c>
      <c r="F6" s="72">
        <f>SUMIF(项目基本情况!D$12:I$12,C6,项目基本情况!D$15:I$15)</f>
        <v>67.650000000000006</v>
      </c>
      <c r="G6" s="73">
        <f>IF(ISERROR(ROUND(POWER(1+H6,D6-F6)*(POWER(1+H6,F6)-1)/(POWER(1+H6,D6)-1),3)),0,ROUND(POWER(1+H6,D6-F6)*(POWER(1+H6,F6)-1)/(POWER(1+H6,D6)-1),3))</f>
        <v>0.99299999999999999</v>
      </c>
      <c r="H6" s="800">
        <v>0.04</v>
      </c>
      <c r="I6" s="800">
        <v>4.4999999999999998E-2</v>
      </c>
      <c r="J6" s="74">
        <v>8.5000000000000006E-2</v>
      </c>
      <c r="K6" s="1244">
        <f>SUMIF('数据-汇总表'!C$19:C$33,A6,'数据-汇总表'!E$19:E$33)</f>
        <v>7966.26</v>
      </c>
      <c r="L6" s="801">
        <v>3200</v>
      </c>
      <c r="M6" s="75">
        <f t="shared" ref="M6:M14" si="0">ROUND(K6*L6/10000,0)</f>
        <v>2549</v>
      </c>
      <c r="N6" s="2990">
        <v>1</v>
      </c>
      <c r="O6" s="75" t="str">
        <f>IF($N$5="成新度","——",ROUND(M6*N6,0))</f>
        <v>——</v>
      </c>
      <c r="P6" s="76" t="str">
        <f>IF($N$5="成新度","——",M6-O6)</f>
        <v>——</v>
      </c>
      <c r="Q6" s="802">
        <v>0.15</v>
      </c>
      <c r="R6" s="77">
        <f ca="1">SUMIF('数据-汇总表'!C$19:C$33,A6,'数据-汇总表'!R$19:R$27)</f>
        <v>3099.71</v>
      </c>
      <c r="S6" s="54">
        <f>IF('数据-汇总表'!$I$17="按面积比例",SUMIF('数据-汇总表'!C$19:C$33,A6,'数据-汇总表'!K$19:K$33),SUMIF('数据-汇总表'!C$19:C$33,A6,'数据-汇总表'!N$19:N$33))</f>
        <v>0</v>
      </c>
      <c r="T6" s="1436">
        <f>ROUND($L$14*S6/10000,0)</f>
        <v>0</v>
      </c>
      <c r="U6" s="78">
        <v>1.1000000000000001</v>
      </c>
      <c r="V6" s="79">
        <v>0.03</v>
      </c>
      <c r="W6" s="79">
        <v>0.1</v>
      </c>
      <c r="X6" s="1254"/>
      <c r="Y6" s="80">
        <v>1</v>
      </c>
      <c r="Z6" s="81"/>
      <c r="AA6" s="74"/>
      <c r="AB6" s="74"/>
      <c r="AC6" s="1254"/>
      <c r="AD6" s="82"/>
      <c r="AE6" s="1255">
        <f ca="1">IF(AN6="",0,SUMIF(INDIRECT("'"&amp;AN6&amp;"'"&amp;"!E:E"),$AE$5,INDIRECT("'"&amp;AN6&amp;"'"&amp;"!F:F")))</f>
        <v>67.650000000000006</v>
      </c>
      <c r="AF6" s="1797"/>
      <c r="AG6" s="146">
        <f>IF(AF6="",0,AE6-AF6)</f>
        <v>0</v>
      </c>
      <c r="AH6" s="83"/>
      <c r="AI6" s="85">
        <v>365</v>
      </c>
      <c r="AJ6" s="86"/>
      <c r="AK6" s="87">
        <v>1.4999999999999999E-2</v>
      </c>
      <c r="AL6" s="88">
        <v>1.5E-3</v>
      </c>
      <c r="AM6" s="89">
        <v>0.01</v>
      </c>
      <c r="AN6" s="2297" t="s">
        <v>3659</v>
      </c>
      <c r="AO6" s="55">
        <f ca="1">SUMIF(INDIRECT("'"&amp;AN6&amp;"'"&amp;"!A:A"),"总价",INDIRECT("'"&amp;AN6&amp;"'"&amp;"!B:B"))</f>
        <v>7113</v>
      </c>
      <c r="AP6" s="2298">
        <f>IF(C6="住宅",K6*L6,0)</f>
        <v>25492032</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3.8">
      <c r="A7" s="2294" t="str">
        <f>'数据-汇总表'!C20</f>
        <v>高层住宅</v>
      </c>
      <c r="B7" s="2295" t="str">
        <f t="shared" ref="B7:B13" si="1">IF(A7=0,"","经营性")</f>
        <v>经营性</v>
      </c>
      <c r="C7" s="2296" t="s">
        <v>3062</v>
      </c>
      <c r="D7" s="1044">
        <f>SUMIF(项目基本情况!D$12:I$12,C7,项目基本情况!D$14:I$14)</f>
        <v>70</v>
      </c>
      <c r="E7" s="1041">
        <f>IF(B7="","",SUMIF(项目基本情况!D$12:I$12,C7,项目基本情况!D$13:I$13))</f>
        <v>68392</v>
      </c>
      <c r="F7" s="72">
        <f>SUMIF(项目基本情况!D$12:I$12,C7,项目基本情况!D$15:I$15)</f>
        <v>67.650000000000006</v>
      </c>
      <c r="G7" s="73">
        <f t="shared" ref="G7:G11" si="2">IF(ISERROR(ROUND(POWER(1+H7,D7-F7)*(POWER(1+H7,F7)-1)/(POWER(1+H7,D7)-1),3)),0,ROUND(POWER(1+H7,D7-F7)*(POWER(1+H7,F7)-1)/(POWER(1+H7,D7)-1),3))</f>
        <v>0.99299999999999999</v>
      </c>
      <c r="H7" s="800">
        <v>0.04</v>
      </c>
      <c r="I7" s="800">
        <v>4.4999999999999998E-2</v>
      </c>
      <c r="J7" s="74">
        <f>J6</f>
        <v>8.5000000000000006E-2</v>
      </c>
      <c r="K7" s="1244">
        <f>SUMIF('数据-汇总表'!C$19:C$33,A7,'数据-汇总表'!E$19:E$33)</f>
        <v>13312.34</v>
      </c>
      <c r="L7" s="801">
        <v>3000</v>
      </c>
      <c r="M7" s="75">
        <f t="shared" si="0"/>
        <v>3994</v>
      </c>
      <c r="N7" s="2990">
        <v>1</v>
      </c>
      <c r="O7" s="75" t="str">
        <f t="shared" ref="O7:O14" si="3">IF($N$5="成新度","——",ROUND(M7*N7,0))</f>
        <v>——</v>
      </c>
      <c r="P7" s="76" t="str">
        <f t="shared" ref="P7:P14" si="4">IF($N$5="成新度","——",M7-O7)</f>
        <v>——</v>
      </c>
      <c r="Q7" s="802">
        <v>0.1</v>
      </c>
      <c r="R7" s="77">
        <f ca="1">SUMIF('数据-汇总表'!C$19:C$33,A7,'数据-汇总表'!R$19:R$27)</f>
        <v>5179.8999999999996</v>
      </c>
      <c r="S7" s="54">
        <f>IF('数据-汇总表'!$I$17="按面积比例",SUMIF('数据-汇总表'!C$19:C$33,A7,'数据-汇总表'!K$19:K$33),SUMIF('数据-汇总表'!C$19:C$33,A7,'数据-汇总表'!N$19:N$33))</f>
        <v>0</v>
      </c>
      <c r="T7" s="1436">
        <f t="shared" ref="T7:T13" si="5">ROUND($L$14*S7/10000,0)</f>
        <v>0</v>
      </c>
      <c r="U7" s="78">
        <v>0.9</v>
      </c>
      <c r="V7" s="79">
        <f>V6</f>
        <v>0.03</v>
      </c>
      <c r="W7" s="79">
        <f>W6</f>
        <v>0.1</v>
      </c>
      <c r="X7" s="1254"/>
      <c r="Y7" s="80">
        <v>1</v>
      </c>
      <c r="Z7" s="81"/>
      <c r="AA7" s="74"/>
      <c r="AB7" s="74"/>
      <c r="AC7" s="1254"/>
      <c r="AD7" s="82"/>
      <c r="AE7" s="1255">
        <f t="shared" ref="AE7:AE13" ca="1" si="6">IF(AN7="",0,SUMIF(INDIRECT("'"&amp;AN7&amp;"'"&amp;"!E:E"),$AE$5,INDIRECT("'"&amp;AN7&amp;"'"&amp;"!F:F")))</f>
        <v>67.650000000000006</v>
      </c>
      <c r="AF7" s="1797"/>
      <c r="AG7" s="146">
        <f t="shared" ref="AG7:AG13" si="7">IF(AF7="",0,AE7-AF7)</f>
        <v>0</v>
      </c>
      <c r="AH7" s="83"/>
      <c r="AI7" s="85">
        <v>365</v>
      </c>
      <c r="AJ7" s="86"/>
      <c r="AK7" s="87">
        <v>1.4999999999999999E-2</v>
      </c>
      <c r="AL7" s="88">
        <v>1.5E-3</v>
      </c>
      <c r="AM7" s="89">
        <v>0.01</v>
      </c>
      <c r="AN7" s="2297" t="s">
        <v>3657</v>
      </c>
      <c r="AO7" s="55">
        <f t="shared" ref="AO7:AO13" ca="1" si="8">SUMIF(INDIRECT("'"&amp;AN7&amp;"'"&amp;"!A:A"),"总价",INDIRECT("'"&amp;AN7&amp;"'"&amp;"!B:B"))</f>
        <v>9360</v>
      </c>
      <c r="AP7" s="2298">
        <f t="shared" ref="AP7:AP13" si="9">IF(C7="住宅",K7*L7,0)</f>
        <v>39937020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3.8">
      <c r="A8" s="2294">
        <f>'数据-汇总表'!C21</f>
        <v>0</v>
      </c>
      <c r="B8" s="2295" t="str">
        <f t="shared" si="1"/>
        <v/>
      </c>
      <c r="C8" s="2296"/>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2964"/>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78"/>
      <c r="V8" s="79"/>
      <c r="W8" s="79"/>
      <c r="X8" s="1254"/>
      <c r="Y8" s="803"/>
      <c r="Z8" s="81"/>
      <c r="AA8" s="74"/>
      <c r="AB8" s="74"/>
      <c r="AC8" s="1254"/>
      <c r="AD8" s="82"/>
      <c r="AE8" s="1255">
        <f t="shared" ca="1" si="6"/>
        <v>0</v>
      </c>
      <c r="AF8" s="1797"/>
      <c r="AG8" s="146">
        <f t="shared" si="7"/>
        <v>0</v>
      </c>
      <c r="AH8" s="804"/>
      <c r="AI8" s="85"/>
      <c r="AJ8" s="86"/>
      <c r="AK8" s="87"/>
      <c r="AL8" s="88"/>
      <c r="AM8" s="89"/>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3.8">
      <c r="A9" s="2294">
        <f>'数据-汇总表'!C22</f>
        <v>0</v>
      </c>
      <c r="B9" s="2295" t="str">
        <f t="shared" si="1"/>
        <v/>
      </c>
      <c r="C9" s="2296"/>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296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7"/>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3.8">
      <c r="A10" s="2294">
        <f>'数据-汇总表'!C23</f>
        <v>0</v>
      </c>
      <c r="B10" s="2295" t="str">
        <f t="shared" si="1"/>
        <v/>
      </c>
      <c r="C10" s="2296"/>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296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3.8">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2965"/>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2"/>
      <c r="AA11" s="74"/>
      <c r="AB11" s="74"/>
      <c r="AC11" s="1254"/>
      <c r="AD11" s="82"/>
      <c r="AE11" s="1255">
        <f t="shared" ca="1" si="6"/>
        <v>0</v>
      </c>
      <c r="AF11" s="1797"/>
      <c r="AG11" s="146">
        <f t="shared" si="7"/>
        <v>0</v>
      </c>
      <c r="AH11" s="83"/>
      <c r="AI11" s="85"/>
      <c r="AJ11" s="86"/>
      <c r="AK11" s="93"/>
      <c r="AL11" s="94"/>
      <c r="AM11" s="95"/>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3.8">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2965"/>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2"/>
      <c r="AA12" s="74"/>
      <c r="AB12" s="74"/>
      <c r="AC12" s="1254"/>
      <c r="AD12" s="82"/>
      <c r="AE12" s="1255">
        <f t="shared" ca="1" si="6"/>
        <v>0</v>
      </c>
      <c r="AF12" s="1797"/>
      <c r="AG12" s="146">
        <f t="shared" si="7"/>
        <v>0</v>
      </c>
      <c r="AH12" s="83"/>
      <c r="AI12" s="85"/>
      <c r="AJ12" s="86"/>
      <c r="AK12" s="93"/>
      <c r="AL12" s="94"/>
      <c r="AM12" s="95"/>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3.8">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2965"/>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4">
      <c r="A14" s="2299" t="s">
        <v>2001</v>
      </c>
      <c r="B14" s="2295" t="s">
        <v>2002</v>
      </c>
      <c r="C14" s="2300" t="s">
        <v>2001</v>
      </c>
      <c r="D14" s="1044"/>
      <c r="E14" s="1041"/>
      <c r="F14" s="72"/>
      <c r="G14" s="73"/>
      <c r="H14" s="1243"/>
      <c r="I14" s="1243"/>
      <c r="J14" s="1243"/>
      <c r="K14" s="1244">
        <f>SUMIF('数据-汇总表'!C$19:C$33,A14,'数据-汇总表'!E$19:E$33)</f>
        <v>0</v>
      </c>
      <c r="L14" s="91"/>
      <c r="M14" s="75">
        <f t="shared" si="0"/>
        <v>0</v>
      </c>
      <c r="N14" s="2965"/>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6"/>
      <c r="AH14" s="1255"/>
      <c r="AI14" s="1808"/>
      <c r="AJ14" s="772"/>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8.8">
      <c r="A15" s="2299" t="s">
        <v>2003</v>
      </c>
      <c r="B15" s="2295" t="s">
        <v>2002</v>
      </c>
      <c r="C15" s="2300" t="s">
        <v>2004</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6"/>
      <c r="AH15" s="1255"/>
      <c r="AI15" s="1808"/>
      <c r="AJ15" s="772"/>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 thickBot="1">
      <c r="A16" s="2301" t="s">
        <v>2005</v>
      </c>
      <c r="B16" s="96"/>
      <c r="C16" s="998"/>
      <c r="D16" s="2302"/>
      <c r="E16" s="96"/>
      <c r="F16" s="96"/>
      <c r="G16" s="97">
        <f>ROUND(SUMPRODUCT(G6:G13,K6:K13)/SUMPRODUCT((G6:G13&gt;0)*(K6:K13)),3)</f>
        <v>0.99299999999999999</v>
      </c>
      <c r="H16" s="98">
        <f>ROUND(SUMPRODUCT(H6:H13,K6:K13)/SUMPRODUCT((H6:H13&gt;0)*(K6:K13)),3)</f>
        <v>0.04</v>
      </c>
      <c r="I16" s="99"/>
      <c r="J16" s="99"/>
      <c r="K16" s="100">
        <f>SUM(K6:K15)</f>
        <v>21278.6</v>
      </c>
      <c r="L16" s="101">
        <f>ROUND(M16*10000/SUM(K6:K14),0)</f>
        <v>3075</v>
      </c>
      <c r="M16" s="101">
        <f>SUM(M6:M14)</f>
        <v>6543</v>
      </c>
      <c r="N16" s="102">
        <f>ROUND(SUMPRODUCT(M6:M14,N6:N14)/M16,3)</f>
        <v>1</v>
      </c>
      <c r="O16" s="101">
        <f>SUM(O6:O14)</f>
        <v>0</v>
      </c>
      <c r="P16" s="101">
        <f>SUM(P6:P14)</f>
        <v>0</v>
      </c>
      <c r="Q16" s="103">
        <f>ROUND(SUMPRODUCT(Q6:Q13,K6:K13)/SUMPRODUCT((Q6:Q13&gt;0)*(K6:K13)),2)</f>
        <v>0.12</v>
      </c>
      <c r="R16" s="1248">
        <f ca="1">SUM(R6:R13)</f>
        <v>8279.61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74"/>
      <c r="D17" s="2261"/>
      <c r="E17" s="2261"/>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2006</v>
      </c>
      <c r="B18" s="2268"/>
      <c r="C18" s="2265"/>
      <c r="D18" s="2266"/>
      <c r="E18" s="2265"/>
      <c r="F18" s="2265"/>
      <c r="G18" s="2265"/>
      <c r="H18" s="2265"/>
      <c r="I18" s="2265"/>
      <c r="J18" s="2265"/>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4" t="s">
        <v>2007</v>
      </c>
      <c r="B19" s="111">
        <v>0</v>
      </c>
      <c r="C19" s="2265" t="s">
        <v>2008</v>
      </c>
      <c r="D19" s="2266"/>
      <c r="E19" s="2265"/>
      <c r="F19" s="2265"/>
      <c r="G19" s="2265"/>
      <c r="H19" s="2265"/>
      <c r="I19" s="2265"/>
      <c r="J19" s="2265"/>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5" t="s">
        <v>2009</v>
      </c>
      <c r="B20" s="112">
        <v>2</v>
      </c>
      <c r="C20" s="2265" t="s">
        <v>2010</v>
      </c>
      <c r="D20" s="2266"/>
      <c r="E20" s="2265"/>
      <c r="F20" s="2265"/>
      <c r="G20" s="2265"/>
      <c r="H20" s="2265"/>
      <c r="I20" s="2265"/>
      <c r="J20" s="2265"/>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6" t="s">
        <v>2011</v>
      </c>
      <c r="B21" s="112">
        <v>2</v>
      </c>
      <c r="C21" s="2265"/>
      <c r="D21" s="2266"/>
      <c r="E21" s="2265"/>
      <c r="F21" s="2265"/>
      <c r="G21" s="2265"/>
      <c r="H21" s="2265"/>
      <c r="I21" s="2265"/>
      <c r="J21" s="2265"/>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5" t="s">
        <v>2012</v>
      </c>
      <c r="B22" s="113">
        <f>B19+B20</f>
        <v>2</v>
      </c>
      <c r="C22" s="2265"/>
      <c r="D22" s="2266"/>
      <c r="E22" s="2265"/>
      <c r="F22" s="2265"/>
      <c r="G22" s="2265"/>
      <c r="H22" s="2265"/>
      <c r="I22" s="2265"/>
      <c r="J22" s="2265"/>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6" t="s">
        <v>2013</v>
      </c>
      <c r="B23" s="113">
        <f>B19+B21</f>
        <v>2</v>
      </c>
      <c r="C23" s="2265"/>
      <c r="D23" s="2266"/>
      <c r="E23" s="2265"/>
      <c r="F23" s="2265"/>
      <c r="G23" s="2265"/>
      <c r="H23" s="2265"/>
      <c r="I23" s="2265"/>
      <c r="J23" s="2265"/>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2014</v>
      </c>
      <c r="B24" s="114">
        <f>B20-B21</f>
        <v>0</v>
      </c>
      <c r="C24" s="2265"/>
      <c r="D24" s="2266"/>
      <c r="E24" s="2265"/>
      <c r="F24" s="2265"/>
      <c r="G24" s="2265"/>
      <c r="H24" s="2265"/>
      <c r="I24" s="2265"/>
      <c r="J24" s="2265"/>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1"/>
      <c r="B25" s="2268"/>
      <c r="C25" s="2265"/>
      <c r="D25" s="2266"/>
      <c r="E25" s="2265"/>
      <c r="F25" s="2265"/>
      <c r="G25" s="2265"/>
      <c r="H25" s="2265"/>
      <c r="I25" s="2265"/>
      <c r="J25" s="2265"/>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2015</v>
      </c>
      <c r="B26" s="2308" t="s">
        <v>2016</v>
      </c>
      <c r="C26" s="2309" t="s">
        <v>2017</v>
      </c>
      <c r="D26" s="2266"/>
      <c r="E26" s="2265"/>
      <c r="F26" s="2265"/>
      <c r="G26" s="2265"/>
      <c r="H26" s="2265"/>
      <c r="I26" s="2265"/>
      <c r="J26" s="2265"/>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8.8">
      <c r="A27" s="2310" t="s">
        <v>2018</v>
      </c>
      <c r="B27" s="115">
        <v>0</v>
      </c>
      <c r="C27" s="1757" t="s">
        <v>2019</v>
      </c>
      <c r="D27" s="2311"/>
      <c r="E27" s="1420"/>
      <c r="F27" s="1420"/>
      <c r="G27" s="2265"/>
      <c r="H27" s="2265"/>
      <c r="I27" s="2265"/>
      <c r="J27" s="2265"/>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8.8">
      <c r="A28" s="2313" t="s">
        <v>2020</v>
      </c>
      <c r="B28" s="118">
        <v>0</v>
      </c>
      <c r="C28" s="2314"/>
      <c r="D28" s="2311"/>
      <c r="E28" s="1420"/>
      <c r="F28" s="1420"/>
      <c r="G28" s="2265"/>
      <c r="H28" s="2265"/>
      <c r="I28" s="2265"/>
      <c r="J28" s="2265"/>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9.4" thickBot="1">
      <c r="A29" s="2315" t="s">
        <v>2021</v>
      </c>
      <c r="B29" s="120">
        <f ca="1">成本法!C9+成本法!C10</f>
        <v>0</v>
      </c>
      <c r="C29" s="1757" t="s">
        <v>2022</v>
      </c>
      <c r="D29" s="2311"/>
      <c r="E29" s="1420"/>
      <c r="F29" s="1420"/>
      <c r="G29" s="2265"/>
      <c r="H29" s="2265"/>
      <c r="I29" s="2265"/>
      <c r="J29" s="2265"/>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8.8">
      <c r="A30" s="2316" t="s">
        <v>2023</v>
      </c>
      <c r="B30" s="723">
        <v>200</v>
      </c>
      <c r="C30" s="2314"/>
      <c r="D30" s="2311"/>
      <c r="E30" s="1420"/>
      <c r="F30" s="1420"/>
      <c r="G30" s="2265"/>
      <c r="H30" s="2265"/>
      <c r="I30" s="2265"/>
      <c r="J30" s="2265"/>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8.8">
      <c r="A31" s="2313" t="s">
        <v>2024</v>
      </c>
      <c r="B31" s="119">
        <f>B30-B32</f>
        <v>200</v>
      </c>
      <c r="C31" s="1757"/>
      <c r="D31" s="2311"/>
      <c r="E31" s="1420"/>
      <c r="F31" s="1420"/>
      <c r="G31" s="2265"/>
      <c r="H31" s="2265"/>
      <c r="I31" s="2265"/>
      <c r="J31" s="2265"/>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9.4" thickBot="1">
      <c r="A32" s="2317" t="s">
        <v>2025</v>
      </c>
      <c r="B32" s="724">
        <v>0</v>
      </c>
      <c r="C32" s="2314"/>
      <c r="D32" s="2266"/>
      <c r="E32" s="2265"/>
      <c r="F32" s="2265"/>
      <c r="G32" s="2265"/>
      <c r="H32" s="2265"/>
      <c r="I32" s="2265"/>
      <c r="J32" s="2265"/>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4">
      <c r="A33" s="2310" t="s">
        <v>2026</v>
      </c>
      <c r="B33" s="725">
        <v>0.03</v>
      </c>
      <c r="C33" s="1756" t="s">
        <v>2027</v>
      </c>
      <c r="D33" s="2266"/>
      <c r="E33" s="2265"/>
      <c r="F33" s="2265"/>
      <c r="G33" s="2265"/>
      <c r="H33" s="2265"/>
      <c r="I33" s="2265"/>
      <c r="J33" s="2265"/>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4">
      <c r="A34" s="2313" t="s">
        <v>2028</v>
      </c>
      <c r="B34" s="121">
        <v>0.03</v>
      </c>
      <c r="C34" s="1756" t="s">
        <v>2029</v>
      </c>
      <c r="D34" s="2266" t="s">
        <v>2030</v>
      </c>
      <c r="E34" s="731"/>
      <c r="F34" s="2265"/>
      <c r="G34" s="2265"/>
      <c r="H34" s="2265"/>
      <c r="I34" s="2265"/>
      <c r="J34" s="2265"/>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4">
      <c r="A35" s="2313" t="s">
        <v>2031</v>
      </c>
      <c r="B35" s="118">
        <v>200</v>
      </c>
      <c r="C35" s="1756" t="s">
        <v>2032</v>
      </c>
      <c r="D35" s="2311"/>
      <c r="E35" s="1420"/>
      <c r="F35" s="1420"/>
      <c r="G35" s="2265"/>
      <c r="H35" s="2265"/>
      <c r="I35" s="2265"/>
      <c r="J35" s="2265"/>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2033</v>
      </c>
      <c r="B36" s="122">
        <v>1.4999999999999999E-2</v>
      </c>
      <c r="C36" s="1756" t="s">
        <v>2034</v>
      </c>
      <c r="D36" s="2266"/>
      <c r="E36" s="2265"/>
      <c r="F36" s="2265"/>
      <c r="G36" s="2265"/>
      <c r="H36" s="2265"/>
      <c r="I36" s="2265"/>
      <c r="J36" s="2265"/>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6" t="s">
        <v>2035</v>
      </c>
      <c r="B37" s="123">
        <v>1.4999999999999999E-2</v>
      </c>
      <c r="C37" s="1756" t="s">
        <v>2036</v>
      </c>
      <c r="D37" s="2266"/>
      <c r="E37" s="2265"/>
      <c r="F37" s="2265"/>
      <c r="G37" s="2265"/>
      <c r="H37" s="2265"/>
      <c r="I37" s="2265"/>
      <c r="J37" s="2265"/>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3" t="s">
        <v>2037</v>
      </c>
      <c r="B38" s="121">
        <v>0.02</v>
      </c>
      <c r="C38" s="1756" t="s">
        <v>2036</v>
      </c>
      <c r="D38" s="2266"/>
      <c r="E38" s="2265"/>
      <c r="F38" s="2265"/>
      <c r="G38" s="2265"/>
      <c r="H38" s="2265"/>
      <c r="I38" s="2265"/>
      <c r="J38" s="2265"/>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7" t="s">
        <v>2038</v>
      </c>
      <c r="B39" s="361">
        <f ca="1">存贷款利率!I1</f>
        <v>1.4999999999999999E-2</v>
      </c>
      <c r="C39" s="1756"/>
      <c r="D39" s="2266"/>
      <c r="E39" s="2265"/>
      <c r="F39" s="2265"/>
      <c r="G39" s="2265"/>
      <c r="H39" s="2265"/>
      <c r="I39" s="2265"/>
      <c r="J39" s="2265"/>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2039</v>
      </c>
      <c r="B40" s="1293">
        <f ca="1">存贷款利率!G1</f>
        <v>4.7500000000000001E-2</v>
      </c>
      <c r="C40" s="1756" t="s">
        <v>2040</v>
      </c>
      <c r="D40" s="1574"/>
      <c r="E40" s="2266"/>
      <c r="F40" s="2265"/>
      <c r="G40" s="2265"/>
      <c r="H40" s="2265"/>
      <c r="I40" s="2265"/>
      <c r="J40" s="2265"/>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0" t="s">
        <v>2041</v>
      </c>
      <c r="B41" s="124">
        <f>B42+B43</f>
        <v>5.6000000000000001E-2</v>
      </c>
      <c r="C41" s="1757"/>
      <c r="D41" s="1574"/>
      <c r="E41" s="2266"/>
      <c r="F41" s="2265"/>
      <c r="G41" s="2265"/>
      <c r="H41" s="2265"/>
      <c r="I41" s="2265"/>
      <c r="J41" s="2265"/>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8" t="s">
        <v>2042</v>
      </c>
      <c r="B42" s="125">
        <v>0.05</v>
      </c>
      <c r="C42" s="2319">
        <f>IF(B2&lt;DATE(2016,5,1),0,B42)</f>
        <v>0.05</v>
      </c>
      <c r="D42" s="2266"/>
      <c r="E42" s="2265"/>
      <c r="F42" s="2265"/>
      <c r="G42" s="2265"/>
      <c r="H42" s="2265"/>
      <c r="I42" s="2265"/>
      <c r="J42" s="2265"/>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8" t="s">
        <v>2043</v>
      </c>
      <c r="B43" s="126">
        <f>B42*(B44+B45+B46)+B47</f>
        <v>6.000000000000001E-3</v>
      </c>
      <c r="C43" s="1757"/>
      <c r="D43" s="2266"/>
      <c r="E43" s="2265"/>
      <c r="F43" s="2265"/>
      <c r="G43" s="2265"/>
      <c r="H43" s="2265"/>
      <c r="I43" s="2265"/>
      <c r="J43" s="2265"/>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0" t="s">
        <v>2044</v>
      </c>
      <c r="B44" s="127">
        <v>7.0000000000000007E-2</v>
      </c>
      <c r="C44" s="1756" t="s">
        <v>2045</v>
      </c>
      <c r="D44" s="2266"/>
      <c r="E44" s="2265"/>
      <c r="F44" s="2265"/>
      <c r="G44" s="2265"/>
      <c r="H44" s="2265"/>
      <c r="I44" s="2265"/>
      <c r="J44" s="2265"/>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0" t="s">
        <v>2046</v>
      </c>
      <c r="B45" s="125">
        <v>0.03</v>
      </c>
      <c r="C45" s="1757" t="s">
        <v>2047</v>
      </c>
      <c r="D45" s="2266"/>
      <c r="E45" s="2265"/>
      <c r="F45" s="2265"/>
      <c r="G45" s="2265"/>
      <c r="H45" s="2265"/>
      <c r="I45" s="2265"/>
      <c r="J45" s="2265"/>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0" t="s">
        <v>2048</v>
      </c>
      <c r="B46" s="125">
        <v>0.02</v>
      </c>
      <c r="C46" s="1757" t="s">
        <v>2049</v>
      </c>
      <c r="D46" s="2266"/>
      <c r="E46" s="2265"/>
      <c r="F46" s="2265"/>
      <c r="G46" s="2265"/>
      <c r="H46" s="2265"/>
      <c r="I46" s="2265"/>
      <c r="J46" s="2265"/>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2050</v>
      </c>
      <c r="B47" s="128"/>
      <c r="C47" s="1757" t="s">
        <v>2051</v>
      </c>
      <c r="D47" s="2266"/>
      <c r="E47" s="2265"/>
      <c r="F47" s="2265"/>
      <c r="G47" s="2265"/>
      <c r="H47" s="2265"/>
      <c r="I47" s="2265"/>
      <c r="J47" s="2265"/>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2" t="s">
        <v>2052</v>
      </c>
      <c r="B48" s="129">
        <v>0.03</v>
      </c>
      <c r="C48" s="1764" t="s">
        <v>2053</v>
      </c>
      <c r="D48" s="2266"/>
      <c r="E48" s="2265"/>
      <c r="F48" s="2265"/>
      <c r="G48" s="2265"/>
      <c r="H48" s="2265"/>
      <c r="I48" s="2265"/>
      <c r="J48" s="2265"/>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2054</v>
      </c>
      <c r="B49" s="125">
        <v>5.0000000000000001E-4</v>
      </c>
      <c r="C49" s="1764" t="s">
        <v>2055</v>
      </c>
      <c r="D49" s="2266"/>
      <c r="E49" s="2265"/>
      <c r="F49" s="2265"/>
      <c r="G49" s="2265"/>
      <c r="H49" s="2265"/>
      <c r="I49" s="2265"/>
      <c r="J49" s="2265"/>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3" t="s">
        <v>2056</v>
      </c>
      <c r="B50" s="130">
        <v>1.2E-2</v>
      </c>
      <c r="C50" s="1420"/>
      <c r="D50" s="2266"/>
      <c r="E50" s="2265"/>
      <c r="F50" s="2265"/>
      <c r="G50" s="2265"/>
      <c r="H50" s="2265"/>
      <c r="I50" s="2265"/>
      <c r="J50" s="2265"/>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2057</v>
      </c>
      <c r="B51" s="131">
        <v>0.12</v>
      </c>
      <c r="C51" s="1420"/>
      <c r="D51" s="2266"/>
      <c r="E51" s="2265"/>
      <c r="F51" s="2265"/>
      <c r="G51" s="2265"/>
      <c r="H51" s="2265"/>
      <c r="I51" s="2265"/>
      <c r="J51" s="2265"/>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3" t="s">
        <v>2058</v>
      </c>
      <c r="B52" s="132">
        <f>SUMIF(A54:A63,B53,B54:B63)</f>
        <v>8</v>
      </c>
      <c r="C52" s="1420"/>
      <c r="D52" s="2266"/>
      <c r="E52" s="2265"/>
      <c r="F52" s="2265"/>
      <c r="G52" s="2265"/>
      <c r="H52" s="2265"/>
      <c r="I52" s="2265"/>
      <c r="J52" s="2265"/>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3" t="s">
        <v>2059</v>
      </c>
      <c r="B53" s="2324" t="s">
        <v>442</v>
      </c>
      <c r="C53" s="1420" t="s">
        <v>2060</v>
      </c>
      <c r="D53" s="2325" t="s">
        <v>2061</v>
      </c>
      <c r="E53" s="2265"/>
      <c r="F53" s="2265"/>
      <c r="G53" s="2265"/>
      <c r="H53" s="2265"/>
      <c r="I53" s="2265"/>
      <c r="J53" s="2265"/>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6" t="s">
        <v>2062</v>
      </c>
      <c r="B54" s="84"/>
      <c r="C54" s="1420">
        <v>30</v>
      </c>
      <c r="D54" s="2266"/>
      <c r="E54" s="2265"/>
      <c r="F54" s="2265"/>
      <c r="G54" s="2265"/>
      <c r="H54" s="2265"/>
      <c r="I54" s="2265"/>
      <c r="J54" s="2265"/>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6" t="s">
        <v>2063</v>
      </c>
      <c r="B55" s="84"/>
      <c r="C55" s="1420">
        <v>24</v>
      </c>
      <c r="D55" s="2266"/>
      <c r="E55" s="2265"/>
      <c r="F55" s="2265"/>
      <c r="G55" s="2265"/>
      <c r="H55" s="2265"/>
      <c r="I55" s="2327"/>
      <c r="J55" s="2265"/>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6" t="s">
        <v>2064</v>
      </c>
      <c r="B56" s="84">
        <v>8</v>
      </c>
      <c r="C56" s="1420">
        <v>18</v>
      </c>
      <c r="D56" s="2266"/>
      <c r="E56" s="2265"/>
      <c r="F56" s="2265"/>
      <c r="G56" s="2265"/>
      <c r="H56" s="2265"/>
      <c r="I56" s="2265"/>
      <c r="J56" s="2265"/>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6" t="s">
        <v>2065</v>
      </c>
      <c r="B57" s="84"/>
      <c r="C57" s="1420">
        <v>12</v>
      </c>
      <c r="D57" s="2266"/>
      <c r="E57" s="2265"/>
      <c r="F57" s="2265"/>
      <c r="G57" s="2265"/>
      <c r="H57" s="2265"/>
      <c r="I57" s="2265"/>
      <c r="J57" s="2265"/>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6" t="s">
        <v>2066</v>
      </c>
      <c r="B58" s="84"/>
      <c r="C58" s="1420">
        <v>3</v>
      </c>
      <c r="D58" s="2266"/>
      <c r="E58" s="2265"/>
      <c r="F58" s="2265"/>
      <c r="G58" s="2265"/>
      <c r="H58" s="2265"/>
      <c r="I58" s="2265"/>
      <c r="J58" s="2265"/>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6" t="s">
        <v>2067</v>
      </c>
      <c r="B59" s="84"/>
      <c r="C59" s="1420">
        <v>1.5</v>
      </c>
      <c r="D59" s="2266"/>
      <c r="E59" s="2265"/>
      <c r="F59" s="2265"/>
      <c r="G59" s="2265"/>
      <c r="H59" s="2265"/>
      <c r="I59" s="2265"/>
      <c r="J59" s="2265"/>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6" t="s">
        <v>2068</v>
      </c>
      <c r="B60" s="84"/>
      <c r="C60" s="2265"/>
      <c r="D60" s="2266"/>
      <c r="E60" s="2265"/>
      <c r="F60" s="2265"/>
      <c r="G60" s="2265"/>
      <c r="H60" s="2265"/>
      <c r="I60" s="2265"/>
      <c r="J60" s="2265"/>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6" t="s">
        <v>2069</v>
      </c>
      <c r="B61" s="84"/>
      <c r="C61" s="2265"/>
      <c r="D61" s="2266"/>
      <c r="E61" s="2265"/>
      <c r="F61" s="2265"/>
      <c r="G61" s="2265"/>
      <c r="H61" s="2265"/>
      <c r="I61" s="2265"/>
      <c r="J61" s="2265"/>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6" t="s">
        <v>2070</v>
      </c>
      <c r="B62" s="84"/>
      <c r="C62" s="2265"/>
      <c r="D62" s="2266"/>
      <c r="E62" s="2265"/>
      <c r="F62" s="2265"/>
      <c r="G62" s="2265"/>
      <c r="H62" s="2265"/>
      <c r="I62" s="2265"/>
      <c r="J62" s="2265"/>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2071</v>
      </c>
      <c r="B63" s="133"/>
      <c r="C63" s="2265"/>
      <c r="D63" s="2266"/>
      <c r="E63" s="2265"/>
      <c r="F63" s="2265"/>
      <c r="G63" s="2265"/>
      <c r="H63" s="2265"/>
      <c r="I63" s="2265"/>
      <c r="J63" s="2265"/>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9"/>
      <c r="D64" s="2330"/>
      <c r="K64" s="797"/>
      <c r="L64" s="797"/>
    </row>
    <row r="65" spans="1:12" s="957" customFormat="1">
      <c r="A65" s="2329"/>
      <c r="D65" s="2330"/>
      <c r="K65" s="797"/>
      <c r="L65" s="797"/>
    </row>
    <row r="66" spans="1:12" s="957" customFormat="1">
      <c r="A66" s="2329"/>
      <c r="D66" s="2330"/>
      <c r="K66" s="797"/>
      <c r="L66" s="797"/>
    </row>
    <row r="67" spans="1:12" s="957" customFormat="1">
      <c r="A67" s="2329"/>
      <c r="D67" s="2330"/>
      <c r="K67" s="797"/>
      <c r="L67" s="797"/>
    </row>
    <row r="68" spans="1:12" s="957" customFormat="1">
      <c r="A68" s="2329"/>
      <c r="D68" s="2330"/>
      <c r="K68" s="797"/>
      <c r="L68" s="797"/>
    </row>
    <row r="69" spans="1:12" s="957" customFormat="1">
      <c r="A69" s="2329"/>
      <c r="D69" s="2330"/>
      <c r="K69" s="797"/>
      <c r="L69" s="797"/>
    </row>
    <row r="70" spans="1:12" s="957" customFormat="1">
      <c r="A70" s="2329"/>
      <c r="D70" s="2330"/>
      <c r="K70" s="797"/>
      <c r="L70" s="797"/>
    </row>
    <row r="71" spans="1:12" s="957" customFormat="1">
      <c r="A71" s="2329"/>
      <c r="D71" s="2330"/>
      <c r="K71" s="797"/>
      <c r="L71" s="797"/>
    </row>
    <row r="72" spans="1:12" s="957" customFormat="1">
      <c r="A72" s="2329"/>
      <c r="D72" s="2330"/>
      <c r="K72" s="797"/>
      <c r="L72" s="797"/>
    </row>
    <row r="73" spans="1:12" s="957" customFormat="1">
      <c r="A73" s="2329"/>
      <c r="D73" s="2330"/>
      <c r="K73" s="797"/>
      <c r="L73" s="797"/>
    </row>
    <row r="74" spans="1:12" s="957" customFormat="1">
      <c r="A74" s="2329"/>
      <c r="D74" s="2330"/>
      <c r="K74" s="797"/>
      <c r="L74" s="797"/>
    </row>
    <row r="75" spans="1:12" s="957" customFormat="1">
      <c r="A75" s="2329"/>
      <c r="D75" s="2330"/>
      <c r="K75" s="797"/>
      <c r="L75" s="797"/>
    </row>
    <row r="76" spans="1:12" s="957" customFormat="1">
      <c r="A76" s="2329"/>
      <c r="D76" s="2330"/>
      <c r="K76" s="797"/>
      <c r="L76" s="797"/>
    </row>
    <row r="77" spans="1:12" s="957" customFormat="1">
      <c r="A77" s="2329"/>
      <c r="D77" s="2330"/>
      <c r="K77" s="797"/>
      <c r="L77" s="797"/>
    </row>
    <row r="78" spans="1:12" s="957" customFormat="1">
      <c r="A78" s="2329"/>
      <c r="D78" s="2330"/>
      <c r="K78" s="797"/>
      <c r="L78" s="797"/>
    </row>
    <row r="79" spans="1:12" s="957" customFormat="1">
      <c r="A79" s="2329"/>
      <c r="D79" s="2330"/>
      <c r="K79" s="797"/>
      <c r="L79" s="797"/>
    </row>
    <row r="80" spans="1:12" s="957" customFormat="1">
      <c r="A80" s="2329"/>
      <c r="D80" s="2330"/>
      <c r="K80" s="797"/>
      <c r="L80" s="797"/>
    </row>
    <row r="81" spans="1:12" s="957" customFormat="1">
      <c r="A81" s="2329"/>
      <c r="D81" s="2330"/>
      <c r="K81" s="797"/>
      <c r="L81" s="797"/>
    </row>
    <row r="82" spans="1:12" s="957" customFormat="1">
      <c r="A82" s="2329"/>
      <c r="D82" s="2330"/>
      <c r="K82" s="797"/>
      <c r="L82" s="797"/>
    </row>
    <row r="83" spans="1:12" s="957" customFormat="1">
      <c r="A83" s="2329"/>
      <c r="D83" s="2330"/>
      <c r="K83" s="797"/>
      <c r="L83" s="797"/>
    </row>
    <row r="84" spans="1:12" s="957" customFormat="1">
      <c r="A84" s="2329"/>
      <c r="D84" s="2330"/>
      <c r="K84" s="797"/>
      <c r="L84" s="797"/>
    </row>
    <row r="85" spans="1:12" s="957" customFormat="1">
      <c r="A85" s="2329"/>
      <c r="D85" s="2330"/>
      <c r="K85" s="797"/>
      <c r="L85" s="797"/>
    </row>
    <row r="86" spans="1:12" s="957" customFormat="1">
      <c r="A86" s="2329"/>
      <c r="D86" s="2330"/>
      <c r="K86" s="797"/>
      <c r="L86" s="797"/>
    </row>
    <row r="87" spans="1:12" s="957" customFormat="1">
      <c r="A87" s="2329"/>
      <c r="D87" s="2330"/>
      <c r="K87" s="797"/>
      <c r="L87" s="797"/>
    </row>
    <row r="88" spans="1:12" s="957" customFormat="1">
      <c r="A88" s="2329"/>
      <c r="D88" s="2330"/>
      <c r="K88" s="797"/>
      <c r="L88" s="797"/>
    </row>
    <row r="89" spans="1:12" s="957" customFormat="1">
      <c r="A89" s="2329"/>
      <c r="D89" s="2330"/>
      <c r="K89" s="797"/>
      <c r="L89" s="797"/>
    </row>
    <row r="90" spans="1:12" s="957" customFormat="1">
      <c r="A90" s="2329"/>
      <c r="D90" s="2330"/>
      <c r="K90" s="797"/>
      <c r="L90" s="797"/>
    </row>
    <row r="91" spans="1:12" s="957" customFormat="1">
      <c r="A91" s="2329"/>
      <c r="D91" s="2330"/>
      <c r="K91" s="797"/>
      <c r="L91" s="797"/>
    </row>
    <row r="92" spans="1:12" s="957" customFormat="1">
      <c r="A92" s="2329"/>
      <c r="D92" s="2330"/>
      <c r="K92" s="797"/>
      <c r="L92" s="797"/>
    </row>
    <row r="93" spans="1:12" s="957" customFormat="1">
      <c r="A93" s="2329"/>
      <c r="D93" s="2330"/>
      <c r="K93" s="797"/>
      <c r="L93" s="797"/>
    </row>
    <row r="94" spans="1:12" s="957" customFormat="1">
      <c r="A94" s="2329"/>
      <c r="D94" s="2330"/>
      <c r="K94" s="797"/>
      <c r="L94" s="797"/>
    </row>
    <row r="95" spans="1:12" s="957" customFormat="1">
      <c r="A95" s="2329"/>
      <c r="D95" s="2330"/>
      <c r="K95" s="797"/>
      <c r="L95" s="797"/>
    </row>
    <row r="96" spans="1:12" s="957" customFormat="1">
      <c r="A96" s="2329"/>
      <c r="D96" s="2330"/>
      <c r="K96" s="797"/>
      <c r="L96" s="797"/>
    </row>
    <row r="97" spans="1:12" s="957" customFormat="1">
      <c r="A97" s="2329"/>
      <c r="D97" s="2330"/>
      <c r="K97" s="797"/>
      <c r="L97" s="797"/>
    </row>
    <row r="98" spans="1:12" s="957" customFormat="1">
      <c r="A98" s="2329"/>
      <c r="D98" s="2330"/>
      <c r="K98" s="797"/>
      <c r="L98" s="797"/>
    </row>
    <row r="99" spans="1:12" s="957" customFormat="1">
      <c r="A99" s="2329"/>
      <c r="D99" s="2330"/>
      <c r="K99" s="797"/>
      <c r="L99" s="797"/>
    </row>
    <row r="100" spans="1:12" s="957" customFormat="1">
      <c r="A100" s="2329"/>
      <c r="D100" s="2330"/>
      <c r="K100" s="797"/>
      <c r="L100" s="797"/>
    </row>
    <row r="101" spans="1:12" s="957" customFormat="1">
      <c r="A101" s="2329"/>
      <c r="D101" s="2330"/>
      <c r="K101" s="797"/>
      <c r="L101" s="797"/>
    </row>
    <row r="102" spans="1:12" s="957" customFormat="1">
      <c r="A102" s="2329"/>
      <c r="D102" s="2330"/>
      <c r="K102" s="797"/>
      <c r="L102" s="797"/>
    </row>
    <row r="103" spans="1:12" s="957" customFormat="1">
      <c r="A103" s="2329"/>
      <c r="D103" s="2330"/>
      <c r="K103" s="797"/>
      <c r="L103" s="797"/>
    </row>
    <row r="104" spans="1:12" s="957" customFormat="1">
      <c r="A104" s="2329"/>
      <c r="D104" s="2330"/>
      <c r="K104" s="797"/>
      <c r="L104" s="797"/>
    </row>
    <row r="105" spans="1:12" s="957" customFormat="1">
      <c r="A105" s="2329"/>
      <c r="D105" s="2330"/>
      <c r="K105" s="797"/>
      <c r="L105" s="797"/>
    </row>
    <row r="106" spans="1:12" s="957" customFormat="1">
      <c r="A106" s="2329"/>
      <c r="D106" s="2330"/>
      <c r="K106" s="797"/>
      <c r="L106" s="797"/>
    </row>
    <row r="107" spans="1:12" s="957" customFormat="1">
      <c r="A107" s="2329"/>
      <c r="D107" s="2330"/>
      <c r="K107" s="797"/>
      <c r="L107" s="797"/>
    </row>
    <row r="108" spans="1:12" s="957" customFormat="1">
      <c r="A108" s="2329"/>
      <c r="D108" s="2330"/>
      <c r="K108" s="797"/>
      <c r="L108" s="797"/>
    </row>
    <row r="109" spans="1:12" s="957" customFormat="1">
      <c r="A109" s="2329"/>
      <c r="D109" s="2330"/>
      <c r="K109" s="797"/>
      <c r="L109" s="797"/>
    </row>
    <row r="110" spans="1:12" s="957" customFormat="1">
      <c r="A110" s="2329"/>
      <c r="D110" s="2330"/>
      <c r="K110" s="797"/>
      <c r="L110" s="797"/>
    </row>
    <row r="111" spans="1:12" s="957" customFormat="1">
      <c r="A111" s="2329"/>
      <c r="D111" s="2330"/>
      <c r="K111" s="797"/>
      <c r="L111" s="797"/>
    </row>
    <row r="112" spans="1:12" s="957" customFormat="1">
      <c r="A112" s="2329"/>
      <c r="D112" s="2330"/>
      <c r="K112" s="797"/>
      <c r="L112" s="797"/>
    </row>
    <row r="113" spans="1:12" s="957" customFormat="1">
      <c r="A113" s="2329"/>
      <c r="D113" s="2330"/>
      <c r="K113" s="797"/>
      <c r="L113" s="797"/>
    </row>
    <row r="114" spans="1:12" s="957" customFormat="1">
      <c r="A114" s="2329"/>
      <c r="D114" s="2330"/>
      <c r="K114" s="797"/>
      <c r="L114" s="797"/>
    </row>
    <row r="115" spans="1:12" s="957" customFormat="1">
      <c r="A115" s="2329"/>
      <c r="D115" s="2330"/>
      <c r="K115" s="797"/>
      <c r="L115" s="797"/>
    </row>
    <row r="116" spans="1:12" s="957" customFormat="1">
      <c r="A116" s="2329"/>
      <c r="D116" s="2330"/>
      <c r="K116" s="797"/>
      <c r="L116" s="797"/>
    </row>
    <row r="117" spans="1:12" s="957" customFormat="1">
      <c r="A117" s="2329"/>
      <c r="D117" s="2330"/>
      <c r="K117" s="797"/>
      <c r="L117" s="797"/>
    </row>
    <row r="118" spans="1:12" s="957" customFormat="1">
      <c r="A118" s="2329"/>
      <c r="D118" s="2330"/>
      <c r="K118" s="797"/>
      <c r="L118" s="797"/>
    </row>
    <row r="119" spans="1:12" s="957" customFormat="1">
      <c r="A119" s="2329"/>
      <c r="D119" s="2330"/>
      <c r="K119" s="797"/>
      <c r="L119" s="797"/>
    </row>
    <row r="120" spans="1:12" s="957" customFormat="1">
      <c r="A120" s="2329"/>
      <c r="D120" s="2330"/>
      <c r="K120" s="797"/>
      <c r="L120" s="797"/>
    </row>
    <row r="121" spans="1:12" s="957" customFormat="1">
      <c r="A121" s="2329"/>
      <c r="D121" s="2330"/>
      <c r="K121" s="797"/>
      <c r="L121" s="797"/>
    </row>
    <row r="122" spans="1:12" s="957" customFormat="1">
      <c r="A122" s="2329"/>
      <c r="D122" s="2330"/>
      <c r="K122" s="797"/>
      <c r="L122" s="797"/>
    </row>
    <row r="123" spans="1:12" s="957" customFormat="1">
      <c r="A123" s="2329"/>
      <c r="D123" s="2330"/>
      <c r="K123" s="797"/>
      <c r="L123" s="797"/>
    </row>
    <row r="124" spans="1:12" s="957" customFormat="1">
      <c r="A124" s="2329"/>
      <c r="D124" s="2330"/>
      <c r="K124" s="797"/>
      <c r="L124" s="797"/>
    </row>
    <row r="125" spans="1:12" s="957" customFormat="1">
      <c r="A125" s="2329"/>
      <c r="D125" s="2330"/>
      <c r="K125" s="797"/>
      <c r="L125" s="797"/>
    </row>
    <row r="126" spans="1:12" s="957" customFormat="1">
      <c r="A126" s="2329"/>
      <c r="D126" s="2330"/>
      <c r="K126" s="797"/>
      <c r="L126" s="797"/>
    </row>
    <row r="127" spans="1:12" s="957" customFormat="1">
      <c r="A127" s="2329"/>
      <c r="D127" s="2330"/>
      <c r="K127" s="797"/>
      <c r="L127" s="797"/>
    </row>
    <row r="128" spans="1:12" s="957" customFormat="1">
      <c r="A128" s="2329"/>
      <c r="D128" s="2330"/>
      <c r="K128" s="797"/>
      <c r="L128" s="797"/>
    </row>
    <row r="129" spans="1:12" s="957" customFormat="1">
      <c r="A129" s="2329"/>
      <c r="D129" s="2330"/>
      <c r="K129" s="797"/>
      <c r="L129" s="797"/>
    </row>
    <row r="130" spans="1:12" s="957" customFormat="1">
      <c r="A130" s="2329"/>
      <c r="D130" s="2330"/>
      <c r="K130" s="797"/>
      <c r="L130" s="797"/>
    </row>
    <row r="131" spans="1:12" s="957" customFormat="1">
      <c r="A131" s="2329"/>
      <c r="D131" s="2330"/>
      <c r="K131" s="797"/>
      <c r="L131" s="797"/>
    </row>
    <row r="132" spans="1:12" s="957" customFormat="1">
      <c r="A132" s="2329"/>
      <c r="D132" s="2330"/>
      <c r="K132" s="797"/>
      <c r="L132" s="797"/>
    </row>
    <row r="133" spans="1:12" s="957"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7"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6"/>
    <col min="30" max="16384" width="9" style="2357"/>
  </cols>
  <sheetData>
    <row r="1" spans="1:29" s="2350" customFormat="1" ht="18" thickBot="1">
      <c r="A1" s="3094" t="s">
        <v>2072</v>
      </c>
      <c r="B1" s="3095"/>
      <c r="C1" s="3095"/>
      <c r="D1" s="3095"/>
      <c r="E1" s="3095"/>
      <c r="F1" s="3095"/>
      <c r="G1" s="309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2073</v>
      </c>
      <c r="D2" s="2354"/>
      <c r="E2" s="2355"/>
      <c r="F2" s="2274"/>
      <c r="G2" s="2353" t="s">
        <v>2074</v>
      </c>
      <c r="H2" s="2356"/>
      <c r="I2" s="2356"/>
      <c r="J2" s="2356"/>
      <c r="K2" s="2356"/>
      <c r="L2" s="2356"/>
      <c r="M2" s="2356"/>
      <c r="N2" s="2356"/>
      <c r="O2" s="2356"/>
      <c r="P2" s="2356"/>
      <c r="Q2" s="2356"/>
      <c r="R2" s="2356"/>
    </row>
    <row r="3" spans="1:29" ht="43.8" thickBot="1">
      <c r="A3" s="414" t="s">
        <v>2075</v>
      </c>
      <c r="B3" s="1261" t="s">
        <v>2076</v>
      </c>
      <c r="C3" s="2988" t="s">
        <v>3650</v>
      </c>
      <c r="D3" s="2358"/>
      <c r="E3" s="430" t="s">
        <v>2075</v>
      </c>
      <c r="F3" s="2359" t="s">
        <v>2077</v>
      </c>
      <c r="G3" s="2360" t="s">
        <v>2078</v>
      </c>
      <c r="H3" s="2356"/>
      <c r="I3" s="2356"/>
      <c r="J3" s="2356"/>
      <c r="K3" s="2356"/>
      <c r="L3" s="2356"/>
      <c r="M3" s="2356"/>
      <c r="N3" s="2356"/>
      <c r="O3" s="2356"/>
      <c r="P3" s="2356"/>
      <c r="Q3" s="2356"/>
      <c r="R3" s="2356"/>
    </row>
    <row r="4" spans="1:29" ht="43.8" thickBot="1">
      <c r="A4" s="430"/>
      <c r="B4" s="1788" t="s">
        <v>2079</v>
      </c>
      <c r="C4" s="2988" t="s">
        <v>3650</v>
      </c>
      <c r="D4" s="2358"/>
      <c r="E4" s="2361"/>
      <c r="F4" s="42" t="s">
        <v>2080</v>
      </c>
      <c r="G4" s="2362" t="s">
        <v>2081</v>
      </c>
      <c r="H4" s="2356"/>
      <c r="I4" s="2356"/>
      <c r="J4" s="2356"/>
      <c r="K4" s="2356"/>
      <c r="L4" s="2356"/>
      <c r="M4" s="2356"/>
      <c r="N4" s="2356"/>
      <c r="O4" s="2356"/>
      <c r="P4" s="2356"/>
      <c r="Q4" s="2356"/>
      <c r="R4" s="2356"/>
    </row>
    <row r="5" spans="1:29" ht="29.4" thickBot="1">
      <c r="A5" s="430"/>
      <c r="B5" s="1788" t="s">
        <v>2082</v>
      </c>
      <c r="C5" s="2988" t="s">
        <v>3650</v>
      </c>
      <c r="D5" s="2358"/>
      <c r="E5" s="2361"/>
      <c r="F5" s="1788" t="s">
        <v>2083</v>
      </c>
      <c r="G5" s="2362" t="s">
        <v>2084</v>
      </c>
      <c r="H5" s="2356"/>
      <c r="I5" s="2356"/>
      <c r="J5" s="2356"/>
      <c r="K5" s="2356"/>
      <c r="L5" s="2356"/>
      <c r="M5" s="2356"/>
      <c r="N5" s="2356"/>
      <c r="O5" s="2356"/>
      <c r="P5" s="2356"/>
      <c r="Q5" s="2356"/>
      <c r="R5" s="2356"/>
    </row>
    <row r="6" spans="1:29" ht="29.4" thickBot="1">
      <c r="A6" s="430"/>
      <c r="B6" s="1788" t="s">
        <v>2085</v>
      </c>
      <c r="C6" s="2988" t="s">
        <v>3650</v>
      </c>
      <c r="D6" s="2358"/>
      <c r="E6" s="2361"/>
      <c r="F6" s="1788" t="s">
        <v>2086</v>
      </c>
      <c r="G6" s="2362" t="s">
        <v>2087</v>
      </c>
      <c r="H6" s="2356"/>
      <c r="I6" s="2356"/>
      <c r="J6" s="2356"/>
      <c r="K6" s="2356"/>
      <c r="L6" s="2356"/>
      <c r="M6" s="2356"/>
      <c r="N6" s="2356"/>
      <c r="O6" s="2356"/>
      <c r="P6" s="2356"/>
      <c r="Q6" s="2356"/>
      <c r="R6" s="2356"/>
    </row>
    <row r="7" spans="1:29" ht="43.8" thickBot="1">
      <c r="A7" s="430"/>
      <c r="B7" s="1788" t="s">
        <v>2083</v>
      </c>
      <c r="C7" s="2988" t="s">
        <v>3650</v>
      </c>
      <c r="D7" s="2363"/>
      <c r="E7" s="2364"/>
      <c r="F7" s="2365" t="s">
        <v>2088</v>
      </c>
      <c r="G7" s="2366" t="s">
        <v>2089</v>
      </c>
      <c r="H7" s="2356"/>
      <c r="I7" s="2356"/>
      <c r="J7" s="2356"/>
      <c r="K7" s="2356"/>
      <c r="L7" s="2356"/>
      <c r="M7" s="2356"/>
      <c r="N7" s="2356"/>
      <c r="O7" s="2356"/>
      <c r="P7" s="2356"/>
      <c r="Q7" s="2356"/>
      <c r="R7" s="2356"/>
    </row>
    <row r="8" spans="1:29" ht="15" thickBot="1">
      <c r="A8" s="430"/>
      <c r="B8" s="1788" t="s">
        <v>2086</v>
      </c>
      <c r="C8" s="2989" t="s">
        <v>3651</v>
      </c>
      <c r="D8" s="2363"/>
      <c r="E8" s="2363"/>
      <c r="F8" s="1126"/>
      <c r="G8" s="1126"/>
      <c r="H8" s="2356"/>
      <c r="I8" s="2356"/>
      <c r="J8" s="2356"/>
      <c r="K8" s="2356"/>
      <c r="L8" s="2356"/>
      <c r="M8" s="2356"/>
      <c r="N8" s="2356"/>
      <c r="O8" s="2356"/>
      <c r="P8" s="2356"/>
      <c r="Q8" s="2356"/>
      <c r="R8" s="2356"/>
    </row>
    <row r="9" spans="1:29" ht="14.4">
      <c r="A9" s="430"/>
      <c r="B9" s="1788" t="s">
        <v>2090</v>
      </c>
      <c r="C9" s="2988" t="s">
        <v>3650</v>
      </c>
      <c r="D9" s="2358"/>
      <c r="E9" s="2363"/>
      <c r="F9" s="1126"/>
      <c r="G9" s="1126"/>
      <c r="H9" s="2356"/>
      <c r="I9" s="2356"/>
      <c r="J9" s="2356"/>
      <c r="K9" s="2356"/>
      <c r="L9" s="2356"/>
      <c r="M9" s="2356"/>
      <c r="N9" s="2356"/>
      <c r="O9" s="2356"/>
      <c r="P9" s="2356"/>
      <c r="Q9" s="2356"/>
      <c r="R9" s="2356"/>
    </row>
    <row r="10" spans="1:29" s="116" customFormat="1" ht="15" thickBot="1">
      <c r="A10" s="2367"/>
      <c r="B10" s="2368" t="s">
        <v>2091</v>
      </c>
      <c r="C10" s="2369"/>
      <c r="D10" s="2358"/>
      <c r="E10" s="2358"/>
      <c r="F10" s="1126"/>
      <c r="G10" s="1126"/>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6" customFormat="1">
      <c r="A11" s="2373"/>
      <c r="B11" s="2363"/>
      <c r="C11" s="2358"/>
      <c r="D11" s="2358"/>
      <c r="E11" s="2358"/>
      <c r="F11" s="2363"/>
      <c r="G11" s="1144"/>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7.399999999999999">
      <c r="A12" s="2373"/>
      <c r="B12" s="2363"/>
      <c r="C12" s="2358"/>
      <c r="D12" s="2374"/>
      <c r="E12" s="2358"/>
      <c r="F12" s="2363"/>
      <c r="G12" s="1144"/>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8" thickBot="1">
      <c r="A13" s="2380" t="s">
        <v>2092</v>
      </c>
      <c r="B13" s="2374"/>
      <c r="C13" s="2374"/>
      <c r="D13" s="2381"/>
      <c r="E13" s="2374"/>
      <c r="F13" s="2374"/>
      <c r="G13" s="2374"/>
    </row>
    <row r="14" spans="1:29" ht="15" thickBot="1">
      <c r="A14" s="2385"/>
      <c r="B14" s="2386"/>
      <c r="C14" s="2387" t="s">
        <v>2093</v>
      </c>
      <c r="D14" s="2358"/>
      <c r="E14" s="2388"/>
      <c r="F14" s="2388"/>
      <c r="G14" s="2353" t="s">
        <v>2094</v>
      </c>
    </row>
    <row r="15" spans="1:29" ht="41.4">
      <c r="A15" s="68" t="s">
        <v>2095</v>
      </c>
      <c r="B15" s="1260" t="s">
        <v>2076</v>
      </c>
      <c r="C15" s="2389" t="str">
        <f>C3</f>
        <v>较好</v>
      </c>
      <c r="D15" s="2358"/>
      <c r="E15" s="2390" t="s">
        <v>2096</v>
      </c>
      <c r="F15" s="1260" t="s">
        <v>2097</v>
      </c>
      <c r="G15" s="134" t="str">
        <f>G3</f>
        <v>估价对象位于XX开发区，园区建设成熟度XX，产业集聚程度XX</v>
      </c>
    </row>
    <row r="16" spans="1:29" ht="41.4">
      <c r="A16" s="644"/>
      <c r="B16" s="2391" t="s">
        <v>2079</v>
      </c>
      <c r="C16" s="2392" t="str">
        <f>C4</f>
        <v>较好</v>
      </c>
      <c r="D16" s="2358"/>
      <c r="E16" s="2393"/>
      <c r="F16" s="2394" t="s">
        <v>2080</v>
      </c>
      <c r="G16" s="135" t="str">
        <f>G4</f>
        <v>估价对象周边道路状况、公共交通通达情况、停车便捷程度，综合评价交通便捷度较好</v>
      </c>
    </row>
    <row r="17" spans="1:18" ht="14.4">
      <c r="A17" s="644"/>
      <c r="B17" s="2391" t="s">
        <v>2082</v>
      </c>
      <c r="C17" s="2392" t="str">
        <f>C5</f>
        <v>较好</v>
      </c>
      <c r="D17" s="2363"/>
      <c r="E17" s="2393"/>
      <c r="F17" s="2394" t="s">
        <v>2098</v>
      </c>
      <c r="G17" s="1562"/>
    </row>
    <row r="18" spans="1:18" ht="41.4">
      <c r="A18" s="644"/>
      <c r="B18" s="2394" t="s">
        <v>2085</v>
      </c>
      <c r="C18" s="135" t="str">
        <f>C6</f>
        <v>较好</v>
      </c>
      <c r="D18" s="2363"/>
      <c r="E18" s="2393"/>
      <c r="F18" s="2394" t="s">
        <v>2088</v>
      </c>
      <c r="G18" s="135" t="str">
        <f>G7</f>
        <v>该园区内是否有污染型企业，绿化情况，卫生条件，整体环境状况判断</v>
      </c>
    </row>
    <row r="19" spans="1:18" ht="27.6">
      <c r="A19" s="644"/>
      <c r="B19" s="2394" t="s">
        <v>2099</v>
      </c>
      <c r="C19" s="1562"/>
      <c r="D19" s="2358"/>
      <c r="E19" s="2393"/>
      <c r="F19" s="1788" t="s">
        <v>2083</v>
      </c>
      <c r="G19" s="135" t="str">
        <f>G5</f>
        <v>估价对象所在区域公共配套设施齐备情况</v>
      </c>
    </row>
    <row r="20" spans="1:18" ht="27.6">
      <c r="A20" s="644"/>
      <c r="B20" s="2394" t="s">
        <v>2100</v>
      </c>
      <c r="C20" s="2392" t="str">
        <f>C9</f>
        <v>较好</v>
      </c>
      <c r="D20" s="2363"/>
      <c r="E20" s="2393"/>
      <c r="F20" s="1788" t="s">
        <v>2101</v>
      </c>
      <c r="G20" s="135" t="str">
        <f>G6</f>
        <v>估价对象所在区域基础设施水平</v>
      </c>
    </row>
    <row r="21" spans="1:18" ht="14.4">
      <c r="A21" s="644"/>
      <c r="B21" s="1788" t="s">
        <v>2083</v>
      </c>
      <c r="C21" s="135" t="str">
        <f>C7</f>
        <v>较好</v>
      </c>
      <c r="D21" s="2358"/>
      <c r="E21" s="2393"/>
      <c r="F21" s="2394" t="s">
        <v>2102</v>
      </c>
      <c r="G21" s="2395"/>
    </row>
    <row r="22" spans="1:18" ht="13.5" customHeight="1">
      <c r="A22" s="644"/>
      <c r="B22" s="1788" t="s">
        <v>2086</v>
      </c>
      <c r="C22" s="135" t="str">
        <f>C8</f>
        <v>六通</v>
      </c>
      <c r="D22" s="2358"/>
      <c r="E22" s="2393"/>
      <c r="F22" s="2394" t="s">
        <v>2091</v>
      </c>
      <c r="G22" s="1562"/>
    </row>
    <row r="23" spans="1:18" s="2356" customFormat="1" ht="15" thickBot="1">
      <c r="A23" s="644"/>
      <c r="B23" s="2394" t="s">
        <v>2102</v>
      </c>
      <c r="C23" s="2395"/>
      <c r="D23" s="2382"/>
      <c r="E23" s="2396"/>
      <c r="F23" s="2397" t="s">
        <v>2103</v>
      </c>
      <c r="G23" s="2398"/>
      <c r="H23" s="2382"/>
      <c r="I23" s="2383"/>
      <c r="J23" s="2382"/>
      <c r="K23" s="2382"/>
      <c r="L23" s="2383"/>
      <c r="M23" s="2382"/>
      <c r="N23" s="2382"/>
      <c r="O23" s="2383"/>
      <c r="P23" s="2382"/>
      <c r="Q23" s="2382"/>
      <c r="R23" s="2384"/>
    </row>
    <row r="24" spans="1:18" s="2356" customFormat="1" ht="15" thickBot="1">
      <c r="A24" s="2399"/>
      <c r="B24" s="2397" t="s">
        <v>2104</v>
      </c>
      <c r="C24" s="136">
        <f>C10</f>
        <v>0</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188195.4</v>
      </c>
      <c r="C1" s="1735"/>
      <c r="D1" s="1735"/>
      <c r="E1" s="1735"/>
      <c r="F1" s="1735"/>
      <c r="G1" s="1733"/>
    </row>
    <row r="2" spans="1:10" ht="16.2">
      <c r="A2" s="1736" t="s">
        <v>1349</v>
      </c>
      <c r="B2" s="1736">
        <f>SUM(C14:C23)</f>
        <v>69333.19</v>
      </c>
      <c r="C2" s="1735"/>
      <c r="D2" s="1735"/>
      <c r="E2" s="1735"/>
      <c r="F2" s="1735"/>
      <c r="G2" s="1733"/>
    </row>
    <row r="3" spans="1:10" ht="15.6">
      <c r="A3" s="1736" t="s">
        <v>1358</v>
      </c>
      <c r="B3" s="1737">
        <f>项目基本情况!D3</f>
        <v>43699</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166781</v>
      </c>
      <c r="C5" s="1736">
        <f ca="1">ROUND(B5*10000/$B$1,0)</f>
        <v>8862</v>
      </c>
      <c r="D5" s="1736">
        <f ca="1">ROUND(B5*10000/$B$2,0)</f>
        <v>24055</v>
      </c>
      <c r="E5" s="1735"/>
      <c r="F5" s="1733"/>
      <c r="G5" s="1733"/>
    </row>
    <row r="6" spans="1:10" ht="15.6">
      <c r="A6" s="1736" t="s">
        <v>1352</v>
      </c>
      <c r="B6" s="1736">
        <f ca="1">SUM(G14:G23)</f>
        <v>166781</v>
      </c>
      <c r="C6" s="1736">
        <f ca="1">ROUND(B6*10000/$B$1,0)</f>
        <v>8862</v>
      </c>
      <c r="D6" s="1736">
        <f ca="1">ROUND(B6*10000/$B$2,0)</f>
        <v>24055</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'结果表-高层'!B118</f>
        <v>13312.34</v>
      </c>
      <c r="C14" s="1734">
        <f>'结果表-高层'!C118</f>
        <v>5179.8999999999996</v>
      </c>
      <c r="D14" s="1734">
        <f ca="1">'结果表-高层'!H118</f>
        <v>17364</v>
      </c>
      <c r="E14" s="1734">
        <f ca="1">ROUND(D14*10000/B14,0)</f>
        <v>13044</v>
      </c>
      <c r="F14" s="1734">
        <f ca="1">ROUND(D14*10000/C14,0)</f>
        <v>33522</v>
      </c>
      <c r="G14" s="1734">
        <f ca="1">'结果表-高层'!D122</f>
        <v>17364</v>
      </c>
      <c r="H14" s="1734" t="str">
        <f>'结果表-高层'!D124</f>
        <v>——</v>
      </c>
      <c r="I14" s="1734" t="str">
        <f>'结果表-高层'!D126</f>
        <v>——</v>
      </c>
      <c r="J14" s="1733"/>
    </row>
    <row r="15" spans="1:10" ht="15.6">
      <c r="A15" s="1732" t="s">
        <v>1345</v>
      </c>
      <c r="B15" s="2991">
        <f>'结果表-洋房'!B118</f>
        <v>7966.26</v>
      </c>
      <c r="C15" s="2991">
        <f>'结果表-洋房'!C118</f>
        <v>3099.71</v>
      </c>
      <c r="D15" s="2991">
        <f ca="1">'结果表-洋房'!H118</f>
        <v>11831</v>
      </c>
      <c r="E15" s="1734">
        <f t="shared" ref="E15:E23" ca="1" si="0">ROUND(D15*10000/B15,0)</f>
        <v>14851</v>
      </c>
      <c r="F15" s="1734">
        <f t="shared" ref="F15:F23" ca="1" si="1">ROUND(D15*10000/C15,0)</f>
        <v>38168</v>
      </c>
      <c r="G15" s="2992">
        <f ca="1">D15</f>
        <v>11831</v>
      </c>
      <c r="H15" s="1740"/>
      <c r="I15" s="1739"/>
      <c r="J15" s="1733"/>
    </row>
    <row r="16" spans="1:10" ht="15.6">
      <c r="A16" s="1732" t="s">
        <v>1344</v>
      </c>
      <c r="B16" s="2991">
        <f>[1]系统读取表!$B$14</f>
        <v>166916.79999999999</v>
      </c>
      <c r="C16" s="2991">
        <f>[1]系统读取表!$C$14</f>
        <v>61053.58</v>
      </c>
      <c r="D16" s="2991">
        <f ca="1">[1]系统读取表!$D$14</f>
        <v>137586</v>
      </c>
      <c r="E16" s="1734">
        <f t="shared" ca="1" si="0"/>
        <v>8243</v>
      </c>
      <c r="F16" s="1734">
        <f t="shared" ca="1" si="1"/>
        <v>22535</v>
      </c>
      <c r="G16" s="2992">
        <f ca="1">D16</f>
        <v>137586</v>
      </c>
      <c r="H16" s="1740"/>
      <c r="I16" s="1739"/>
    </row>
    <row r="17" spans="1:9" ht="15.6">
      <c r="A17" s="1732" t="s">
        <v>1343</v>
      </c>
      <c r="B17" s="1739"/>
      <c r="C17" s="1739"/>
      <c r="D17" s="1739"/>
      <c r="E17" s="1734" t="e">
        <f t="shared" si="0"/>
        <v>#DIV/0!</v>
      </c>
      <c r="F17" s="1734" t="e">
        <f t="shared" si="1"/>
        <v>#DIV/0!</v>
      </c>
      <c r="G17" s="1740"/>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tabSelected="1" workbookViewId="0">
      <selection activeCell="E17" sqref="E17"/>
    </sheetView>
  </sheetViews>
  <sheetFormatPr defaultRowHeight="14.4"/>
  <cols>
    <col min="1" max="1" width="19.109375" customWidth="1"/>
    <col min="2" max="2" width="11.44140625" customWidth="1"/>
    <col min="4" max="4" width="18.109375" customWidth="1"/>
    <col min="5" max="5" width="21.88671875" customWidth="1"/>
  </cols>
  <sheetData>
    <row r="1" spans="1:5">
      <c r="A1" s="1296" t="s">
        <v>3674</v>
      </c>
      <c r="B1" s="2993" t="s">
        <v>3675</v>
      </c>
      <c r="C1" s="2993" t="s">
        <v>3676</v>
      </c>
      <c r="D1" s="2993" t="s">
        <v>3677</v>
      </c>
      <c r="E1" s="2993" t="s">
        <v>1355</v>
      </c>
    </row>
    <row r="2" spans="1:5">
      <c r="A2" s="1296" t="s">
        <v>3678</v>
      </c>
      <c r="B2" s="2995">
        <v>13312.34</v>
      </c>
      <c r="C2" s="2995">
        <v>5179.8999999999996</v>
      </c>
      <c r="D2" s="2995">
        <f ca="1">系统读取表!D14</f>
        <v>17364</v>
      </c>
      <c r="E2" s="2995">
        <f ca="1">系统读取表!E14</f>
        <v>13044</v>
      </c>
    </row>
    <row r="3" spans="1:5">
      <c r="A3" s="1296" t="s">
        <v>3679</v>
      </c>
      <c r="B3" s="2994">
        <v>7966.26</v>
      </c>
      <c r="C3" s="3001">
        <v>3099.71</v>
      </c>
      <c r="D3" s="3001">
        <f ca="1">系统读取表!D15</f>
        <v>11831</v>
      </c>
      <c r="E3" s="2995">
        <f ca="1">系统读取表!E15</f>
        <v>14851</v>
      </c>
    </row>
    <row r="4" spans="1:5">
      <c r="A4" s="1296" t="s">
        <v>3680</v>
      </c>
      <c r="B4" s="2994">
        <f>系统读取表!B16</f>
        <v>166916.79999999999</v>
      </c>
      <c r="C4" s="3001">
        <f>系统读取表!C16</f>
        <v>61053.58</v>
      </c>
      <c r="D4" s="3001">
        <f ca="1">系统读取表!D16</f>
        <v>137586</v>
      </c>
      <c r="E4" s="2995">
        <f ca="1">系统读取表!E16</f>
        <v>8243</v>
      </c>
    </row>
    <row r="5" spans="1:5">
      <c r="A5" s="1296" t="s">
        <v>3681</v>
      </c>
      <c r="B5" s="1296">
        <f>SUM(B2:B4)</f>
        <v>188195.4</v>
      </c>
      <c r="C5" s="2999">
        <f>SUM(C2:C4)</f>
        <v>69333.19</v>
      </c>
      <c r="D5" s="3000">
        <f ca="1">SUM(D2:D4)</f>
        <v>166781</v>
      </c>
      <c r="E5" s="2999" t="s">
        <v>3673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02" t="str">
        <f>项目基本情况!B1</f>
        <v>浙江省吴兴区八里店乌山单元02-01E号地块房地产抵押价值预评估</v>
      </c>
      <c r="C37" s="3002"/>
      <c r="D37" s="3002"/>
      <c r="E37" s="3002"/>
      <c r="F37" s="3002"/>
      <c r="G37" s="3002"/>
      <c r="H37" s="3002"/>
      <c r="I37" s="3002"/>
    </row>
    <row r="38" spans="1:9">
      <c r="A38" s="1009"/>
      <c r="B38" s="1009"/>
    </row>
    <row r="39" spans="1:9">
      <c r="A39" s="1007" t="s">
        <v>818</v>
      </c>
      <c r="B39" s="1007" t="s">
        <v>820</v>
      </c>
    </row>
    <row r="40" spans="1:9">
      <c r="A40" s="1007"/>
      <c r="B40" s="1934" t="str">
        <f>项目基本情况!B5</f>
        <v>湖州市乌虹湖置业有限公司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c r="B46" s="1934" t="str">
        <f ca="1">项目基本情况!K4</f>
        <v>吴薇（注册号：1419970001)、郑燚（注册号：1120070131)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3669</v>
      </c>
      <c r="D1" s="2405"/>
      <c r="E1" s="2405"/>
      <c r="F1" s="2407" t="s">
        <v>2106</v>
      </c>
      <c r="G1" s="2059" t="s">
        <v>3652</v>
      </c>
      <c r="H1" s="2408" t="str">
        <f>IF(G1="现房","——","估价对象范围")</f>
        <v>——</v>
      </c>
      <c r="I1" s="2409"/>
    </row>
    <row r="2" spans="1:12" ht="21.75" customHeight="1" thickBot="1">
      <c r="A2" s="3100" t="str">
        <f>项目基本情况!S2</f>
        <v>浙江省吴兴区八里店乌山单元02-01E号地块房地产</v>
      </c>
      <c r="B2" s="3101"/>
      <c r="C2" s="3101"/>
      <c r="D2" s="3101"/>
      <c r="E2" s="3101"/>
      <c r="F2" s="3101"/>
      <c r="G2" s="3101"/>
      <c r="H2" s="3101"/>
      <c r="I2" s="3102"/>
    </row>
    <row r="3" spans="1:12" ht="13.2">
      <c r="A3" s="3103" t="s">
        <v>2107</v>
      </c>
      <c r="B3" s="3104"/>
      <c r="C3" s="3104"/>
      <c r="D3" s="3104"/>
      <c r="E3" s="3104"/>
      <c r="F3" s="3104"/>
      <c r="G3" s="3104"/>
      <c r="H3" s="3104"/>
      <c r="I3" s="3104"/>
    </row>
    <row r="4" spans="1:12" ht="14.4">
      <c r="A4" s="2412" t="s">
        <v>2108</v>
      </c>
      <c r="B4" s="2413" t="s">
        <v>2109</v>
      </c>
      <c r="C4" s="2414" t="s">
        <v>3663</v>
      </c>
      <c r="D4" s="2414" t="s">
        <v>3659</v>
      </c>
      <c r="E4" s="3105" t="s">
        <v>2110</v>
      </c>
      <c r="F4" s="3106"/>
      <c r="G4" s="3106"/>
      <c r="H4" s="3106"/>
      <c r="I4" s="3107"/>
      <c r="K4" s="2415" t="str">
        <f>IF(ISNUMBER(FIND("比较法",'结果表-洋房'!C4)),"比较法",IF(ISNUMBER(FIND("成本法",'结果表-洋房'!C4)),"成本法",IF(ISNUMBER(FIND("假设开发法",'结果表-洋房'!C4)),"假设开发法",IF(ISNUMBER(FIND("收益法",'结果表-洋房'!C4)),"收益法","基准地价系数修正法"))))</f>
        <v>比较法</v>
      </c>
      <c r="L4" s="2415" t="str">
        <f>IF(ISNUMBER(FIND("比较法",'结果表-洋房'!D4)),"比较法",IF(ISNUMBER(FIND("成本法",'结果表-洋房'!D4)),"成本法",IF(ISNUMBER(FIND("假设开发法",'结果表-洋房'!D4)),"假设开发法",IF(ISNUMBER(FIND("收益法",'结果表-洋房'!D4)),"收益法","基准地价系数修正法"))))</f>
        <v>收益法</v>
      </c>
    </row>
    <row r="5" spans="1:12" ht="13.2">
      <c r="A5" s="3096" t="s">
        <v>2111</v>
      </c>
      <c r="B5" s="3046">
        <v>25</v>
      </c>
      <c r="C5" s="3097"/>
      <c r="D5" s="3099"/>
      <c r="E5" s="139" t="s">
        <v>2112</v>
      </c>
      <c r="F5" s="2416"/>
      <c r="G5" s="2416"/>
      <c r="H5" s="2416"/>
      <c r="I5" s="1824"/>
    </row>
    <row r="6" spans="1:12" ht="13.2">
      <c r="A6" s="3096"/>
      <c r="B6" s="3046"/>
      <c r="C6" s="3108"/>
      <c r="D6" s="3099"/>
      <c r="E6" s="139" t="s">
        <v>2113</v>
      </c>
      <c r="F6" s="2416"/>
      <c r="G6" s="2416"/>
      <c r="H6" s="2416"/>
      <c r="I6" s="1824"/>
    </row>
    <row r="7" spans="1:12" ht="13.2">
      <c r="A7" s="3096"/>
      <c r="B7" s="3046"/>
      <c r="C7" s="3098"/>
      <c r="D7" s="3099"/>
      <c r="E7" s="139" t="s">
        <v>2114</v>
      </c>
      <c r="F7" s="2416"/>
      <c r="G7" s="2416"/>
      <c r="H7" s="2416"/>
      <c r="I7" s="1824"/>
    </row>
    <row r="8" spans="1:12" ht="13.2">
      <c r="A8" s="3096" t="s">
        <v>2115</v>
      </c>
      <c r="B8" s="3046">
        <v>15</v>
      </c>
      <c r="C8" s="3097"/>
      <c r="D8" s="3099"/>
      <c r="E8" s="139" t="s">
        <v>2116</v>
      </c>
      <c r="F8" s="2416"/>
      <c r="G8" s="2416"/>
      <c r="H8" s="2416"/>
      <c r="I8" s="1824"/>
    </row>
    <row r="9" spans="1:12" ht="13.2">
      <c r="A9" s="3096"/>
      <c r="B9" s="3046"/>
      <c r="C9" s="3098"/>
      <c r="D9" s="3099"/>
      <c r="E9" s="139" t="s">
        <v>2117</v>
      </c>
      <c r="F9" s="2416"/>
      <c r="G9" s="2416"/>
      <c r="H9" s="2416"/>
      <c r="I9" s="1824"/>
    </row>
    <row r="10" spans="1:12" ht="13.2">
      <c r="A10" s="3096" t="s">
        <v>2118</v>
      </c>
      <c r="B10" s="3046">
        <v>15</v>
      </c>
      <c r="C10" s="3097"/>
      <c r="D10" s="3099"/>
      <c r="E10" s="139" t="s">
        <v>2119</v>
      </c>
      <c r="F10" s="2416"/>
      <c r="G10" s="2416"/>
      <c r="H10" s="2416"/>
      <c r="I10" s="1824"/>
    </row>
    <row r="11" spans="1:12" ht="13.2">
      <c r="A11" s="3096"/>
      <c r="B11" s="3046"/>
      <c r="C11" s="3098"/>
      <c r="D11" s="3099"/>
      <c r="E11" s="139" t="s">
        <v>2120</v>
      </c>
      <c r="F11" s="2416"/>
      <c r="G11" s="2416"/>
      <c r="H11" s="2416"/>
      <c r="I11" s="1824"/>
    </row>
    <row r="12" spans="1:12" ht="13.2">
      <c r="A12" s="3096" t="s">
        <v>2121</v>
      </c>
      <c r="B12" s="3046">
        <v>15</v>
      </c>
      <c r="C12" s="3097"/>
      <c r="D12" s="3099"/>
      <c r="E12" s="139" t="s">
        <v>2122</v>
      </c>
      <c r="F12" s="2416"/>
      <c r="G12" s="2416"/>
      <c r="H12" s="2416"/>
      <c r="I12" s="1824"/>
    </row>
    <row r="13" spans="1:12" ht="13.2">
      <c r="A13" s="3096"/>
      <c r="B13" s="3046"/>
      <c r="C13" s="3098"/>
      <c r="D13" s="3099"/>
      <c r="E13" s="139" t="s">
        <v>2123</v>
      </c>
      <c r="F13" s="2416"/>
      <c r="G13" s="2416"/>
      <c r="H13" s="2416"/>
      <c r="I13" s="1824"/>
    </row>
    <row r="14" spans="1:12" ht="13.2">
      <c r="A14" s="3096" t="s">
        <v>2124</v>
      </c>
      <c r="B14" s="3046">
        <v>30</v>
      </c>
      <c r="C14" s="3097">
        <v>8</v>
      </c>
      <c r="D14" s="3099">
        <v>2</v>
      </c>
      <c r="E14" s="139" t="s">
        <v>2125</v>
      </c>
      <c r="F14" s="2416"/>
      <c r="G14" s="2416"/>
      <c r="H14" s="2416"/>
      <c r="I14" s="1824"/>
    </row>
    <row r="15" spans="1:12" ht="13.2">
      <c r="A15" s="3096"/>
      <c r="B15" s="3046"/>
      <c r="C15" s="3108"/>
      <c r="D15" s="3099"/>
      <c r="E15" s="139" t="s">
        <v>2126</v>
      </c>
      <c r="F15" s="2416"/>
      <c r="G15" s="2416"/>
      <c r="H15" s="2416"/>
      <c r="I15" s="1824"/>
    </row>
    <row r="16" spans="1:12" ht="13.2">
      <c r="A16" s="3096"/>
      <c r="B16" s="3046"/>
      <c r="C16" s="3098"/>
      <c r="D16" s="3099"/>
      <c r="E16" s="139" t="s">
        <v>2127</v>
      </c>
      <c r="F16" s="2416"/>
      <c r="G16" s="2416"/>
      <c r="H16" s="2416"/>
      <c r="I16" s="1824"/>
    </row>
    <row r="17" spans="1:35" ht="14.4">
      <c r="A17" s="2417" t="s">
        <v>2128</v>
      </c>
      <c r="B17" s="64"/>
      <c r="C17" s="140">
        <f>SUM(C5:C16)</f>
        <v>8</v>
      </c>
      <c r="D17" s="140">
        <f>SUM(D5:D16)</f>
        <v>2</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7966.26</v>
      </c>
      <c r="M18" s="2415">
        <f>IF(C1="",'数据-汇总表'!E3,SUMIF(项目类型,C1,'数据-汇总表'!E17:E26))</f>
        <v>7966.26</v>
      </c>
    </row>
    <row r="19" spans="1:35" ht="14.4">
      <c r="A19" s="2421" t="s">
        <v>2133</v>
      </c>
      <c r="B19" s="2422" t="s">
        <v>2134</v>
      </c>
      <c r="C19" s="142">
        <f ca="1">SUMIF(INDIRECT("'"&amp;C4&amp;"'"&amp;"!A:A"),'结果表-洋房'!B19,INDIRECT("'"&amp;C4&amp;"'"&amp;"!B:B"))</f>
        <v>13011</v>
      </c>
      <c r="D19" s="143">
        <f ca="1">SUMIF(INDIRECT("'"&amp;D4&amp;"'"&amp;"!A:A"),'结果表-洋房'!B19,INDIRECT("'"&amp;D4&amp;"'"&amp;"!B:B"))</f>
        <v>7113</v>
      </c>
      <c r="E19" s="2421" t="s">
        <v>2135</v>
      </c>
      <c r="F19" s="2422" t="s">
        <v>2134</v>
      </c>
      <c r="G19" s="144">
        <f ca="1">ROUND(C19*$C$18+D19*$D$18,0)</f>
        <v>11831</v>
      </c>
      <c r="H19" s="2423" t="s">
        <v>2136</v>
      </c>
      <c r="I19" s="137"/>
      <c r="J19" s="2962" t="s">
        <v>3453</v>
      </c>
      <c r="K19" s="2415" t="s">
        <v>2137</v>
      </c>
      <c r="L19" s="2415">
        <f>IF(C1="",'数据-汇总表'!D3,SUMIF(项目类型,C1,'数据-汇总表'!D17:D26)+SUMIF(项目类型,C1,'数据-汇总表'!H17:H27))</f>
        <v>3099.71</v>
      </c>
      <c r="M19" s="2415">
        <f>IF(C1="",'数据-汇总表'!D3,SUMIF(项目类型,C1,'数据-汇总表'!D17:D26))</f>
        <v>3099.71</v>
      </c>
    </row>
    <row r="20" spans="1:35" ht="14.4">
      <c r="A20" s="2424"/>
      <c r="B20" s="1240" t="s">
        <v>2138</v>
      </c>
      <c r="C20" s="145">
        <f ca="1">SUMIF(INDIRECT("'"&amp;C4&amp;"'"&amp;"!A:A"),'结果表-洋房'!B20,INDIRECT("'"&amp;C4&amp;"'"&amp;"!B:B"))</f>
        <v>16333</v>
      </c>
      <c r="D20" s="146">
        <f ca="1">SUMIF(INDIRECT("'"&amp;D4&amp;"'"&amp;"!A:A"),'结果表-洋房'!B20,INDIRECT("'"&amp;D4&amp;"'"&amp;"!B:B"))</f>
        <v>8929</v>
      </c>
      <c r="E20" s="2424"/>
      <c r="F20" s="1240" t="s">
        <v>2138</v>
      </c>
      <c r="G20" s="147">
        <f ca="1">ROUND(C20*$C$18+D20*$D$18,0)</f>
        <v>14852</v>
      </c>
      <c r="H20" s="973" t="s">
        <v>2139</v>
      </c>
      <c r="I20" s="137"/>
      <c r="J20" s="2963">
        <f ca="1">ROUND(G19/'数据-汇总表'!F31*10000,0)</f>
        <v>5560</v>
      </c>
    </row>
    <row r="21" spans="1:35" ht="15" customHeight="1" thickBot="1">
      <c r="A21" s="993"/>
      <c r="B21" s="2425" t="s">
        <v>2140</v>
      </c>
      <c r="C21" s="788">
        <f ca="1">ROUND(C19*10000/L19,0)</f>
        <v>41975</v>
      </c>
      <c r="D21" s="789">
        <f ca="1">ROUND(D19*10000/L19,0)</f>
        <v>22947</v>
      </c>
      <c r="E21" s="993"/>
      <c r="F21" s="2425" t="s">
        <v>2140</v>
      </c>
      <c r="G21" s="148">
        <f ca="1">ROUND(G19*10000/L19,0)</f>
        <v>38168</v>
      </c>
      <c r="H21" s="2426" t="s">
        <v>2139</v>
      </c>
      <c r="I21" s="137"/>
    </row>
    <row r="22" spans="1:35" ht="15" thickBot="1">
      <c r="A22" s="2269" t="s">
        <v>2141</v>
      </c>
      <c r="B22" s="2427"/>
      <c r="C22" s="2428"/>
      <c r="D22" s="790">
        <f ca="1">IF(C19&lt;D19,D19/C19-1,C19/D19-1)</f>
        <v>0.82918599746942223</v>
      </c>
      <c r="E22" s="137"/>
      <c r="F22" s="137"/>
      <c r="G22" s="137"/>
      <c r="H22" s="137"/>
      <c r="I22" s="137"/>
    </row>
    <row r="23" spans="1:35" ht="13.8" thickBot="1">
      <c r="A23" s="2405"/>
      <c r="B23" s="2405"/>
      <c r="C23" s="2405"/>
      <c r="D23" s="2405"/>
      <c r="E23" s="137"/>
      <c r="F23" s="137"/>
      <c r="G23" s="137"/>
      <c r="H23" s="137"/>
      <c r="I23" s="137"/>
    </row>
    <row r="24" spans="1:35" ht="14.4">
      <c r="A24" s="3109" t="s">
        <v>2142</v>
      </c>
      <c r="B24" s="2422" t="s">
        <v>2134</v>
      </c>
      <c r="C24" s="144">
        <f>IF(B30=0,0,D30)</f>
        <v>0</v>
      </c>
      <c r="D24" s="2429"/>
      <c r="E24" s="137"/>
      <c r="F24" s="137"/>
      <c r="G24" s="137"/>
      <c r="H24" s="137"/>
      <c r="I24" s="137"/>
    </row>
    <row r="25" spans="1:35" ht="14.4">
      <c r="A25" s="3110"/>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11831</v>
      </c>
      <c r="D32" s="2436" t="s">
        <v>2149</v>
      </c>
      <c r="E32" s="137"/>
      <c r="F32" s="137"/>
      <c r="G32" s="137"/>
      <c r="H32" s="137"/>
      <c r="I32" s="137"/>
    </row>
    <row r="33" spans="1:15" ht="14.4">
      <c r="A33" s="950" t="s">
        <v>2150</v>
      </c>
      <c r="B33" s="2437"/>
      <c r="C33" s="2438" t="s">
        <v>3452</v>
      </c>
      <c r="D33" s="2439" t="s">
        <v>3451</v>
      </c>
      <c r="E33" s="2440" t="s">
        <v>2151</v>
      </c>
      <c r="F33" s="2966" t="str">
        <f>IF(D32="楼面单价","取值（单价）","取值（总价）")</f>
        <v>取值（总价）</v>
      </c>
      <c r="G33" s="137"/>
      <c r="H33" s="137"/>
      <c r="I33" s="137"/>
    </row>
    <row r="34" spans="1:15" ht="14.4">
      <c r="A34" s="2442"/>
      <c r="B34" s="2443" t="s">
        <v>2152</v>
      </c>
      <c r="C34" s="156">
        <f ca="1">IF(C33="自定义",F34,C32-C35)</f>
        <v>6945</v>
      </c>
      <c r="D34" s="1048">
        <f ca="1">IF(C33="自定义",ROUND(C34/C32,3),IF(C33="收益比率",SUMIF(INDIRECT("'"&amp;D33&amp;"'"&amp;"!b:b"),"土地收益比率",INDIRECT("'"&amp;D33&amp;"'"&amp;"!c:c")),SUMIF(INDIRECT("'"&amp;D33&amp;"'"&amp;"!b:b"),"土地成本比率",INDIRECT("'"&amp;D33&amp;"'"&amp;"!c:c"))))</f>
        <v>0.58699999999999997</v>
      </c>
      <c r="E34" s="2444" t="s">
        <v>2153</v>
      </c>
      <c r="F34" s="1729"/>
      <c r="G34" s="137"/>
      <c r="H34" s="137"/>
      <c r="I34" s="137"/>
    </row>
    <row r="35" spans="1:15" ht="15" thickBot="1">
      <c r="A35" s="2445"/>
      <c r="B35" s="2446" t="s">
        <v>2154</v>
      </c>
      <c r="C35" s="1434">
        <f ca="1">IF(C33="自定义",F35,ROUND(C32*D35,0))</f>
        <v>4886</v>
      </c>
      <c r="D35" s="1435">
        <f ca="1">IF(C33="自定义",ROUND(C35/C32,3),IF(C33="收益比率",SUMIF(INDIRECT("'"&amp;D33&amp;"'"&amp;"!b:b"),"建筑物收益比率",INDIRECT("'"&amp;D33&amp;"'"&amp;"!c:c")),SUMIF(INDIRECT("'"&amp;D33&amp;"'"&amp;"!b:b"),"建筑物成本比率",INDIRECT("'"&amp;D33&amp;"'"&amp;"!c:c"))))</f>
        <v>0.41299999999999998</v>
      </c>
      <c r="E35" s="2447" t="s">
        <v>2155</v>
      </c>
      <c r="F35" s="162"/>
      <c r="G35" s="137"/>
      <c r="H35" s="137"/>
      <c r="I35" s="137"/>
    </row>
    <row r="36" spans="1:15" ht="15" thickBot="1">
      <c r="A36" s="3111" t="s">
        <v>2156</v>
      </c>
      <c r="B36" s="2448" t="s">
        <v>2157</v>
      </c>
      <c r="C36" s="153"/>
      <c r="D36" s="2449"/>
      <c r="E36" s="2450"/>
      <c r="F36" s="2451"/>
      <c r="G36" s="137"/>
      <c r="H36" s="137"/>
      <c r="I36" s="137"/>
    </row>
    <row r="37" spans="1:15" ht="15" thickBot="1">
      <c r="A37" s="3112"/>
      <c r="B37" s="2255" t="s">
        <v>2158</v>
      </c>
      <c r="C37" s="155"/>
      <c r="D37" s="1385"/>
      <c r="E37" s="1385"/>
      <c r="F37" s="2451"/>
      <c r="G37" s="137"/>
      <c r="H37" s="137"/>
      <c r="I37" s="137"/>
    </row>
    <row r="38" spans="1:15" ht="15" thickBot="1">
      <c r="A38" s="3113"/>
      <c r="B38" s="2452" t="s">
        <v>2159</v>
      </c>
      <c r="C38" s="726"/>
      <c r="D38" s="2453" t="s">
        <v>2160</v>
      </c>
      <c r="E38" s="1385"/>
      <c r="F38" s="2451"/>
      <c r="G38" s="137"/>
      <c r="H38" s="137"/>
      <c r="I38" s="137"/>
    </row>
    <row r="39" spans="1:15" ht="14.4">
      <c r="A39" s="2424" t="s">
        <v>2161</v>
      </c>
      <c r="B39" s="2454" t="s">
        <v>2144</v>
      </c>
      <c r="C39" s="2455" t="s">
        <v>2145</v>
      </c>
      <c r="D39" s="2455" t="s">
        <v>2164</v>
      </c>
      <c r="E39" s="2456" t="s">
        <v>2146</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14" t="s">
        <v>2170</v>
      </c>
      <c r="B45" s="3115"/>
      <c r="C45" s="3116"/>
      <c r="D45" s="163">
        <f ca="1">ROUND(H101*F45,0)</f>
        <v>11831</v>
      </c>
      <c r="E45" s="164" t="s">
        <v>2171</v>
      </c>
      <c r="F45" s="165">
        <v>1</v>
      </c>
      <c r="G45" s="166" t="s">
        <v>2172</v>
      </c>
      <c r="H45" s="137"/>
      <c r="I45" s="137"/>
      <c r="J45" s="3117" t="s">
        <v>2173</v>
      </c>
      <c r="K45" s="3117"/>
      <c r="L45" s="3117"/>
      <c r="M45" s="3117"/>
      <c r="N45" s="3117"/>
      <c r="O45" s="3117"/>
    </row>
    <row r="46" spans="1:15" ht="14.25" customHeight="1">
      <c r="A46" s="3118" t="s">
        <v>2174</v>
      </c>
      <c r="B46" s="3119"/>
      <c r="C46" s="3119"/>
      <c r="D46" s="3119"/>
      <c r="E46" s="3119"/>
      <c r="F46" s="3119"/>
      <c r="G46" s="3120"/>
      <c r="H46" s="2467"/>
      <c r="I46" s="167"/>
      <c r="J46" s="2972">
        <v>1</v>
      </c>
      <c r="K46" s="3117" t="s">
        <v>2175</v>
      </c>
      <c r="L46" s="3117"/>
      <c r="M46" s="3121"/>
      <c r="N46" s="3121"/>
      <c r="O46" s="3121"/>
    </row>
    <row r="47" spans="1:15" ht="12" customHeight="1">
      <c r="A47" s="168" t="s">
        <v>2176</v>
      </c>
      <c r="B47" s="169"/>
      <c r="C47" s="170"/>
      <c r="D47" s="171" t="s">
        <v>2177</v>
      </c>
      <c r="E47" s="24" t="s">
        <v>2178</v>
      </c>
      <c r="F47" s="172" t="s">
        <v>2179</v>
      </c>
      <c r="G47" s="173" t="s">
        <v>2180</v>
      </c>
      <c r="H47" s="2467"/>
      <c r="I47" s="167"/>
      <c r="J47" s="2972">
        <v>2</v>
      </c>
      <c r="K47" s="3117" t="s">
        <v>2181</v>
      </c>
      <c r="L47" s="3117"/>
      <c r="M47" s="3122">
        <f>'数据-取费表'!B2</f>
        <v>43699</v>
      </c>
      <c r="N47" s="3122"/>
      <c r="O47" s="3122"/>
    </row>
    <row r="48" spans="1:15" ht="26.4">
      <c r="A48" s="3123" t="s">
        <v>2182</v>
      </c>
      <c r="B48" s="3124"/>
      <c r="C48" s="3124"/>
      <c r="D48" s="139">
        <f>IF(H48="情况1",0,IF(H48="情况2",D52,IF(H48="情况3",D53,IF(H48="情况4",D54))))</f>
        <v>0</v>
      </c>
      <c r="E48" s="2982" t="str">
        <f>IF(H48="情况4","(销售额-原购置价)×税（费）率","销售额×税（费）率")</f>
        <v>销售额×税（费）率</v>
      </c>
      <c r="F48" s="174" t="str">
        <f>IF(H48="情况1","免征",'数据-取费表'!B41)</f>
        <v>免征</v>
      </c>
      <c r="G48" s="2468" t="s">
        <v>2183</v>
      </c>
      <c r="H48" s="2469" t="s">
        <v>2184</v>
      </c>
      <c r="I48" s="2467"/>
      <c r="J48" s="2972">
        <v>3</v>
      </c>
      <c r="K48" s="3117" t="s">
        <v>2185</v>
      </c>
      <c r="L48" s="3117"/>
      <c r="M48" s="3125">
        <f ca="1">H101</f>
        <v>11831</v>
      </c>
      <c r="N48" s="3125"/>
      <c r="O48" s="3125"/>
    </row>
    <row r="49" spans="1:35" ht="25.5" customHeight="1">
      <c r="A49" s="175" t="s">
        <v>2186</v>
      </c>
      <c r="B49" s="3126" t="s">
        <v>2187</v>
      </c>
      <c r="C49" s="3126"/>
      <c r="D49" s="176">
        <v>0</v>
      </c>
      <c r="E49" s="23" t="s">
        <v>2188</v>
      </c>
      <c r="F49" s="28" t="s">
        <v>34</v>
      </c>
      <c r="G49" s="3127"/>
      <c r="H49" s="137"/>
      <c r="I49" s="2470"/>
      <c r="J49" s="2972">
        <v>4</v>
      </c>
      <c r="K49" s="3117" t="str">
        <f>IF(项目基本情况!E8="房地产抵押价值","房地产抵押价值","抵押担保权已注销时的房地产抵押价值")</f>
        <v>房地产抵押价值</v>
      </c>
      <c r="L49" s="3117"/>
      <c r="M49" s="3125">
        <f ca="1">IF(项目基本情况!E8="房地产抵押价值",H107,H109)</f>
        <v>11831</v>
      </c>
      <c r="N49" s="3125"/>
      <c r="O49" s="3125"/>
    </row>
    <row r="50" spans="1:35" ht="25.5" customHeight="1">
      <c r="A50" s="177"/>
      <c r="B50" s="3126" t="s">
        <v>2189</v>
      </c>
      <c r="C50" s="3126"/>
      <c r="D50" s="178"/>
      <c r="E50" s="31"/>
      <c r="F50" s="179"/>
      <c r="G50" s="3128"/>
      <c r="H50" s="137"/>
      <c r="I50" s="2470"/>
      <c r="J50" s="3117" t="s">
        <v>2190</v>
      </c>
      <c r="K50" s="3117"/>
      <c r="L50" s="3117"/>
      <c r="M50" s="3117"/>
      <c r="N50" s="3117"/>
      <c r="O50" s="3117"/>
    </row>
    <row r="51" spans="1:35" ht="12" customHeight="1">
      <c r="A51" s="180"/>
      <c r="B51" s="3126" t="s">
        <v>2191</v>
      </c>
      <c r="C51" s="3126"/>
      <c r="D51" s="181"/>
      <c r="E51" s="30"/>
      <c r="F51" s="179"/>
      <c r="G51" s="3129"/>
      <c r="H51" s="137"/>
      <c r="I51" s="2470"/>
      <c r="J51" s="2969" t="s">
        <v>2192</v>
      </c>
      <c r="K51" s="3117" t="s">
        <v>2193</v>
      </c>
      <c r="L51" s="3117"/>
      <c r="M51" s="2969" t="s">
        <v>2194</v>
      </c>
      <c r="N51" s="2969" t="s">
        <v>2195</v>
      </c>
      <c r="O51" s="2969" t="s">
        <v>2196</v>
      </c>
    </row>
    <row r="52" spans="1:35" ht="24" customHeight="1">
      <c r="A52" s="182" t="s">
        <v>2197</v>
      </c>
      <c r="B52" s="3126" t="s">
        <v>2198</v>
      </c>
      <c r="C52" s="3126"/>
      <c r="D52" s="181">
        <f ca="1">ROUND(D45*'数据-取费表'!B41/(1+'数据-取费表'!C42),0)</f>
        <v>631</v>
      </c>
      <c r="E52" s="11" t="s">
        <v>2199</v>
      </c>
      <c r="F52" s="183">
        <f>'数据-取费表'!B41</f>
        <v>5.6000000000000001E-2</v>
      </c>
      <c r="G52" s="2472"/>
      <c r="H52" s="137"/>
      <c r="I52" s="2470"/>
      <c r="J52" s="2972">
        <v>1</v>
      </c>
      <c r="K52" s="3132" t="s">
        <v>2200</v>
      </c>
      <c r="L52" s="3132"/>
      <c r="M52" s="1744">
        <f>D48</f>
        <v>0</v>
      </c>
      <c r="N52" s="2972" t="str">
        <f>E48</f>
        <v>销售额×税（费）率</v>
      </c>
      <c r="O52" s="1745" t="str">
        <f>F48</f>
        <v>免征</v>
      </c>
    </row>
    <row r="53" spans="1:35" ht="12" customHeight="1">
      <c r="A53" s="182" t="s">
        <v>2201</v>
      </c>
      <c r="B53" s="3130" t="s">
        <v>2202</v>
      </c>
      <c r="C53" s="3131"/>
      <c r="D53" s="181">
        <f ca="1">ROUND(D45*'数据-取费表'!B41/(1+'数据-取费表'!C42),0)</f>
        <v>631</v>
      </c>
      <c r="E53" s="11" t="s">
        <v>2199</v>
      </c>
      <c r="F53" s="183">
        <f>'数据-取费表'!B41</f>
        <v>5.6000000000000001E-2</v>
      </c>
      <c r="G53" s="2472"/>
      <c r="H53" s="137"/>
      <c r="I53" s="2470"/>
      <c r="J53" s="2972">
        <v>2</v>
      </c>
      <c r="K53" s="3132" t="s">
        <v>2203</v>
      </c>
      <c r="L53" s="3132"/>
      <c r="M53" s="1744">
        <f t="shared" ref="M53:O54" ca="1" si="0">D55</f>
        <v>6</v>
      </c>
      <c r="N53" s="2972" t="str">
        <f t="shared" si="0"/>
        <v>销售额×税（费）率</v>
      </c>
      <c r="O53" s="1745">
        <f t="shared" si="0"/>
        <v>5.0000000000000001E-4</v>
      </c>
    </row>
    <row r="54" spans="1:35" ht="12" customHeight="1">
      <c r="A54" s="182" t="s">
        <v>2204</v>
      </c>
      <c r="B54" s="3130" t="s">
        <v>2205</v>
      </c>
      <c r="C54" s="3131"/>
      <c r="D54" s="181">
        <f ca="1">C68</f>
        <v>631</v>
      </c>
      <c r="E54" s="30" t="s">
        <v>2206</v>
      </c>
      <c r="F54" s="183">
        <f>'数据-取费表'!B41</f>
        <v>5.6000000000000001E-2</v>
      </c>
      <c r="G54" s="2472"/>
      <c r="H54" s="2473"/>
      <c r="I54" s="2470"/>
      <c r="J54" s="2972">
        <v>3</v>
      </c>
      <c r="K54" s="3132" t="s">
        <v>2207</v>
      </c>
      <c r="L54" s="3132"/>
      <c r="M54" s="1744">
        <f t="shared" ca="1" si="0"/>
        <v>6696</v>
      </c>
      <c r="N54" s="2972" t="str">
        <f t="shared" si="0"/>
        <v>增值额×税（费）率</v>
      </c>
      <c r="O54" s="1746" t="str">
        <f t="shared" si="0"/>
        <v>——</v>
      </c>
    </row>
    <row r="55" spans="1:35" ht="24" customHeight="1">
      <c r="A55" s="3133" t="s">
        <v>2208</v>
      </c>
      <c r="B55" s="3124"/>
      <c r="C55" s="3124"/>
      <c r="D55" s="184">
        <f ca="1">IF(H55="个人住宅",0,ROUND(D45*I55,0))</f>
        <v>6</v>
      </c>
      <c r="E55" s="11" t="s">
        <v>2209</v>
      </c>
      <c r="F55" s="183">
        <f>IF(H55="正常",I55,"免征")</f>
        <v>5.0000000000000001E-4</v>
      </c>
      <c r="G55" s="2472"/>
      <c r="H55" s="2469" t="s">
        <v>2210</v>
      </c>
      <c r="I55" s="185">
        <f>'数据-取费表'!B49</f>
        <v>5.0000000000000001E-4</v>
      </c>
      <c r="J55" s="2972" t="str">
        <f>IF(H59="非个人房产","",4)</f>
        <v/>
      </c>
      <c r="K55" s="3132" t="str">
        <f>IF(H59="非个人房产","——","个人所得税")</f>
        <v>——</v>
      </c>
      <c r="L55" s="3132"/>
      <c r="M55" s="1747" t="str">
        <f>D59</f>
        <v>——</v>
      </c>
      <c r="N55" s="2973" t="str">
        <f>E59</f>
        <v>——</v>
      </c>
      <c r="O55" s="1748" t="str">
        <f>F59</f>
        <v>——</v>
      </c>
    </row>
    <row r="56" spans="1:35" ht="25.2">
      <c r="A56" s="3133" t="s">
        <v>2211</v>
      </c>
      <c r="B56" s="3124"/>
      <c r="C56" s="3124"/>
      <c r="D56" s="184">
        <f ca="1">IF(H56="个人住宅",D57,D58)</f>
        <v>6696</v>
      </c>
      <c r="E56" s="11" t="s">
        <v>2212</v>
      </c>
      <c r="F56" s="183" t="str">
        <f>IF(H56="正常",F58,"免征")</f>
        <v>——</v>
      </c>
      <c r="G56" s="2474" t="s">
        <v>2213</v>
      </c>
      <c r="H56" s="2475" t="s">
        <v>2210</v>
      </c>
      <c r="I56" s="2476"/>
      <c r="J56" s="2972" t="str">
        <f>IF(项目基本情况!K6="上海银行",IF(J55="",4,J55+1),"")</f>
        <v/>
      </c>
      <c r="K56" s="3134" t="str">
        <f>IF(项目基本情况!K6="上海银行","其他处置费用","")</f>
        <v/>
      </c>
      <c r="L56" s="3135"/>
      <c r="M56" s="1744" t="str">
        <f>IF(项目基本情况!K6="上海银行",M69,"")</f>
        <v/>
      </c>
      <c r="N56" s="3142" t="str">
        <f>IF(项目基本情况!K6="上海银行","包含处置中涉及的律师、诉讼、拍卖、评估等费用","")</f>
        <v/>
      </c>
      <c r="O56" s="3143"/>
    </row>
    <row r="57" spans="1:35" ht="13.2">
      <c r="A57" s="182" t="s">
        <v>2186</v>
      </c>
      <c r="B57" s="3105" t="s">
        <v>2214</v>
      </c>
      <c r="C57" s="3107"/>
      <c r="D57" s="186">
        <v>0</v>
      </c>
      <c r="E57" s="23" t="s">
        <v>2188</v>
      </c>
      <c r="F57" s="154"/>
      <c r="G57" s="2472"/>
      <c r="H57" s="2476"/>
      <c r="I57" s="2476"/>
      <c r="J57" s="3132">
        <f>IF(AND(J55="",J56=""),4,IF(项目基本情况!K6="上海银行",'结果表-洋房'!J56+1,'结果表-洋房'!J55+1))</f>
        <v>4</v>
      </c>
      <c r="K57" s="3132" t="s">
        <v>2215</v>
      </c>
      <c r="L57" s="2477" t="s">
        <v>2216</v>
      </c>
      <c r="M57" s="1749"/>
      <c r="N57" s="1750">
        <f ca="1">SUMIF(M52:M56,"&lt;9e307")</f>
        <v>6702</v>
      </c>
      <c r="O57" s="2478"/>
      <c r="P57" s="1743">
        <f ca="1">N57/M49</f>
        <v>0.56647789705012253</v>
      </c>
    </row>
    <row r="58" spans="1:35" ht="25.2">
      <c r="A58" s="182" t="s">
        <v>2197</v>
      </c>
      <c r="B58" s="3105" t="s">
        <v>2217</v>
      </c>
      <c r="C58" s="3106"/>
      <c r="D58" s="184">
        <f ca="1">IF(H58="转让取得",C81,C97)</f>
        <v>6696</v>
      </c>
      <c r="E58" s="11" t="s">
        <v>2212</v>
      </c>
      <c r="F58" s="24" t="s">
        <v>34</v>
      </c>
      <c r="G58" s="2472"/>
      <c r="H58" s="2475" t="s">
        <v>2218</v>
      </c>
      <c r="I58" s="2476"/>
      <c r="J58" s="3132"/>
      <c r="K58" s="3132"/>
      <c r="L58" s="2477" t="s">
        <v>2219</v>
      </c>
      <c r="M58" s="1751"/>
      <c r="N58" s="2479" t="str">
        <f ca="1">NUMBERSTRING(INT(N57*10000),2)&amp;"元整"</f>
        <v>陆仟柒佰零贰万元整</v>
      </c>
      <c r="O58" s="2480"/>
    </row>
    <row r="59" spans="1:35" ht="24.6" thickBot="1">
      <c r="A59" s="3144" t="s">
        <v>2220</v>
      </c>
      <c r="B59" s="3145"/>
      <c r="C59" s="3145"/>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46">
        <f>J57+1</f>
        <v>5</v>
      </c>
      <c r="K59" s="3132" t="s">
        <v>2222</v>
      </c>
      <c r="L59" s="2972" t="s">
        <v>2216</v>
      </c>
      <c r="M59" s="1752"/>
      <c r="N59" s="1753">
        <f ca="1">M49-N57</f>
        <v>5129</v>
      </c>
      <c r="O59" s="2482"/>
    </row>
    <row r="60" spans="1:35" ht="12" customHeight="1">
      <c r="A60" s="2483"/>
      <c r="B60" s="2405"/>
      <c r="C60" s="2405"/>
      <c r="D60" s="2405"/>
      <c r="E60" s="2155"/>
      <c r="F60" s="2476"/>
      <c r="G60" s="2476"/>
      <c r="H60" s="2484"/>
      <c r="I60" s="137"/>
      <c r="J60" s="3147"/>
      <c r="K60" s="3132"/>
      <c r="L60" s="2477" t="s">
        <v>2219</v>
      </c>
      <c r="M60" s="1751"/>
      <c r="N60" s="2479" t="str">
        <f ca="1">NUMBERSTRING(INT(N59*10000),2)&amp;"元整"</f>
        <v>伍仟壹佰贰拾玖万元整</v>
      </c>
      <c r="O60" s="2480"/>
    </row>
    <row r="61" spans="1:35" ht="13.8" thickBot="1">
      <c r="A61" s="3136" t="s">
        <v>2223</v>
      </c>
      <c r="B61" s="3136"/>
      <c r="C61" s="3136"/>
      <c r="D61" s="3136"/>
      <c r="E61" s="3136"/>
      <c r="F61" s="2476"/>
      <c r="G61" s="2476"/>
      <c r="H61" s="2484"/>
      <c r="I61" s="137"/>
      <c r="J61" s="2972">
        <f>J59+1</f>
        <v>6</v>
      </c>
      <c r="K61" s="3132" t="s">
        <v>2224</v>
      </c>
      <c r="L61" s="3132"/>
      <c r="M61" s="1754"/>
      <c r="N61" s="1755">
        <f ca="1">ROUND(N59*10000/'数据-汇总表'!E3,0)</f>
        <v>2410</v>
      </c>
      <c r="O61" s="2485"/>
    </row>
    <row r="62" spans="1:35" ht="13.2">
      <c r="A62" s="3137" t="s">
        <v>2225</v>
      </c>
      <c r="B62" s="3138"/>
      <c r="C62" s="2977"/>
      <c r="D62" s="2977" t="s">
        <v>2226</v>
      </c>
      <c r="E62" s="191" t="s">
        <v>2227</v>
      </c>
      <c r="F62" s="2476"/>
      <c r="G62" s="2476"/>
      <c r="H62" s="2484"/>
      <c r="I62" s="137"/>
    </row>
    <row r="63" spans="1:35" ht="13.2">
      <c r="A63" s="202" t="s">
        <v>775</v>
      </c>
      <c r="B63" s="192" t="s">
        <v>2228</v>
      </c>
      <c r="C63" s="193">
        <f ca="1">ROUND((C64+C65)/(1+'数据-取费表'!C42),0)</f>
        <v>11268</v>
      </c>
      <c r="D63" s="194"/>
      <c r="E63" s="195"/>
      <c r="F63" s="2476"/>
      <c r="G63" s="2476"/>
      <c r="H63" s="2484"/>
      <c r="I63" s="137"/>
      <c r="J63" s="3139" t="s">
        <v>2229</v>
      </c>
      <c r="K63" s="2970" t="s">
        <v>2230</v>
      </c>
      <c r="L63" s="1742">
        <f ca="1">IF(M49&gt;10000,M49*0.5%,IF(AND(M49&gt;1000,M49&lt;=10000),M49*1%,IF(AND(M49&gt;100,M49&lt;=1000),M49*3%,IF(AND(M49&gt;10,M49&lt;=100),M49*5%,M49*8%))))</f>
        <v>59.155000000000001</v>
      </c>
      <c r="M63" s="24">
        <f ca="1">ROUND(L63,1)</f>
        <v>59.2</v>
      </c>
      <c r="Z63" s="2410"/>
      <c r="AI63" s="2411"/>
    </row>
    <row r="64" spans="1:35" ht="14.25" customHeight="1">
      <c r="A64" s="196" t="s">
        <v>770</v>
      </c>
      <c r="B64" s="197" t="s">
        <v>2231</v>
      </c>
      <c r="C64" s="198">
        <f ca="1">D45</f>
        <v>11831</v>
      </c>
      <c r="D64" s="199" t="s">
        <v>32</v>
      </c>
      <c r="E64" s="200"/>
      <c r="F64" s="2476"/>
      <c r="G64" s="2476"/>
      <c r="H64" s="2484"/>
      <c r="I64" s="137"/>
      <c r="J64" s="3139"/>
      <c r="K64" s="2970" t="s">
        <v>2232</v>
      </c>
      <c r="L64" s="1742">
        <f ca="1">IF(M49&gt;2000,M49*0.5%,IF(AND(M49&gt;1000,M49&lt;=2000),M49*0.6%,IF(AND(M49&gt;500,M49&lt;=1000),M49*0.7%,IF(AND(M49&gt;200,M49&lt;=500),M49*0.8%,IF(AND(M49&gt;100,M49&lt;=200),M49*0.9%,IF(AND(M49&gt;50,M49&lt;=100),M49*1%,IF(AND(M49&gt;20,M49&lt;=50),M49*1.5%,IF(AND(M49&gt;10,M49&lt;=20),M49*2%,IF(AND(M49&gt;1,M49&lt;=10),M49*2.5%)))))))))</f>
        <v>59.155000000000001</v>
      </c>
      <c r="M64" s="24">
        <f t="shared" ref="M64:M65" ca="1" si="1">ROUND(L64,1)</f>
        <v>59.2</v>
      </c>
      <c r="N64" s="137" t="s">
        <v>2233</v>
      </c>
      <c r="Z64" s="2410"/>
      <c r="AI64" s="2411"/>
    </row>
    <row r="65" spans="1:35" ht="14.25" customHeight="1">
      <c r="A65" s="196" t="s">
        <v>771</v>
      </c>
      <c r="B65" s="197" t="s">
        <v>2234</v>
      </c>
      <c r="C65" s="201"/>
      <c r="D65" s="199"/>
      <c r="E65" s="200"/>
      <c r="F65" s="2476"/>
      <c r="G65" s="2476"/>
      <c r="H65" s="2484"/>
      <c r="I65" s="137"/>
      <c r="J65" s="3139"/>
      <c r="K65" s="2970" t="s">
        <v>2235</v>
      </c>
      <c r="L65" s="1742">
        <f ca="1">IF(M49&gt;1000,M49*0.1%,IF(AND(M49&gt;500,M49&lt;=1000),M49*0.5%,IF(AND(M49&gt;50,M49&lt;=500),M49*1%,IF(AND(M49&gt;1,M49&lt;=50),M49*1.5%))))</f>
        <v>11.831</v>
      </c>
      <c r="M65" s="24">
        <f t="shared" ca="1" si="1"/>
        <v>11.8</v>
      </c>
      <c r="N65" s="137" t="s">
        <v>2233</v>
      </c>
      <c r="Z65" s="2410"/>
      <c r="AI65" s="2411"/>
    </row>
    <row r="66" spans="1:35" ht="14.25" customHeight="1">
      <c r="A66" s="202" t="s">
        <v>772</v>
      </c>
      <c r="B66" s="203" t="s">
        <v>2236</v>
      </c>
      <c r="C66" s="204"/>
      <c r="D66" s="205" t="s">
        <v>32</v>
      </c>
      <c r="E66" s="1766" t="s">
        <v>1367</v>
      </c>
      <c r="F66" s="2476"/>
      <c r="G66" s="2476"/>
      <c r="H66" s="2484"/>
      <c r="I66" s="137"/>
      <c r="J66" s="3139"/>
      <c r="K66" s="2970" t="s">
        <v>2237</v>
      </c>
      <c r="L66" s="1742">
        <f ca="1">M49*0.5%</f>
        <v>59.155000000000001</v>
      </c>
      <c r="M66" s="24">
        <f ca="1">IF(L66&gt;0.5,0.5,ROUND(L66,0))</f>
        <v>0.5</v>
      </c>
      <c r="N66" s="137" t="s">
        <v>2238</v>
      </c>
      <c r="Z66" s="2410"/>
      <c r="AI66" s="2411"/>
    </row>
    <row r="67" spans="1:35" ht="14.25" customHeight="1">
      <c r="A67" s="202" t="s">
        <v>773</v>
      </c>
      <c r="B67" s="203" t="s">
        <v>2239</v>
      </c>
      <c r="C67" s="206">
        <f ca="1">C63-C66</f>
        <v>11268</v>
      </c>
      <c r="D67" s="199" t="s">
        <v>32</v>
      </c>
      <c r="E67" s="200"/>
      <c r="F67" s="2476"/>
      <c r="G67" s="2476"/>
      <c r="H67" s="2484"/>
      <c r="I67" s="137"/>
      <c r="J67" s="3139"/>
      <c r="K67" s="2970" t="s">
        <v>2240</v>
      </c>
      <c r="L67" s="1742">
        <f ca="1">IF(M49&gt;=10000,(8.25+(M49-10000)*0.01%),IF(AND(M49&gt;=8000,M49&lt;10000),(7.85+(M49-8000)*0.02%),IF(AND(M49&gt;=5000,M49&lt;8000),(6.65+(M49-5000)*0.04%),IF(AND(M49&gt;=2000,M49&lt;5000),(4.25+(PM49-2000)*0.08%),IF(AND(M49&gt;=1000,M49&lt;2000),(2.75+(M49-1000)*0.15%),IF(AND(M49&gt;=100,M49&lt;1000),(0.5+(M49-100)*0.25%),IF(AND(M49&gt;0,M49&lt;100),M49*0.5%)))))))</f>
        <v>8.4330999999999996</v>
      </c>
      <c r="M67" s="24">
        <f ca="1">ROUND(L67*0.9,1)</f>
        <v>7.6</v>
      </c>
      <c r="Z67" s="2410"/>
      <c r="AI67" s="2411"/>
    </row>
    <row r="68" spans="1:35" ht="14.25" customHeight="1" thickBot="1">
      <c r="A68" s="207" t="s">
        <v>774</v>
      </c>
      <c r="B68" s="208" t="s">
        <v>2241</v>
      </c>
      <c r="C68" s="209">
        <f ca="1">IF(C67&lt;=0,0,ROUND(C67*D68,0))</f>
        <v>631</v>
      </c>
      <c r="D68" s="210">
        <f>'数据-取费表'!B41</f>
        <v>5.6000000000000001E-2</v>
      </c>
      <c r="E68" s="211"/>
      <c r="F68" s="2476"/>
      <c r="G68" s="2476"/>
      <c r="H68" s="2484"/>
      <c r="I68" s="137"/>
      <c r="J68" s="3139"/>
      <c r="K68" s="2970" t="s">
        <v>2242</v>
      </c>
      <c r="L68" s="1742">
        <f ca="1">IF(M49&gt;10000,M49*0.5%,IF(AND(M49&gt;5000,M49&lt;=10000),M49*1%,IF(AND(M49&gt;1000,M49&lt;=5000),M49*2%,IF(AND(M49&gt;200,M49&lt;=1000),M49*3%,M49*5%))))</f>
        <v>59.155000000000001</v>
      </c>
      <c r="M68" s="24">
        <f ca="1">ROUND(L68,1)</f>
        <v>59.2</v>
      </c>
      <c r="Z68" s="2410"/>
      <c r="AI68" s="2411"/>
    </row>
    <row r="69" spans="1:35" s="2433" customFormat="1" ht="16.5" customHeight="1">
      <c r="A69" s="2487"/>
      <c r="B69" s="2488"/>
      <c r="C69" s="2489"/>
      <c r="D69" s="2490"/>
      <c r="E69" s="2491"/>
      <c r="F69" s="2155"/>
      <c r="G69" s="2155"/>
      <c r="H69" s="2154"/>
      <c r="I69" s="2405"/>
      <c r="J69" s="3139"/>
      <c r="K69" s="2970" t="s">
        <v>2243</v>
      </c>
      <c r="L69" s="2492"/>
      <c r="M69" s="24">
        <f ca="1">ROUND(SUM(M63:M68),0)</f>
        <v>198</v>
      </c>
      <c r="N69" s="1743">
        <f ca="1">M69/M49</f>
        <v>1.6735694362268617E-2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40" t="s">
        <v>2244</v>
      </c>
      <c r="B70" s="3141"/>
      <c r="C70" s="3141"/>
      <c r="D70" s="3141"/>
      <c r="E70" s="3141"/>
      <c r="F70" s="3141"/>
      <c r="G70" s="3141"/>
      <c r="H70" s="314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7" t="s">
        <v>2225</v>
      </c>
      <c r="B71" s="3138"/>
      <c r="C71" s="2977"/>
      <c r="D71" s="2977"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11268</v>
      </c>
      <c r="D72" s="199" t="s">
        <v>32</v>
      </c>
      <c r="E72" s="2979"/>
      <c r="F72" s="2978"/>
      <c r="G72" s="297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68</v>
      </c>
      <c r="D73" s="199" t="s">
        <v>32</v>
      </c>
      <c r="E73" s="2979"/>
      <c r="F73" s="2978"/>
      <c r="G73" s="297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2979"/>
      <c r="F74" s="2978"/>
      <c r="G74" s="297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0" t="s">
        <v>2253</v>
      </c>
      <c r="F76" s="3126"/>
      <c r="G76" s="3126"/>
      <c r="H76" s="316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2971" t="s">
        <v>2255</v>
      </c>
      <c r="F77" s="223"/>
      <c r="G77" s="2500" t="s">
        <v>2256</v>
      </c>
      <c r="H77" s="2980"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68</v>
      </c>
      <c r="D78" s="225">
        <f>'数据-取费表'!B43</f>
        <v>6.000000000000001E-3</v>
      </c>
      <c r="E78" s="3148" t="s">
        <v>2258</v>
      </c>
      <c r="F78" s="3149"/>
      <c r="G78" s="3149"/>
      <c r="H78" s="315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773</v>
      </c>
      <c r="B79" s="203" t="s">
        <v>2259</v>
      </c>
      <c r="C79" s="206">
        <f ca="1">C72-C73</f>
        <v>11200</v>
      </c>
      <c r="D79" s="199" t="s">
        <v>32</v>
      </c>
      <c r="E79" s="2979"/>
      <c r="F79" s="2978"/>
      <c r="G79" s="297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164.70588235294119</v>
      </c>
      <c r="D80" s="199" t="s">
        <v>32</v>
      </c>
      <c r="E80" s="2971" t="str">
        <f ca="1">IF(C80&gt;=200%,"增值额超过扣除项目金额200%",IF(C80&gt;=100%,"增值额超过扣除项目金额100%，未超过200%",IF(C80&gt;=50%,"增值额超过扣除项目金额50%，未超过100%",IF(C80&lt;50%,"增值额未超过扣除项目金额50%"))))</f>
        <v>增值额超过扣除项目金额200%</v>
      </c>
      <c r="F80" s="2978"/>
      <c r="G80" s="297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6696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0" t="s">
        <v>2262</v>
      </c>
      <c r="B83" s="3141"/>
      <c r="C83" s="3141"/>
      <c r="D83" s="3141"/>
      <c r="E83" s="3141"/>
      <c r="F83" s="3141"/>
      <c r="G83" s="3141"/>
      <c r="H83" s="314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7" t="s">
        <v>2225</v>
      </c>
      <c r="B84" s="3138"/>
      <c r="C84" s="2977"/>
      <c r="D84" s="2977"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11268</v>
      </c>
      <c r="D85" s="199" t="s">
        <v>32</v>
      </c>
      <c r="E85" s="2979"/>
      <c r="F85" s="2978"/>
      <c r="G85" s="297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68</v>
      </c>
      <c r="D86" s="234"/>
      <c r="E86" s="2979"/>
      <c r="F86" s="2978"/>
      <c r="G86" s="297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2974"/>
      <c r="F87" s="2975"/>
      <c r="G87" s="2975"/>
      <c r="H87" s="2976"/>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2975"/>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2975"/>
      <c r="G89" s="2975"/>
      <c r="H89" s="2976"/>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2975"/>
      <c r="G90" s="2975"/>
      <c r="H90" s="2976"/>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48" t="s">
        <v>2271</v>
      </c>
      <c r="F91" s="3149"/>
      <c r="G91" s="3149"/>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48" t="s">
        <v>2275</v>
      </c>
      <c r="F92" s="3149"/>
      <c r="G92" s="3149"/>
      <c r="H92" s="315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68</v>
      </c>
      <c r="D93" s="225">
        <f>'数据-取费表'!B43</f>
        <v>6.000000000000001E-3</v>
      </c>
      <c r="E93" s="3148" t="s">
        <v>2258</v>
      </c>
      <c r="F93" s="3149"/>
      <c r="G93" s="3149"/>
      <c r="H93" s="315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51" t="s">
        <v>2279</v>
      </c>
      <c r="F94" s="3152"/>
      <c r="G94" s="3152"/>
      <c r="H94" s="315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773</v>
      </c>
      <c r="B95" s="203" t="s">
        <v>2259</v>
      </c>
      <c r="C95" s="206">
        <f ca="1">ROUND(C85-C86,0)</f>
        <v>11200</v>
      </c>
      <c r="D95" s="199" t="s">
        <v>32</v>
      </c>
      <c r="E95" s="2979"/>
      <c r="F95" s="2978"/>
      <c r="G95" s="297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164.70588235294119</v>
      </c>
      <c r="D96" s="199" t="s">
        <v>32</v>
      </c>
      <c r="E96" s="2971" t="str">
        <f ca="1">IF(C96&gt;=200%,"增值额超过扣除项目金额200%",IF(C96&gt;=100%,"增值额超过扣除项目金额100%，未超过200%",IF(C96&gt;=50%,"增值额超过扣除项目金额50%，未超过100%",IF(C96&lt;50%,"增值额未超过扣除项目金额50%"))))</f>
        <v>增值额超过扣除项目金额200%</v>
      </c>
      <c r="F96" s="2978"/>
      <c r="G96" s="297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6696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90" t="s">
        <v>2281</v>
      </c>
      <c r="B100" s="3091"/>
      <c r="C100" s="3091"/>
      <c r="D100" s="3154"/>
      <c r="E100" s="3091" t="s">
        <v>2282</v>
      </c>
      <c r="F100" s="3091"/>
      <c r="G100" s="3091"/>
      <c r="H100" s="3154"/>
      <c r="I100" s="137"/>
    </row>
    <row r="101" spans="1:35" ht="18.75" customHeight="1">
      <c r="A101" s="3155" t="s">
        <v>2283</v>
      </c>
      <c r="B101" s="3156"/>
      <c r="C101" s="735" t="str">
        <f>C4</f>
        <v>比较法-洋房</v>
      </c>
      <c r="D101" s="736" t="str">
        <f>D4</f>
        <v>收益法-洋房</v>
      </c>
      <c r="E101" s="3157" t="s">
        <v>2284</v>
      </c>
      <c r="F101" s="3158"/>
      <c r="G101" s="2507" t="s">
        <v>2285</v>
      </c>
      <c r="H101" s="1038">
        <f ca="1">H118</f>
        <v>11831</v>
      </c>
      <c r="I101" s="137"/>
    </row>
    <row r="102" spans="1:35" ht="18.75" customHeight="1">
      <c r="A102" s="3159" t="s">
        <v>2286</v>
      </c>
      <c r="B102" s="2507" t="s">
        <v>2285</v>
      </c>
      <c r="C102" s="735">
        <f ca="1">C19</f>
        <v>13011</v>
      </c>
      <c r="D102" s="736">
        <f ca="1">D19</f>
        <v>7113</v>
      </c>
      <c r="E102" s="3157"/>
      <c r="F102" s="3158"/>
      <c r="G102" s="2507" t="s">
        <v>2287</v>
      </c>
      <c r="H102" s="370">
        <f ca="1">I118</f>
        <v>14851</v>
      </c>
      <c r="I102" s="137"/>
    </row>
    <row r="103" spans="1:35" ht="42.75" customHeight="1">
      <c r="A103" s="3159"/>
      <c r="B103" s="2507" t="s">
        <v>2287</v>
      </c>
      <c r="C103" s="737">
        <f ca="1">C20</f>
        <v>16333</v>
      </c>
      <c r="D103" s="738">
        <f ca="1">D20</f>
        <v>8929</v>
      </c>
      <c r="E103" s="3160" t="s">
        <v>2288</v>
      </c>
      <c r="F103" s="3161"/>
      <c r="G103" s="2508" t="s">
        <v>2289</v>
      </c>
      <c r="H103" s="1038">
        <f>IF(D36="正常操作",H104+H105+H106,H105+H106)</f>
        <v>0</v>
      </c>
      <c r="I103" s="137"/>
    </row>
    <row r="104" spans="1:35" ht="18.75" customHeight="1">
      <c r="A104" s="3159" t="s">
        <v>2290</v>
      </c>
      <c r="B104" s="2509" t="s">
        <v>2285</v>
      </c>
      <c r="C104" s="739">
        <f ca="1">H118</f>
        <v>11831</v>
      </c>
      <c r="D104" s="740"/>
      <c r="E104" s="2255" t="s">
        <v>2291</v>
      </c>
      <c r="F104" s="2247"/>
      <c r="G104" s="2508" t="s">
        <v>2289</v>
      </c>
      <c r="H104" s="1039">
        <f>IF(D36="同一抵押权人同一抵押物续贷",C36&amp;"（未扣减，详见特别提示）",C36)</f>
        <v>0</v>
      </c>
      <c r="I104" s="137"/>
    </row>
    <row r="105" spans="1:35" ht="18.75" customHeight="1" thickBot="1">
      <c r="A105" s="3168"/>
      <c r="B105" s="2510" t="s">
        <v>2287</v>
      </c>
      <c r="C105" s="741">
        <f ca="1">I118</f>
        <v>14851</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9" t="str">
        <f>IF(项目基本情况!E8="已注销","——","3.房地产抵押价值")</f>
        <v>3.房地产抵押价值</v>
      </c>
      <c r="F107" s="3158"/>
      <c r="G107" s="2507" t="s">
        <v>2285</v>
      </c>
      <c r="H107" s="1038">
        <f ca="1">IF(E107="——","——",H101-H103)</f>
        <v>11831</v>
      </c>
      <c r="I107" s="137"/>
    </row>
    <row r="108" spans="1:35" ht="18.75" customHeight="1">
      <c r="A108" s="137"/>
      <c r="B108" s="137"/>
      <c r="C108" s="137"/>
      <c r="D108" s="137"/>
      <c r="E108" s="3169"/>
      <c r="F108" s="3158"/>
      <c r="G108" s="2507" t="s">
        <v>2287</v>
      </c>
      <c r="H108" s="370">
        <f ca="1">ROUND(H107*10000/'数据-汇总表'!E3,0)</f>
        <v>5560</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58"/>
      <c r="G109" s="2507" t="s">
        <v>2285</v>
      </c>
      <c r="H109" s="347" t="str">
        <f>IF(E109="——","——",H101-H105-H106)</f>
        <v>——</v>
      </c>
      <c r="I109" s="137"/>
    </row>
    <row r="110" spans="1:35" ht="18.75" customHeight="1">
      <c r="A110" s="137"/>
      <c r="B110" s="137"/>
      <c r="C110" s="137"/>
      <c r="D110" s="137"/>
      <c r="E110" s="3169"/>
      <c r="F110" s="3158"/>
      <c r="G110" s="2507" t="s">
        <v>2287</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07" t="s">
        <v>2285</v>
      </c>
      <c r="H111" s="1038" t="str">
        <f>IF(E111="——","——",N59)</f>
        <v>——</v>
      </c>
      <c r="I111" s="137"/>
    </row>
    <row r="112" spans="1:35" ht="18.75" customHeight="1" thickBot="1">
      <c r="A112" s="137"/>
      <c r="B112" s="137"/>
      <c r="C112" s="137"/>
      <c r="D112" s="137"/>
      <c r="E112" s="3172"/>
      <c r="F112" s="3173"/>
      <c r="G112" s="2512" t="s">
        <v>2287</v>
      </c>
      <c r="H112" s="789" t="str">
        <f>IF(E111="——","——",N61)</f>
        <v>——</v>
      </c>
      <c r="I112" s="137"/>
    </row>
    <row r="113" spans="1:11" ht="18.75" customHeight="1">
      <c r="A113" s="137"/>
      <c r="B113" s="137"/>
      <c r="C113" s="137"/>
      <c r="D113" s="137"/>
      <c r="E113" s="3174" t="s">
        <v>2293</v>
      </c>
      <c r="F113" s="3174"/>
      <c r="G113" s="3174"/>
      <c r="H113" s="3174"/>
      <c r="I113" s="137"/>
    </row>
    <row r="114" spans="1:11" ht="3.75" customHeight="1">
      <c r="A114" s="2405"/>
      <c r="B114" s="2405"/>
      <c r="C114" s="2405"/>
      <c r="D114" s="2405"/>
      <c r="E114" s="2483"/>
      <c r="F114" s="2483"/>
      <c r="G114" s="2483"/>
      <c r="H114" s="2483"/>
      <c r="I114" s="2405"/>
    </row>
    <row r="115" spans="1:11" ht="18.75" customHeight="1">
      <c r="A115" s="3175" t="s">
        <v>2295</v>
      </c>
      <c r="B115" s="3176"/>
      <c r="C115" s="3176"/>
      <c r="D115" s="3176"/>
      <c r="E115" s="3176"/>
      <c r="F115" s="3176"/>
      <c r="G115" s="3176"/>
      <c r="H115" s="3176"/>
      <c r="I115" s="3177"/>
    </row>
    <row r="116" spans="1:11" ht="27" customHeight="1">
      <c r="A116" s="3046" t="s">
        <v>2296</v>
      </c>
      <c r="B116" s="3163" t="s">
        <v>2297</v>
      </c>
      <c r="C116" s="3163" t="s">
        <v>2298</v>
      </c>
      <c r="D116" s="3165" t="s">
        <v>2299</v>
      </c>
      <c r="E116" s="3166"/>
      <c r="F116" s="3167" t="s">
        <v>2300</v>
      </c>
      <c r="G116" s="3167"/>
      <c r="H116" s="3046" t="s">
        <v>2301</v>
      </c>
      <c r="I116" s="3046"/>
    </row>
    <row r="117" spans="1:11" ht="18.75" customHeight="1">
      <c r="A117" s="3046"/>
      <c r="B117" s="3164"/>
      <c r="C117" s="3164"/>
      <c r="D117" s="2967" t="s">
        <v>2302</v>
      </c>
      <c r="E117" s="2967" t="s">
        <v>2303</v>
      </c>
      <c r="F117" s="2967" t="s">
        <v>2302</v>
      </c>
      <c r="G117" s="2967" t="s">
        <v>2304</v>
      </c>
      <c r="H117" s="2967" t="s">
        <v>2302</v>
      </c>
      <c r="I117" s="2967" t="s">
        <v>2304</v>
      </c>
    </row>
    <row r="118" spans="1:11" ht="24.75" customHeight="1">
      <c r="A118" s="2513" t="str">
        <f>项目基本情况!S2</f>
        <v>浙江省吴兴区八里店乌山单元02-01E号地块房地产</v>
      </c>
      <c r="B118" s="2967">
        <f>M18</f>
        <v>7966.26</v>
      </c>
      <c r="C118" s="2967">
        <f>M19</f>
        <v>3099.71</v>
      </c>
      <c r="D118" s="2967">
        <f ca="1">ROUND(IF(D32="总价",C34,E118*B118/10000),0)</f>
        <v>6945</v>
      </c>
      <c r="E118" s="2967">
        <f ca="1">ROUND(IF(C33="自定义",IF(D32="楼面单价",C34,D118*10000/B118),I118-G118),0)</f>
        <v>8718</v>
      </c>
      <c r="F118" s="2967">
        <f ca="1">ROUND(IF(D32="总价",C35,G118*B118/10000),0)</f>
        <v>4886</v>
      </c>
      <c r="G118" s="2967">
        <f ca="1">ROUND(IF(D32="楼面单价",C35,F118*10000/B118),0)</f>
        <v>6133</v>
      </c>
      <c r="H118" s="2967">
        <f ca="1">ROUND(IF(D32="总价",C32,I118*B118/10000),0)</f>
        <v>11831</v>
      </c>
      <c r="I118" s="2967">
        <f ca="1">ROUND(IF(D32="楼面单价",C32,H118*10000/B118),0)</f>
        <v>14851</v>
      </c>
    </row>
    <row r="119" spans="1:11" ht="18.75" customHeight="1">
      <c r="A119" s="3046" t="s">
        <v>2305</v>
      </c>
      <c r="B119" s="3046"/>
      <c r="C119" s="3046"/>
      <c r="D119" s="3181" t="str">
        <f ca="1">NUMBERSTRING(INT(D118*10000),2)&amp;"元整"</f>
        <v>陆仟玖佰肆拾伍万元整</v>
      </c>
      <c r="E119" s="3183"/>
      <c r="F119" s="3181" t="str">
        <f ca="1">NUMBERSTRING(INT(F118*10000),2)&amp;"元整"</f>
        <v>肆仟捌佰捌拾陆万元整</v>
      </c>
      <c r="G119" s="3183"/>
      <c r="H119" s="3181" t="str">
        <f ca="1">NUMBERSTRING(INT(H118*10000),2)&amp;"元整"</f>
        <v>壹亿壹仟捌佰叁拾壹万元整</v>
      </c>
      <c r="I119" s="3183"/>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0" t="str">
        <f>IF(D120=0,"故，本次评估不存在"&amp;A120,"故，本次评估"&amp;A120&amp;"为人民币"&amp;D120&amp;"万元整。")</f>
        <v>故，本次评估不存在估价师知悉的法定优先受偿款</v>
      </c>
    </row>
    <row r="121" spans="1:11" ht="18.75" customHeight="1">
      <c r="A121" s="3178" t="s">
        <v>2305</v>
      </c>
      <c r="B121" s="3179"/>
      <c r="C121" s="3180"/>
      <c r="D121" s="3181" t="str">
        <f>IF(D120=0,"零元整",NUMBERSTRING(INT(D120*10000),2)&amp;"元整")</f>
        <v>零元整</v>
      </c>
      <c r="E121" s="3182"/>
      <c r="F121" s="3182"/>
      <c r="G121" s="3182"/>
      <c r="H121" s="3182"/>
      <c r="I121" s="3183"/>
    </row>
    <row r="122" spans="1:11" ht="18.75" customHeight="1">
      <c r="A122" s="3184" t="str">
        <f>IF(项目基本情况!B9="房地产市场价值","",MID(E107,3,LEN(E107)-2))</f>
        <v>房地产抵押价值</v>
      </c>
      <c r="B122" s="3184"/>
      <c r="C122" s="3184"/>
      <c r="D122" s="3185">
        <f ca="1">H107</f>
        <v>11831</v>
      </c>
      <c r="E122" s="3186"/>
      <c r="F122" s="3186"/>
      <c r="G122" s="3186"/>
      <c r="H122" s="3186"/>
      <c r="I122" s="3187"/>
    </row>
    <row r="123" spans="1:11" ht="18.75" customHeight="1">
      <c r="A123" s="3046" t="s">
        <v>2305</v>
      </c>
      <c r="B123" s="3046"/>
      <c r="C123" s="3046"/>
      <c r="D123" s="3181" t="str">
        <f ca="1">NUMBERSTRING(INT(D122*10000),2)&amp;"元整"</f>
        <v>壹亿壹仟捌佰叁拾壹万元整</v>
      </c>
      <c r="E123" s="3182"/>
      <c r="F123" s="3182"/>
      <c r="G123" s="3182"/>
      <c r="H123" s="3182"/>
      <c r="I123" s="3183"/>
    </row>
    <row r="124" spans="1:11" ht="18.75" customHeight="1">
      <c r="A124" s="3184" t="str">
        <f>IF(项目基本情况!B9="房地产市场价值","",MID(E109,3,LEN(E109)-2))</f>
        <v/>
      </c>
      <c r="B124" s="3184"/>
      <c r="C124" s="3184"/>
      <c r="D124" s="3185" t="str">
        <f>H109</f>
        <v>——</v>
      </c>
      <c r="E124" s="3186"/>
      <c r="F124" s="3186"/>
      <c r="G124" s="3186"/>
      <c r="H124" s="3186"/>
      <c r="I124" s="3187"/>
    </row>
    <row r="125" spans="1:11" ht="18.75" customHeight="1">
      <c r="A125" s="3046" t="s">
        <v>2305</v>
      </c>
      <c r="B125" s="3046"/>
      <c r="C125" s="3046"/>
      <c r="D125" s="3181" t="e">
        <f>NUMBERSTRING(INT(D124*10000),2)&amp;"元整"</f>
        <v>#VALUE!</v>
      </c>
      <c r="E125" s="3182"/>
      <c r="F125" s="3182"/>
      <c r="G125" s="3182"/>
      <c r="H125" s="3182"/>
      <c r="I125" s="3183"/>
    </row>
    <row r="126" spans="1:11" ht="18.75" customHeight="1">
      <c r="A126" s="3184" t="str">
        <f>IF(项目基本情况!B9="房地产市场价值","",MID(E111,3,LEN(E111)-2))</f>
        <v/>
      </c>
      <c r="B126" s="3184"/>
      <c r="C126" s="3184"/>
      <c r="D126" s="3185" t="str">
        <f>H111</f>
        <v>——</v>
      </c>
      <c r="E126" s="3186"/>
      <c r="F126" s="3186"/>
      <c r="G126" s="3186"/>
      <c r="H126" s="3186"/>
      <c r="I126" s="3187"/>
    </row>
    <row r="127" spans="1:11" ht="18.75" customHeight="1">
      <c r="A127" s="3046" t="s">
        <v>2305</v>
      </c>
      <c r="B127" s="3046"/>
      <c r="C127" s="3046"/>
      <c r="D127" s="3181" t="e">
        <f>NUMBERSTRING(INT(D126*10000),2)&amp;"元整"</f>
        <v>#VALUE!</v>
      </c>
      <c r="E127" s="3182"/>
      <c r="F127" s="3182"/>
      <c r="G127" s="3182"/>
      <c r="H127" s="3182"/>
      <c r="I127" s="3183"/>
    </row>
    <row r="128" spans="1:11" ht="21.75" customHeight="1">
      <c r="A128" s="3188" t="s">
        <v>2306</v>
      </c>
      <c r="B128" s="3188"/>
      <c r="C128" s="3188"/>
      <c r="D128" s="3188"/>
      <c r="E128" s="3188"/>
      <c r="F128" s="3188"/>
      <c r="G128" s="3188"/>
      <c r="H128" s="3188"/>
      <c r="I128" s="3188"/>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3671</v>
      </c>
      <c r="D1" s="2405"/>
      <c r="E1" s="2405"/>
      <c r="F1" s="2407" t="s">
        <v>2106</v>
      </c>
      <c r="G1" s="2059" t="s">
        <v>3652</v>
      </c>
      <c r="H1" s="2408" t="str">
        <f>IF(G1="现房","——","估价对象范围")</f>
        <v>——</v>
      </c>
      <c r="I1" s="2409"/>
    </row>
    <row r="2" spans="1:12" ht="21.75" customHeight="1" thickBot="1">
      <c r="A2" s="3100" t="str">
        <f>项目基本情况!S2</f>
        <v>浙江省吴兴区八里店乌山单元02-01E号地块房地产</v>
      </c>
      <c r="B2" s="3101"/>
      <c r="C2" s="3101"/>
      <c r="D2" s="3101"/>
      <c r="E2" s="3101"/>
      <c r="F2" s="3101"/>
      <c r="G2" s="3101"/>
      <c r="H2" s="3101"/>
      <c r="I2" s="3102"/>
    </row>
    <row r="3" spans="1:12" ht="13.2">
      <c r="A3" s="3103" t="s">
        <v>2107</v>
      </c>
      <c r="B3" s="3104"/>
      <c r="C3" s="3104"/>
      <c r="D3" s="3104"/>
      <c r="E3" s="3104"/>
      <c r="F3" s="3104"/>
      <c r="G3" s="3104"/>
      <c r="H3" s="3104"/>
      <c r="I3" s="3104"/>
    </row>
    <row r="4" spans="1:12" ht="14.4">
      <c r="A4" s="2412" t="s">
        <v>2108</v>
      </c>
      <c r="B4" s="2413" t="s">
        <v>2109</v>
      </c>
      <c r="C4" s="2414" t="s">
        <v>3661</v>
      </c>
      <c r="D4" s="2414" t="s">
        <v>3657</v>
      </c>
      <c r="E4" s="3105" t="s">
        <v>2110</v>
      </c>
      <c r="F4" s="3106"/>
      <c r="G4" s="3106"/>
      <c r="H4" s="3106"/>
      <c r="I4" s="3107"/>
      <c r="K4" s="2415" t="str">
        <f>IF(ISNUMBER(FIND("比较法",'结果表-高层'!C4)),"比较法",IF(ISNUMBER(FIND("成本法",'结果表-高层'!C4)),"成本法",IF(ISNUMBER(FIND("假设开发法",'结果表-高层'!C4)),"假设开发法",IF(ISNUMBER(FIND("收益法",'结果表-高层'!C4)),"收益法","基准地价系数修正法"))))</f>
        <v>比较法</v>
      </c>
      <c r="L4" s="2415" t="str">
        <f>IF(ISNUMBER(FIND("比较法",'结果表-高层'!D4)),"比较法",IF(ISNUMBER(FIND("成本法",'结果表-高层'!D4)),"成本法",IF(ISNUMBER(FIND("假设开发法",'结果表-高层'!D4)),"假设开发法",IF(ISNUMBER(FIND("收益法",'结果表-高层'!D4)),"收益法","基准地价系数修正法"))))</f>
        <v>收益法</v>
      </c>
    </row>
    <row r="5" spans="1:12" ht="13.2">
      <c r="A5" s="3096" t="s">
        <v>2111</v>
      </c>
      <c r="B5" s="3046">
        <v>25</v>
      </c>
      <c r="C5" s="3097"/>
      <c r="D5" s="3099"/>
      <c r="E5" s="139" t="s">
        <v>2112</v>
      </c>
      <c r="F5" s="2416"/>
      <c r="G5" s="2416"/>
      <c r="H5" s="2416"/>
      <c r="I5" s="1824"/>
    </row>
    <row r="6" spans="1:12" ht="13.2">
      <c r="A6" s="3096"/>
      <c r="B6" s="3046"/>
      <c r="C6" s="3108"/>
      <c r="D6" s="3099"/>
      <c r="E6" s="139" t="s">
        <v>2113</v>
      </c>
      <c r="F6" s="2416"/>
      <c r="G6" s="2416"/>
      <c r="H6" s="2416"/>
      <c r="I6" s="1824"/>
    </row>
    <row r="7" spans="1:12" ht="13.2">
      <c r="A7" s="3096"/>
      <c r="B7" s="3046"/>
      <c r="C7" s="3098"/>
      <c r="D7" s="3099"/>
      <c r="E7" s="139" t="s">
        <v>2114</v>
      </c>
      <c r="F7" s="2416"/>
      <c r="G7" s="2416"/>
      <c r="H7" s="2416"/>
      <c r="I7" s="1824"/>
    </row>
    <row r="8" spans="1:12" ht="13.2">
      <c r="A8" s="3096" t="s">
        <v>2115</v>
      </c>
      <c r="B8" s="3046">
        <v>15</v>
      </c>
      <c r="C8" s="3097"/>
      <c r="D8" s="3099"/>
      <c r="E8" s="139" t="s">
        <v>2116</v>
      </c>
      <c r="F8" s="2416"/>
      <c r="G8" s="2416"/>
      <c r="H8" s="2416"/>
      <c r="I8" s="1824"/>
    </row>
    <row r="9" spans="1:12" ht="13.2">
      <c r="A9" s="3096"/>
      <c r="B9" s="3046"/>
      <c r="C9" s="3098"/>
      <c r="D9" s="3099"/>
      <c r="E9" s="139" t="s">
        <v>2117</v>
      </c>
      <c r="F9" s="2416"/>
      <c r="G9" s="2416"/>
      <c r="H9" s="2416"/>
      <c r="I9" s="1824"/>
    </row>
    <row r="10" spans="1:12" ht="13.2">
      <c r="A10" s="3096" t="s">
        <v>2118</v>
      </c>
      <c r="B10" s="3046">
        <v>15</v>
      </c>
      <c r="C10" s="3097"/>
      <c r="D10" s="3099"/>
      <c r="E10" s="139" t="s">
        <v>2119</v>
      </c>
      <c r="F10" s="2416"/>
      <c r="G10" s="2416"/>
      <c r="H10" s="2416"/>
      <c r="I10" s="1824"/>
    </row>
    <row r="11" spans="1:12" ht="13.2">
      <c r="A11" s="3096"/>
      <c r="B11" s="3046"/>
      <c r="C11" s="3098"/>
      <c r="D11" s="3099"/>
      <c r="E11" s="139" t="s">
        <v>2120</v>
      </c>
      <c r="F11" s="2416"/>
      <c r="G11" s="2416"/>
      <c r="H11" s="2416"/>
      <c r="I11" s="1824"/>
    </row>
    <row r="12" spans="1:12" ht="13.2">
      <c r="A12" s="3096" t="s">
        <v>2121</v>
      </c>
      <c r="B12" s="3046">
        <v>15</v>
      </c>
      <c r="C12" s="3097"/>
      <c r="D12" s="3099"/>
      <c r="E12" s="139" t="s">
        <v>2122</v>
      </c>
      <c r="F12" s="2416"/>
      <c r="G12" s="2416"/>
      <c r="H12" s="2416"/>
      <c r="I12" s="1824"/>
    </row>
    <row r="13" spans="1:12" ht="13.2">
      <c r="A13" s="3096"/>
      <c r="B13" s="3046"/>
      <c r="C13" s="3098"/>
      <c r="D13" s="3099"/>
      <c r="E13" s="139" t="s">
        <v>2123</v>
      </c>
      <c r="F13" s="2416"/>
      <c r="G13" s="2416"/>
      <c r="H13" s="2416"/>
      <c r="I13" s="1824"/>
    </row>
    <row r="14" spans="1:12" ht="13.2">
      <c r="A14" s="3096" t="s">
        <v>2124</v>
      </c>
      <c r="B14" s="3046">
        <v>30</v>
      </c>
      <c r="C14" s="3097">
        <v>8</v>
      </c>
      <c r="D14" s="3099">
        <v>2</v>
      </c>
      <c r="E14" s="139" t="s">
        <v>2125</v>
      </c>
      <c r="F14" s="2416"/>
      <c r="G14" s="2416"/>
      <c r="H14" s="2416"/>
      <c r="I14" s="1824"/>
    </row>
    <row r="15" spans="1:12" ht="13.2">
      <c r="A15" s="3096"/>
      <c r="B15" s="3046"/>
      <c r="C15" s="3108"/>
      <c r="D15" s="3099"/>
      <c r="E15" s="139" t="s">
        <v>2126</v>
      </c>
      <c r="F15" s="2416"/>
      <c r="G15" s="2416"/>
      <c r="H15" s="2416"/>
      <c r="I15" s="1824"/>
    </row>
    <row r="16" spans="1:12" ht="13.2">
      <c r="A16" s="3096"/>
      <c r="B16" s="3046"/>
      <c r="C16" s="3098"/>
      <c r="D16" s="3099"/>
      <c r="E16" s="139" t="s">
        <v>2127</v>
      </c>
      <c r="F16" s="2416"/>
      <c r="G16" s="2416"/>
      <c r="H16" s="2416"/>
      <c r="I16" s="1824"/>
    </row>
    <row r="17" spans="1:35" ht="14.4">
      <c r="A17" s="2417" t="s">
        <v>2128</v>
      </c>
      <c r="B17" s="64"/>
      <c r="C17" s="140">
        <f>SUM(C5:C16)</f>
        <v>8</v>
      </c>
      <c r="D17" s="140">
        <f>SUM(D5:D16)</f>
        <v>2</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13312.34</v>
      </c>
      <c r="M18" s="2415">
        <f>IF(C1="",'数据-汇总表'!E3,SUMIF(项目类型,C1,'数据-汇总表'!E17:E26))</f>
        <v>13312.34</v>
      </c>
    </row>
    <row r="19" spans="1:35" ht="14.4">
      <c r="A19" s="2421" t="s">
        <v>2133</v>
      </c>
      <c r="B19" s="2422" t="s">
        <v>2134</v>
      </c>
      <c r="C19" s="142">
        <f ca="1">SUMIF(INDIRECT("'"&amp;C4&amp;"'"&amp;"!A:A"),'结果表-高层'!B19,INDIRECT("'"&amp;C4&amp;"'"&amp;"!B:B"))</f>
        <v>19365</v>
      </c>
      <c r="D19" s="143">
        <f ca="1">SUMIF(INDIRECT("'"&amp;D4&amp;"'"&amp;"!A:A"),'结果表-高层'!B19,INDIRECT("'"&amp;D4&amp;"'"&amp;"!B:B"))</f>
        <v>9360</v>
      </c>
      <c r="E19" s="2421" t="s">
        <v>2135</v>
      </c>
      <c r="F19" s="2422" t="s">
        <v>2134</v>
      </c>
      <c r="G19" s="144">
        <f ca="1">ROUND(C19*$C$18+D19*$D$18,0)</f>
        <v>17364</v>
      </c>
      <c r="H19" s="2423" t="s">
        <v>2136</v>
      </c>
      <c r="I19" s="137"/>
      <c r="J19" s="2962" t="s">
        <v>3453</v>
      </c>
      <c r="K19" s="2415" t="s">
        <v>2137</v>
      </c>
      <c r="L19" s="2415">
        <f>IF(C1="",'数据-汇总表'!D3,SUMIF(项目类型,C1,'数据-汇总表'!D17:D26)+SUMIF(项目类型,C1,'数据-汇总表'!H17:H27))</f>
        <v>5179.8999999999996</v>
      </c>
      <c r="M19" s="2415">
        <f>IF(C1="",'数据-汇总表'!D3,SUMIF(项目类型,C1,'数据-汇总表'!D17:D26))</f>
        <v>5179.8999999999996</v>
      </c>
    </row>
    <row r="20" spans="1:35" ht="14.4">
      <c r="A20" s="2424"/>
      <c r="B20" s="1240" t="s">
        <v>2138</v>
      </c>
      <c r="C20" s="145">
        <f ca="1">SUMIF(INDIRECT("'"&amp;C4&amp;"'"&amp;"!A:A"),'结果表-高层'!B20,INDIRECT("'"&amp;C4&amp;"'"&amp;"!B:B"))</f>
        <v>14547</v>
      </c>
      <c r="D20" s="146">
        <f ca="1">SUMIF(INDIRECT("'"&amp;D4&amp;"'"&amp;"!A:A"),'结果表-高层'!B20,INDIRECT("'"&amp;D4&amp;"'"&amp;"!B:B"))</f>
        <v>7031</v>
      </c>
      <c r="E20" s="2424"/>
      <c r="F20" s="1240" t="s">
        <v>2138</v>
      </c>
      <c r="G20" s="147">
        <f ca="1">ROUND(C20*$C$18+D20*$D$18,0)</f>
        <v>13044</v>
      </c>
      <c r="H20" s="973" t="s">
        <v>2139</v>
      </c>
      <c r="I20" s="137"/>
      <c r="J20" s="2963">
        <f ca="1">ROUND(G19/'数据-汇总表'!F31*10000,0)</f>
        <v>8160</v>
      </c>
    </row>
    <row r="21" spans="1:35" ht="15" customHeight="1" thickBot="1">
      <c r="A21" s="993"/>
      <c r="B21" s="2425" t="s">
        <v>2140</v>
      </c>
      <c r="C21" s="788">
        <f ca="1">ROUND(C19*10000/L19,0)</f>
        <v>37385</v>
      </c>
      <c r="D21" s="789">
        <f ca="1">ROUND(D19*10000/L19,0)</f>
        <v>18070</v>
      </c>
      <c r="E21" s="993"/>
      <c r="F21" s="2425" t="s">
        <v>2140</v>
      </c>
      <c r="G21" s="148">
        <f ca="1">ROUND(G19*10000/L19,0)</f>
        <v>33522</v>
      </c>
      <c r="H21" s="2426" t="s">
        <v>2139</v>
      </c>
      <c r="I21" s="137"/>
    </row>
    <row r="22" spans="1:35" ht="15" thickBot="1">
      <c r="A22" s="2269" t="s">
        <v>2141</v>
      </c>
      <c r="B22" s="2427"/>
      <c r="C22" s="2428"/>
      <c r="D22" s="790">
        <f ca="1">IF(C19&lt;D19,D19/C19-1,C19/D19-1)</f>
        <v>1.0689102564102564</v>
      </c>
      <c r="E22" s="137"/>
      <c r="F22" s="137"/>
      <c r="G22" s="137"/>
      <c r="H22" s="137"/>
      <c r="I22" s="137"/>
    </row>
    <row r="23" spans="1:35" ht="13.8" thickBot="1">
      <c r="A23" s="2405"/>
      <c r="B23" s="2405"/>
      <c r="C23" s="2405"/>
      <c r="D23" s="2405"/>
      <c r="E23" s="137"/>
      <c r="F23" s="137"/>
      <c r="G23" s="137"/>
      <c r="H23" s="137"/>
      <c r="I23" s="137"/>
    </row>
    <row r="24" spans="1:35" ht="14.4">
      <c r="A24" s="3109" t="s">
        <v>2142</v>
      </c>
      <c r="B24" s="2422" t="s">
        <v>2134</v>
      </c>
      <c r="C24" s="144">
        <f>IF(B30=0,0,D30)</f>
        <v>0</v>
      </c>
      <c r="D24" s="2429"/>
      <c r="E24" s="137"/>
      <c r="F24" s="137"/>
      <c r="G24" s="137"/>
      <c r="H24" s="137"/>
      <c r="I24" s="137"/>
    </row>
    <row r="25" spans="1:35" ht="14.4">
      <c r="A25" s="3110"/>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17364</v>
      </c>
      <c r="D32" s="2436" t="s">
        <v>2149</v>
      </c>
      <c r="E32" s="137"/>
      <c r="F32" s="137"/>
      <c r="G32" s="137"/>
      <c r="H32" s="137"/>
      <c r="I32" s="137"/>
    </row>
    <row r="33" spans="1:15" ht="14.4">
      <c r="A33" s="950" t="s">
        <v>2150</v>
      </c>
      <c r="B33" s="2437"/>
      <c r="C33" s="2438" t="s">
        <v>3452</v>
      </c>
      <c r="D33" s="2439" t="s">
        <v>3451</v>
      </c>
      <c r="E33" s="2440" t="s">
        <v>2151</v>
      </c>
      <c r="F33" s="2441" t="str">
        <f>IF(D32="楼面单价","取值（单价）","取值（总价）")</f>
        <v>取值（总价）</v>
      </c>
      <c r="G33" s="137"/>
      <c r="H33" s="137"/>
      <c r="I33" s="137"/>
    </row>
    <row r="34" spans="1:15" ht="14.4">
      <c r="A34" s="2442"/>
      <c r="B34" s="2443" t="s">
        <v>2152</v>
      </c>
      <c r="C34" s="156">
        <f ca="1">IF(C33="自定义",F34,C32-C35)</f>
        <v>10193</v>
      </c>
      <c r="D34" s="1048">
        <f ca="1">IF(C33="自定义",ROUND(C34/C32,3),IF(C33="收益比率",SUMIF(INDIRECT("'"&amp;D33&amp;"'"&amp;"!b:b"),"土地收益比率",INDIRECT("'"&amp;D33&amp;"'"&amp;"!c:c")),SUMIF(INDIRECT("'"&amp;D33&amp;"'"&amp;"!b:b"),"土地成本比率",INDIRECT("'"&amp;D33&amp;"'"&amp;"!c:c"))))</f>
        <v>0.58699999999999997</v>
      </c>
      <c r="E34" s="2444" t="s">
        <v>2153</v>
      </c>
      <c r="F34" s="1729"/>
      <c r="G34" s="137"/>
      <c r="H34" s="137"/>
      <c r="I34" s="137"/>
    </row>
    <row r="35" spans="1:15" ht="15" thickBot="1">
      <c r="A35" s="2445"/>
      <c r="B35" s="2446" t="s">
        <v>2154</v>
      </c>
      <c r="C35" s="1434">
        <f ca="1">IF(C33="自定义",F35,ROUND(C32*D35,0))</f>
        <v>7171</v>
      </c>
      <c r="D35" s="1435">
        <f ca="1">IF(C33="自定义",ROUND(C35/C32,3),IF(C33="收益比率",SUMIF(INDIRECT("'"&amp;D33&amp;"'"&amp;"!b:b"),"建筑物收益比率",INDIRECT("'"&amp;D33&amp;"'"&amp;"!c:c")),SUMIF(INDIRECT("'"&amp;D33&amp;"'"&amp;"!b:b"),"建筑物成本比率",INDIRECT("'"&amp;D33&amp;"'"&amp;"!c:c"))))</f>
        <v>0.41299999999999998</v>
      </c>
      <c r="E35" s="2447" t="s">
        <v>2155</v>
      </c>
      <c r="F35" s="162"/>
      <c r="G35" s="137"/>
      <c r="H35" s="137"/>
      <c r="I35" s="137"/>
    </row>
    <row r="36" spans="1:15" ht="15" thickBot="1">
      <c r="A36" s="3111" t="s">
        <v>2156</v>
      </c>
      <c r="B36" s="2448" t="s">
        <v>2157</v>
      </c>
      <c r="C36" s="153"/>
      <c r="D36" s="2449"/>
      <c r="E36" s="2450"/>
      <c r="F36" s="2451"/>
      <c r="G36" s="137"/>
      <c r="H36" s="137"/>
      <c r="I36" s="137"/>
    </row>
    <row r="37" spans="1:15" ht="15" thickBot="1">
      <c r="A37" s="3112"/>
      <c r="B37" s="2255" t="s">
        <v>2158</v>
      </c>
      <c r="C37" s="155"/>
      <c r="D37" s="1385"/>
      <c r="E37" s="1385"/>
      <c r="F37" s="2451"/>
      <c r="G37" s="137"/>
      <c r="H37" s="137"/>
      <c r="I37" s="137"/>
    </row>
    <row r="38" spans="1:15" ht="15" thickBot="1">
      <c r="A38" s="3113"/>
      <c r="B38" s="2452" t="s">
        <v>2159</v>
      </c>
      <c r="C38" s="726"/>
      <c r="D38" s="2453" t="s">
        <v>2160</v>
      </c>
      <c r="E38" s="1385"/>
      <c r="F38" s="2451"/>
      <c r="G38" s="137"/>
      <c r="H38" s="137"/>
      <c r="I38" s="137"/>
    </row>
    <row r="39" spans="1:15" ht="14.4">
      <c r="A39" s="2424" t="s">
        <v>2161</v>
      </c>
      <c r="B39" s="2454" t="s">
        <v>2162</v>
      </c>
      <c r="C39" s="2455" t="s">
        <v>2163</v>
      </c>
      <c r="D39" s="2455" t="s">
        <v>2164</v>
      </c>
      <c r="E39" s="2456" t="s">
        <v>2165</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14" t="s">
        <v>2170</v>
      </c>
      <c r="B45" s="3115"/>
      <c r="C45" s="3116"/>
      <c r="D45" s="163">
        <f ca="1">ROUND(H101*F45,0)</f>
        <v>17364</v>
      </c>
      <c r="E45" s="164" t="s">
        <v>2171</v>
      </c>
      <c r="F45" s="165">
        <v>1</v>
      </c>
      <c r="G45" s="166" t="s">
        <v>2172</v>
      </c>
      <c r="H45" s="137"/>
      <c r="I45" s="137"/>
      <c r="J45" s="3117" t="s">
        <v>2173</v>
      </c>
      <c r="K45" s="3117"/>
      <c r="L45" s="3117"/>
      <c r="M45" s="3117"/>
      <c r="N45" s="3117"/>
      <c r="O45" s="3117"/>
    </row>
    <row r="46" spans="1:15" ht="14.25" customHeight="1">
      <c r="A46" s="3118" t="s">
        <v>2174</v>
      </c>
      <c r="B46" s="3119"/>
      <c r="C46" s="3119"/>
      <c r="D46" s="3119"/>
      <c r="E46" s="3119"/>
      <c r="F46" s="3119"/>
      <c r="G46" s="3120"/>
      <c r="H46" s="2467"/>
      <c r="I46" s="167"/>
      <c r="J46" s="1802">
        <v>1</v>
      </c>
      <c r="K46" s="3117" t="s">
        <v>2175</v>
      </c>
      <c r="L46" s="3117"/>
      <c r="M46" s="3121"/>
      <c r="N46" s="3121"/>
      <c r="O46" s="3121"/>
    </row>
    <row r="47" spans="1:15" ht="12" customHeight="1">
      <c r="A47" s="168" t="s">
        <v>2176</v>
      </c>
      <c r="B47" s="169"/>
      <c r="C47" s="170"/>
      <c r="D47" s="171" t="s">
        <v>2177</v>
      </c>
      <c r="E47" s="24" t="s">
        <v>2178</v>
      </c>
      <c r="F47" s="172" t="s">
        <v>2179</v>
      </c>
      <c r="G47" s="173" t="s">
        <v>2180</v>
      </c>
      <c r="H47" s="2467"/>
      <c r="I47" s="167"/>
      <c r="J47" s="1802">
        <v>2</v>
      </c>
      <c r="K47" s="3117" t="s">
        <v>2181</v>
      </c>
      <c r="L47" s="3117"/>
      <c r="M47" s="3122">
        <f>'数据-取费表'!B2</f>
        <v>43699</v>
      </c>
      <c r="N47" s="3122"/>
      <c r="O47" s="3122"/>
    </row>
    <row r="48" spans="1:15" ht="26.4">
      <c r="A48" s="3123" t="s">
        <v>2182</v>
      </c>
      <c r="B48" s="3124"/>
      <c r="C48" s="3124"/>
      <c r="D48" s="139">
        <f>IF(H48="情况1",0,IF(H48="情况2",D52,IF(H48="情况3",D53,IF(H48="情况4",D54))))</f>
        <v>0</v>
      </c>
      <c r="E48" s="1791" t="str">
        <f>IF(H48="情况4","(销售额-原购置价)×税（费）率","销售额×税（费）率")</f>
        <v>销售额×税（费）率</v>
      </c>
      <c r="F48" s="174" t="str">
        <f>IF(H48="情况1","免征",'数据-取费表'!B41)</f>
        <v>免征</v>
      </c>
      <c r="G48" s="2468" t="s">
        <v>2183</v>
      </c>
      <c r="H48" s="2469" t="s">
        <v>2184</v>
      </c>
      <c r="I48" s="2467"/>
      <c r="J48" s="1802">
        <v>3</v>
      </c>
      <c r="K48" s="3117" t="s">
        <v>2185</v>
      </c>
      <c r="L48" s="3117"/>
      <c r="M48" s="3125">
        <f ca="1">H101</f>
        <v>17364</v>
      </c>
      <c r="N48" s="3125"/>
      <c r="O48" s="3125"/>
    </row>
    <row r="49" spans="1:35" ht="25.5" customHeight="1">
      <c r="A49" s="175" t="s">
        <v>2186</v>
      </c>
      <c r="B49" s="3126" t="s">
        <v>2187</v>
      </c>
      <c r="C49" s="3126"/>
      <c r="D49" s="176">
        <v>0</v>
      </c>
      <c r="E49" s="23" t="s">
        <v>2188</v>
      </c>
      <c r="F49" s="28" t="s">
        <v>34</v>
      </c>
      <c r="G49" s="3127"/>
      <c r="H49" s="137"/>
      <c r="I49" s="2470"/>
      <c r="J49" s="1802">
        <v>4</v>
      </c>
      <c r="K49" s="3117" t="str">
        <f>IF(项目基本情况!E8="房地产抵押价值","房地产抵押价值","抵押担保权已注销时的房地产抵押价值")</f>
        <v>房地产抵押价值</v>
      </c>
      <c r="L49" s="3117"/>
      <c r="M49" s="3125">
        <f ca="1">IF(项目基本情况!E8="房地产抵押价值",H107,H109)</f>
        <v>17364</v>
      </c>
      <c r="N49" s="3125"/>
      <c r="O49" s="3125"/>
    </row>
    <row r="50" spans="1:35" ht="25.5" customHeight="1">
      <c r="A50" s="177"/>
      <c r="B50" s="3126" t="s">
        <v>2189</v>
      </c>
      <c r="C50" s="3126"/>
      <c r="D50" s="178"/>
      <c r="E50" s="31"/>
      <c r="F50" s="179"/>
      <c r="G50" s="3128"/>
      <c r="H50" s="137"/>
      <c r="I50" s="2470"/>
      <c r="J50" s="3117" t="s">
        <v>2190</v>
      </c>
      <c r="K50" s="3117"/>
      <c r="L50" s="3117"/>
      <c r="M50" s="3117"/>
      <c r="N50" s="3117"/>
      <c r="O50" s="3117"/>
    </row>
    <row r="51" spans="1:35" ht="12" customHeight="1">
      <c r="A51" s="180"/>
      <c r="B51" s="3126" t="s">
        <v>2191</v>
      </c>
      <c r="C51" s="3126"/>
      <c r="D51" s="181"/>
      <c r="E51" s="30"/>
      <c r="F51" s="179"/>
      <c r="G51" s="3129"/>
      <c r="H51" s="137"/>
      <c r="I51" s="2470"/>
      <c r="J51" s="2471" t="s">
        <v>2192</v>
      </c>
      <c r="K51" s="3117" t="s">
        <v>2193</v>
      </c>
      <c r="L51" s="3117"/>
      <c r="M51" s="2471" t="s">
        <v>2194</v>
      </c>
      <c r="N51" s="2471" t="s">
        <v>2195</v>
      </c>
      <c r="O51" s="2471" t="s">
        <v>2196</v>
      </c>
    </row>
    <row r="52" spans="1:35" ht="24" customHeight="1">
      <c r="A52" s="182" t="s">
        <v>2197</v>
      </c>
      <c r="B52" s="3126" t="s">
        <v>2198</v>
      </c>
      <c r="C52" s="3126"/>
      <c r="D52" s="181">
        <f ca="1">ROUND(D45*'数据-取费表'!B41/(1+'数据-取费表'!C42),0)</f>
        <v>926</v>
      </c>
      <c r="E52" s="11" t="s">
        <v>2199</v>
      </c>
      <c r="F52" s="183">
        <f>'数据-取费表'!B41</f>
        <v>5.6000000000000001E-2</v>
      </c>
      <c r="G52" s="2472"/>
      <c r="H52" s="137"/>
      <c r="I52" s="2470"/>
      <c r="J52" s="1802">
        <v>1</v>
      </c>
      <c r="K52" s="3132" t="s">
        <v>2200</v>
      </c>
      <c r="L52" s="3132"/>
      <c r="M52" s="1744">
        <f>D48</f>
        <v>0</v>
      </c>
      <c r="N52" s="1802" t="str">
        <f>E48</f>
        <v>销售额×税（费）率</v>
      </c>
      <c r="O52" s="1745" t="str">
        <f>F48</f>
        <v>免征</v>
      </c>
    </row>
    <row r="53" spans="1:35" ht="12" customHeight="1">
      <c r="A53" s="182" t="s">
        <v>2201</v>
      </c>
      <c r="B53" s="3130" t="s">
        <v>2202</v>
      </c>
      <c r="C53" s="3131"/>
      <c r="D53" s="181">
        <f ca="1">ROUND(D45*'数据-取费表'!B41/(1+'数据-取费表'!C42),0)</f>
        <v>926</v>
      </c>
      <c r="E53" s="11" t="s">
        <v>2199</v>
      </c>
      <c r="F53" s="183">
        <f>'数据-取费表'!B41</f>
        <v>5.6000000000000001E-2</v>
      </c>
      <c r="G53" s="2472"/>
      <c r="H53" s="137"/>
      <c r="I53" s="2470"/>
      <c r="J53" s="1802">
        <v>2</v>
      </c>
      <c r="K53" s="3132" t="s">
        <v>2203</v>
      </c>
      <c r="L53" s="3132"/>
      <c r="M53" s="1744">
        <f t="shared" ref="M53:O54" ca="1" si="0">D55</f>
        <v>9</v>
      </c>
      <c r="N53" s="1802" t="str">
        <f t="shared" si="0"/>
        <v>销售额×税（费）率</v>
      </c>
      <c r="O53" s="1745">
        <f t="shared" si="0"/>
        <v>5.0000000000000001E-4</v>
      </c>
    </row>
    <row r="54" spans="1:35" ht="12" customHeight="1">
      <c r="A54" s="182" t="s">
        <v>2204</v>
      </c>
      <c r="B54" s="3130" t="s">
        <v>2205</v>
      </c>
      <c r="C54" s="3131"/>
      <c r="D54" s="181">
        <f ca="1">C68</f>
        <v>926</v>
      </c>
      <c r="E54" s="30" t="s">
        <v>2206</v>
      </c>
      <c r="F54" s="183">
        <f>'数据-取费表'!B41</f>
        <v>5.6000000000000001E-2</v>
      </c>
      <c r="G54" s="2472"/>
      <c r="H54" s="2473"/>
      <c r="I54" s="2470"/>
      <c r="J54" s="1802">
        <v>3</v>
      </c>
      <c r="K54" s="3132" t="s">
        <v>2207</v>
      </c>
      <c r="L54" s="3132"/>
      <c r="M54" s="1744">
        <f t="shared" ca="1" si="0"/>
        <v>9828</v>
      </c>
      <c r="N54" s="1802" t="str">
        <f t="shared" si="0"/>
        <v>增值额×税（费）率</v>
      </c>
      <c r="O54" s="1746" t="str">
        <f t="shared" si="0"/>
        <v>——</v>
      </c>
    </row>
    <row r="55" spans="1:35" ht="24" customHeight="1">
      <c r="A55" s="3133" t="s">
        <v>2208</v>
      </c>
      <c r="B55" s="3124"/>
      <c r="C55" s="3124"/>
      <c r="D55" s="184">
        <f ca="1">IF(H55="个人住宅",0,ROUND(D45*I55,0))</f>
        <v>9</v>
      </c>
      <c r="E55" s="11" t="s">
        <v>2209</v>
      </c>
      <c r="F55" s="183">
        <f>IF(H55="正常",I55,"免征")</f>
        <v>5.0000000000000001E-4</v>
      </c>
      <c r="G55" s="2472"/>
      <c r="H55" s="2469" t="s">
        <v>2210</v>
      </c>
      <c r="I55" s="185">
        <f>'数据-取费表'!B49</f>
        <v>5.0000000000000001E-4</v>
      </c>
      <c r="J55" s="1802" t="str">
        <f>IF(H59="非个人房产","",4)</f>
        <v/>
      </c>
      <c r="K55" s="3132" t="str">
        <f>IF(H59="非个人房产","——","个人所得税")</f>
        <v>——</v>
      </c>
      <c r="L55" s="3132"/>
      <c r="M55" s="1747" t="str">
        <f>D59</f>
        <v>——</v>
      </c>
      <c r="N55" s="1800" t="str">
        <f>E59</f>
        <v>——</v>
      </c>
      <c r="O55" s="1748" t="str">
        <f>F59</f>
        <v>——</v>
      </c>
    </row>
    <row r="56" spans="1:35" ht="25.2">
      <c r="A56" s="3133" t="s">
        <v>2211</v>
      </c>
      <c r="B56" s="3124"/>
      <c r="C56" s="3124"/>
      <c r="D56" s="184">
        <f ca="1">IF(H56="个人住宅",D57,D58)</f>
        <v>9828</v>
      </c>
      <c r="E56" s="11" t="s">
        <v>2212</v>
      </c>
      <c r="F56" s="183" t="str">
        <f>IF(H56="正常",F58,"免征")</f>
        <v>——</v>
      </c>
      <c r="G56" s="2474" t="s">
        <v>2213</v>
      </c>
      <c r="H56" s="2475" t="s">
        <v>2210</v>
      </c>
      <c r="I56" s="2476"/>
      <c r="J56" s="1802" t="str">
        <f>IF(项目基本情况!K6="上海银行",IF(J55="",4,J55+1),"")</f>
        <v/>
      </c>
      <c r="K56" s="3134" t="str">
        <f>IF(项目基本情况!K6="上海银行","其他处置费用","")</f>
        <v/>
      </c>
      <c r="L56" s="3135"/>
      <c r="M56" s="1744" t="str">
        <f>IF(项目基本情况!K6="上海银行",M69,"")</f>
        <v/>
      </c>
      <c r="N56" s="3142" t="str">
        <f>IF(项目基本情况!K6="上海银行","包含处置中涉及的律师、诉讼、拍卖、评估等费用","")</f>
        <v/>
      </c>
      <c r="O56" s="3143"/>
    </row>
    <row r="57" spans="1:35" ht="13.2">
      <c r="A57" s="182" t="s">
        <v>2186</v>
      </c>
      <c r="B57" s="3105" t="s">
        <v>2214</v>
      </c>
      <c r="C57" s="3107"/>
      <c r="D57" s="186">
        <v>0</v>
      </c>
      <c r="E57" s="23" t="s">
        <v>2188</v>
      </c>
      <c r="F57" s="154"/>
      <c r="G57" s="2472"/>
      <c r="H57" s="2476"/>
      <c r="I57" s="2476"/>
      <c r="J57" s="3132">
        <f>IF(AND(J55="",J56=""),4,IF(项目基本情况!K6="上海银行",'结果表-高层'!J56+1,'结果表-高层'!J55+1))</f>
        <v>4</v>
      </c>
      <c r="K57" s="3132" t="s">
        <v>2215</v>
      </c>
      <c r="L57" s="2477" t="s">
        <v>2216</v>
      </c>
      <c r="M57" s="1749"/>
      <c r="N57" s="1750">
        <f ca="1">SUMIF(M52:M56,"&lt;9e307")</f>
        <v>9837</v>
      </c>
      <c r="O57" s="2478"/>
      <c r="P57" s="1743">
        <f ca="1">N57/M49</f>
        <v>0.56651693158258465</v>
      </c>
    </row>
    <row r="58" spans="1:35" ht="25.2">
      <c r="A58" s="182" t="s">
        <v>2197</v>
      </c>
      <c r="B58" s="3105" t="s">
        <v>2217</v>
      </c>
      <c r="C58" s="3106"/>
      <c r="D58" s="184">
        <f ca="1">IF(H58="转让取得",C81,C97)</f>
        <v>9828</v>
      </c>
      <c r="E58" s="11" t="s">
        <v>2212</v>
      </c>
      <c r="F58" s="24" t="s">
        <v>34</v>
      </c>
      <c r="G58" s="2472"/>
      <c r="H58" s="2475" t="s">
        <v>2218</v>
      </c>
      <c r="I58" s="2476"/>
      <c r="J58" s="3132"/>
      <c r="K58" s="3132"/>
      <c r="L58" s="2477" t="s">
        <v>2219</v>
      </c>
      <c r="M58" s="1751"/>
      <c r="N58" s="2479" t="str">
        <f ca="1">NUMBERSTRING(INT(N57*10000),2)&amp;"元整"</f>
        <v>玖仟捌佰叁拾柒万元整</v>
      </c>
      <c r="O58" s="2480"/>
    </row>
    <row r="59" spans="1:35" ht="24.6" thickBot="1">
      <c r="A59" s="3144" t="s">
        <v>2220</v>
      </c>
      <c r="B59" s="3145"/>
      <c r="C59" s="3145"/>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46">
        <f>J57+1</f>
        <v>5</v>
      </c>
      <c r="K59" s="3132" t="s">
        <v>2222</v>
      </c>
      <c r="L59" s="1802" t="s">
        <v>2216</v>
      </c>
      <c r="M59" s="1752"/>
      <c r="N59" s="1753">
        <f ca="1">M49-N57</f>
        <v>7527</v>
      </c>
      <c r="O59" s="2482"/>
    </row>
    <row r="60" spans="1:35" ht="12" customHeight="1">
      <c r="A60" s="2483"/>
      <c r="B60" s="2405"/>
      <c r="C60" s="2405"/>
      <c r="D60" s="2405"/>
      <c r="E60" s="2155"/>
      <c r="F60" s="2476"/>
      <c r="G60" s="2476"/>
      <c r="H60" s="2484"/>
      <c r="I60" s="137"/>
      <c r="J60" s="3147"/>
      <c r="K60" s="3132"/>
      <c r="L60" s="2477" t="s">
        <v>2219</v>
      </c>
      <c r="M60" s="1751"/>
      <c r="N60" s="2479" t="str">
        <f ca="1">NUMBERSTRING(INT(N59*10000),2)&amp;"元整"</f>
        <v>柒仟伍佰贰拾柒万元整</v>
      </c>
      <c r="O60" s="2480"/>
    </row>
    <row r="61" spans="1:35" ht="13.8" thickBot="1">
      <c r="A61" s="3136" t="s">
        <v>2223</v>
      </c>
      <c r="B61" s="3136"/>
      <c r="C61" s="3136"/>
      <c r="D61" s="3136"/>
      <c r="E61" s="3136"/>
      <c r="F61" s="2476"/>
      <c r="G61" s="2476"/>
      <c r="H61" s="2484"/>
      <c r="I61" s="137"/>
      <c r="J61" s="1802">
        <f>J59+1</f>
        <v>6</v>
      </c>
      <c r="K61" s="3132" t="s">
        <v>2224</v>
      </c>
      <c r="L61" s="3132"/>
      <c r="M61" s="1754"/>
      <c r="N61" s="1755">
        <f ca="1">ROUND(N59*10000/'数据-汇总表'!E3,0)</f>
        <v>3537</v>
      </c>
      <c r="O61" s="2485"/>
    </row>
    <row r="62" spans="1:35" ht="13.2">
      <c r="A62" s="3137" t="s">
        <v>2225</v>
      </c>
      <c r="B62" s="3138"/>
      <c r="C62" s="1794"/>
      <c r="D62" s="1794" t="s">
        <v>2226</v>
      </c>
      <c r="E62" s="191" t="s">
        <v>2227</v>
      </c>
      <c r="F62" s="2476"/>
      <c r="G62" s="2476"/>
      <c r="H62" s="2484"/>
      <c r="I62" s="137"/>
    </row>
    <row r="63" spans="1:35" ht="13.2">
      <c r="A63" s="202" t="s">
        <v>775</v>
      </c>
      <c r="B63" s="192" t="s">
        <v>2228</v>
      </c>
      <c r="C63" s="193">
        <f ca="1">ROUND((C64+C65)/(1+'数据-取费表'!C42),0)</f>
        <v>16537</v>
      </c>
      <c r="D63" s="194"/>
      <c r="E63" s="195"/>
      <c r="F63" s="2476"/>
      <c r="G63" s="2476"/>
      <c r="H63" s="2484"/>
      <c r="I63" s="137"/>
      <c r="J63" s="3139" t="s">
        <v>2229</v>
      </c>
      <c r="K63" s="2486" t="s">
        <v>2230</v>
      </c>
      <c r="L63" s="1742">
        <f ca="1">IF(M49&gt;10000,M49*0.5%,IF(AND(M49&gt;1000,M49&lt;=10000),M49*1%,IF(AND(M49&gt;100,M49&lt;=1000),M49*3%,IF(AND(M49&gt;10,M49&lt;=100),M49*5%,M49*8%))))</f>
        <v>86.820000000000007</v>
      </c>
      <c r="M63" s="24">
        <f ca="1">ROUND(L63,1)</f>
        <v>86.8</v>
      </c>
      <c r="Z63" s="2410"/>
      <c r="AI63" s="2411"/>
    </row>
    <row r="64" spans="1:35" ht="14.25" customHeight="1">
      <c r="A64" s="196" t="s">
        <v>770</v>
      </c>
      <c r="B64" s="197" t="s">
        <v>2231</v>
      </c>
      <c r="C64" s="198">
        <f ca="1">D45</f>
        <v>17364</v>
      </c>
      <c r="D64" s="199" t="s">
        <v>32</v>
      </c>
      <c r="E64" s="200"/>
      <c r="F64" s="2476"/>
      <c r="G64" s="2476"/>
      <c r="H64" s="2484"/>
      <c r="I64" s="137"/>
      <c r="J64" s="3139"/>
      <c r="K64" s="2486" t="s">
        <v>2232</v>
      </c>
      <c r="L64" s="1742">
        <f ca="1">IF(M49&gt;2000,M49*0.5%,IF(AND(M49&gt;1000,M49&lt;=2000),M49*0.6%,IF(AND(M49&gt;500,M49&lt;=1000),M49*0.7%,IF(AND(M49&gt;200,M49&lt;=500),M49*0.8%,IF(AND(M49&gt;100,M49&lt;=200),M49*0.9%,IF(AND(M49&gt;50,M49&lt;=100),M49*1%,IF(AND(M49&gt;20,M49&lt;=50),M49*1.5%,IF(AND(M49&gt;10,M49&lt;=20),M49*2%,IF(AND(M49&gt;1,M49&lt;=10),M49*2.5%)))))))))</f>
        <v>86.820000000000007</v>
      </c>
      <c r="M64" s="24">
        <f t="shared" ref="M64:M65" ca="1" si="1">ROUND(L64,1)</f>
        <v>86.8</v>
      </c>
      <c r="N64" s="137" t="s">
        <v>2233</v>
      </c>
      <c r="Z64" s="2410"/>
      <c r="AI64" s="2411"/>
    </row>
    <row r="65" spans="1:35" ht="14.25" customHeight="1">
      <c r="A65" s="196" t="s">
        <v>771</v>
      </c>
      <c r="B65" s="197" t="s">
        <v>2234</v>
      </c>
      <c r="C65" s="201"/>
      <c r="D65" s="199"/>
      <c r="E65" s="200"/>
      <c r="F65" s="2476"/>
      <c r="G65" s="2476"/>
      <c r="H65" s="2484"/>
      <c r="I65" s="137"/>
      <c r="J65" s="3139"/>
      <c r="K65" s="2486" t="s">
        <v>2235</v>
      </c>
      <c r="L65" s="1742">
        <f ca="1">IF(M49&gt;1000,M49*0.1%,IF(AND(M49&gt;500,M49&lt;=1000),M49*0.5%,IF(AND(M49&gt;50,M49&lt;=500),M49*1%,IF(AND(M49&gt;1,M49&lt;=50),M49*1.5%))))</f>
        <v>17.364000000000001</v>
      </c>
      <c r="M65" s="24">
        <f t="shared" ca="1" si="1"/>
        <v>17.399999999999999</v>
      </c>
      <c r="N65" s="137" t="s">
        <v>2233</v>
      </c>
      <c r="Z65" s="2410"/>
      <c r="AI65" s="2411"/>
    </row>
    <row r="66" spans="1:35" ht="14.25" customHeight="1">
      <c r="A66" s="202" t="s">
        <v>772</v>
      </c>
      <c r="B66" s="203" t="s">
        <v>2236</v>
      </c>
      <c r="C66" s="204"/>
      <c r="D66" s="205" t="s">
        <v>32</v>
      </c>
      <c r="E66" s="1766" t="s">
        <v>1367</v>
      </c>
      <c r="F66" s="2476"/>
      <c r="G66" s="2476"/>
      <c r="H66" s="2484"/>
      <c r="I66" s="137"/>
      <c r="J66" s="3139"/>
      <c r="K66" s="2486" t="s">
        <v>2237</v>
      </c>
      <c r="L66" s="1742">
        <f ca="1">M49*0.5%</f>
        <v>86.820000000000007</v>
      </c>
      <c r="M66" s="24">
        <f ca="1">IF(L66&gt;0.5,0.5,ROUND(L66,0))</f>
        <v>0.5</v>
      </c>
      <c r="N66" s="137" t="s">
        <v>2238</v>
      </c>
      <c r="Z66" s="2410"/>
      <c r="AI66" s="2411"/>
    </row>
    <row r="67" spans="1:35" ht="14.25" customHeight="1">
      <c r="A67" s="202" t="s">
        <v>773</v>
      </c>
      <c r="B67" s="203" t="s">
        <v>2239</v>
      </c>
      <c r="C67" s="206">
        <f ca="1">C63-C66</f>
        <v>16537</v>
      </c>
      <c r="D67" s="199" t="s">
        <v>32</v>
      </c>
      <c r="E67" s="200"/>
      <c r="F67" s="2476"/>
      <c r="G67" s="2476"/>
      <c r="H67" s="2484"/>
      <c r="I67" s="137"/>
      <c r="J67" s="3139"/>
      <c r="K67" s="2486" t="s">
        <v>2240</v>
      </c>
      <c r="L67" s="1742">
        <f ca="1">IF(M49&gt;=10000,(8.25+(M49-10000)*0.01%),IF(AND(M49&gt;=8000,M49&lt;10000),(7.85+(M49-8000)*0.02%),IF(AND(M49&gt;=5000,M49&lt;8000),(6.65+(M49-5000)*0.04%),IF(AND(M49&gt;=2000,M49&lt;5000),(4.25+(PM49-2000)*0.08%),IF(AND(M49&gt;=1000,M49&lt;2000),(2.75+(M49-1000)*0.15%),IF(AND(M49&gt;=100,M49&lt;1000),(0.5+(M49-100)*0.25%),IF(AND(M49&gt;0,M49&lt;100),M49*0.5%)))))))</f>
        <v>8.9863999999999997</v>
      </c>
      <c r="M67" s="24">
        <f ca="1">ROUND(L67*0.9,1)</f>
        <v>8.1</v>
      </c>
      <c r="Z67" s="2410"/>
      <c r="AI67" s="2411"/>
    </row>
    <row r="68" spans="1:35" ht="14.25" customHeight="1" thickBot="1">
      <c r="A68" s="207" t="s">
        <v>774</v>
      </c>
      <c r="B68" s="208" t="s">
        <v>2241</v>
      </c>
      <c r="C68" s="209">
        <f ca="1">IF(C67&lt;=0,0,ROUND(C67*D68,0))</f>
        <v>926</v>
      </c>
      <c r="D68" s="210">
        <f>'数据-取费表'!B41</f>
        <v>5.6000000000000001E-2</v>
      </c>
      <c r="E68" s="211"/>
      <c r="F68" s="2476"/>
      <c r="G68" s="2476"/>
      <c r="H68" s="2484"/>
      <c r="I68" s="137"/>
      <c r="J68" s="3139"/>
      <c r="K68" s="2486" t="s">
        <v>2242</v>
      </c>
      <c r="L68" s="1742">
        <f ca="1">IF(M49&gt;10000,M49*0.5%,IF(AND(M49&gt;5000,M49&lt;=10000),M49*1%,IF(AND(M49&gt;1000,M49&lt;=5000),M49*2%,IF(AND(M49&gt;200,M49&lt;=1000),M49*3%,M49*5%))))</f>
        <v>86.820000000000007</v>
      </c>
      <c r="M68" s="24">
        <f ca="1">ROUND(L68,1)</f>
        <v>86.8</v>
      </c>
      <c r="Z68" s="2410"/>
      <c r="AI68" s="2411"/>
    </row>
    <row r="69" spans="1:35" s="2433" customFormat="1" ht="16.5" customHeight="1">
      <c r="A69" s="2487"/>
      <c r="B69" s="2488"/>
      <c r="C69" s="2489"/>
      <c r="D69" s="2490"/>
      <c r="E69" s="2491"/>
      <c r="F69" s="2155"/>
      <c r="G69" s="2155"/>
      <c r="H69" s="2154"/>
      <c r="I69" s="2405"/>
      <c r="J69" s="3139"/>
      <c r="K69" s="2486" t="s">
        <v>2243</v>
      </c>
      <c r="L69" s="2492"/>
      <c r="M69" s="24">
        <f ca="1">ROUND(SUM(M63:M68),0)</f>
        <v>286</v>
      </c>
      <c r="N69" s="1743">
        <f ca="1">M69/M49</f>
        <v>1.6470859249020964E-2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40" t="s">
        <v>2244</v>
      </c>
      <c r="B70" s="3141"/>
      <c r="C70" s="3141"/>
      <c r="D70" s="3141"/>
      <c r="E70" s="3141"/>
      <c r="F70" s="3141"/>
      <c r="G70" s="3141"/>
      <c r="H70" s="314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7" t="s">
        <v>2225</v>
      </c>
      <c r="B71" s="3138"/>
      <c r="C71" s="1794"/>
      <c r="D71" s="1794"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16537</v>
      </c>
      <c r="D72" s="199" t="s">
        <v>32</v>
      </c>
      <c r="E72" s="1793"/>
      <c r="F72" s="1787"/>
      <c r="G72" s="1787"/>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99</v>
      </c>
      <c r="D73" s="199" t="s">
        <v>32</v>
      </c>
      <c r="E73" s="1793"/>
      <c r="F73" s="1787"/>
      <c r="G73" s="1787"/>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1793"/>
      <c r="F74" s="1787"/>
      <c r="G74" s="1787"/>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0" t="s">
        <v>2253</v>
      </c>
      <c r="F76" s="3126"/>
      <c r="G76" s="3126"/>
      <c r="H76" s="316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0" t="s">
        <v>2256</v>
      </c>
      <c r="H77" s="1798"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99</v>
      </c>
      <c r="D78" s="225">
        <f>'数据-取费表'!B43</f>
        <v>6.000000000000001E-3</v>
      </c>
      <c r="E78" s="3148" t="s">
        <v>2258</v>
      </c>
      <c r="F78" s="3149"/>
      <c r="G78" s="3149"/>
      <c r="H78" s="315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3" t="s">
        <v>2259</v>
      </c>
      <c r="C79" s="206">
        <f ca="1">C72-C73</f>
        <v>16438</v>
      </c>
      <c r="D79" s="199" t="s">
        <v>32</v>
      </c>
      <c r="E79" s="1793"/>
      <c r="F79" s="1787"/>
      <c r="G79" s="1787"/>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166.04040404040404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9828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0" t="s">
        <v>2262</v>
      </c>
      <c r="B83" s="3141"/>
      <c r="C83" s="3141"/>
      <c r="D83" s="3141"/>
      <c r="E83" s="3141"/>
      <c r="F83" s="3141"/>
      <c r="G83" s="3141"/>
      <c r="H83" s="314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7" t="s">
        <v>2225</v>
      </c>
      <c r="B84" s="3138"/>
      <c r="C84" s="1794"/>
      <c r="D84" s="1794"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16537</v>
      </c>
      <c r="D85" s="199" t="s">
        <v>32</v>
      </c>
      <c r="E85" s="1793"/>
      <c r="F85" s="1787"/>
      <c r="G85" s="1787"/>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99</v>
      </c>
      <c r="D86" s="234"/>
      <c r="E86" s="1793"/>
      <c r="F86" s="1787"/>
      <c r="G86" s="1787"/>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1789"/>
      <c r="F87" s="1790"/>
      <c r="G87" s="1790"/>
      <c r="H87" s="1792"/>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1790"/>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1790"/>
      <c r="G89" s="1790"/>
      <c r="H89" s="1792"/>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1790"/>
      <c r="G90" s="1790"/>
      <c r="H90" s="1792"/>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48" t="s">
        <v>2271</v>
      </c>
      <c r="F91" s="3149"/>
      <c r="G91" s="3149"/>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48" t="s">
        <v>2275</v>
      </c>
      <c r="F92" s="3149"/>
      <c r="G92" s="3149"/>
      <c r="H92" s="315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99</v>
      </c>
      <c r="D93" s="225">
        <f>'数据-取费表'!B43</f>
        <v>6.000000000000001E-3</v>
      </c>
      <c r="E93" s="3148" t="s">
        <v>2258</v>
      </c>
      <c r="F93" s="3149"/>
      <c r="G93" s="3149"/>
      <c r="H93" s="315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51" t="s">
        <v>2279</v>
      </c>
      <c r="F94" s="3152"/>
      <c r="G94" s="3152"/>
      <c r="H94" s="315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3" t="s">
        <v>2259</v>
      </c>
      <c r="C95" s="206">
        <f ca="1">ROUND(C85-C86,0)</f>
        <v>16438</v>
      </c>
      <c r="D95" s="199" t="s">
        <v>32</v>
      </c>
      <c r="E95" s="1793"/>
      <c r="F95" s="1787"/>
      <c r="G95" s="1787"/>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166.04040404040404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9828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90" t="s">
        <v>2281</v>
      </c>
      <c r="B100" s="3091"/>
      <c r="C100" s="3091"/>
      <c r="D100" s="3154"/>
      <c r="E100" s="3091" t="s">
        <v>2282</v>
      </c>
      <c r="F100" s="3091"/>
      <c r="G100" s="3091"/>
      <c r="H100" s="3154"/>
      <c r="I100" s="137"/>
    </row>
    <row r="101" spans="1:35" ht="18.75" customHeight="1">
      <c r="A101" s="3155" t="s">
        <v>2283</v>
      </c>
      <c r="B101" s="3156"/>
      <c r="C101" s="735" t="str">
        <f>C4</f>
        <v>比较法-高层</v>
      </c>
      <c r="D101" s="736" t="str">
        <f>D4</f>
        <v>收益法-高层</v>
      </c>
      <c r="E101" s="3157" t="s">
        <v>2284</v>
      </c>
      <c r="F101" s="3158"/>
      <c r="G101" s="2507" t="s">
        <v>2285</v>
      </c>
      <c r="H101" s="1038">
        <f ca="1">H118</f>
        <v>17364</v>
      </c>
      <c r="I101" s="137"/>
    </row>
    <row r="102" spans="1:35" ht="18.75" customHeight="1">
      <c r="A102" s="3159" t="s">
        <v>2286</v>
      </c>
      <c r="B102" s="2507" t="s">
        <v>2285</v>
      </c>
      <c r="C102" s="735">
        <f ca="1">C19</f>
        <v>19365</v>
      </c>
      <c r="D102" s="736">
        <f ca="1">D19</f>
        <v>9360</v>
      </c>
      <c r="E102" s="3157"/>
      <c r="F102" s="3158"/>
      <c r="G102" s="2507" t="s">
        <v>2287</v>
      </c>
      <c r="H102" s="370">
        <f ca="1">I118</f>
        <v>13044</v>
      </c>
      <c r="I102" s="137"/>
    </row>
    <row r="103" spans="1:35" ht="42.75" customHeight="1">
      <c r="A103" s="3159"/>
      <c r="B103" s="2507" t="s">
        <v>2287</v>
      </c>
      <c r="C103" s="737">
        <f ca="1">C20</f>
        <v>14547</v>
      </c>
      <c r="D103" s="738">
        <f ca="1">D20</f>
        <v>7031</v>
      </c>
      <c r="E103" s="3160" t="s">
        <v>2288</v>
      </c>
      <c r="F103" s="3161"/>
      <c r="G103" s="2508" t="s">
        <v>2289</v>
      </c>
      <c r="H103" s="1038">
        <f>IF(D36="正常操作",H104+H105+H106,H105+H106)</f>
        <v>0</v>
      </c>
      <c r="I103" s="137"/>
    </row>
    <row r="104" spans="1:35" ht="18.75" customHeight="1">
      <c r="A104" s="3159" t="s">
        <v>2290</v>
      </c>
      <c r="B104" s="2509" t="s">
        <v>2285</v>
      </c>
      <c r="C104" s="739">
        <f ca="1">H118</f>
        <v>17364</v>
      </c>
      <c r="D104" s="740"/>
      <c r="E104" s="2255" t="s">
        <v>2291</v>
      </c>
      <c r="F104" s="2247"/>
      <c r="G104" s="2508" t="s">
        <v>2289</v>
      </c>
      <c r="H104" s="1039">
        <f>IF(D36="同一抵押权人同一抵押物续贷",C36&amp;"（未扣减，详见特别提示）",C36)</f>
        <v>0</v>
      </c>
      <c r="I104" s="137"/>
    </row>
    <row r="105" spans="1:35" ht="18.75" customHeight="1" thickBot="1">
      <c r="A105" s="3168"/>
      <c r="B105" s="2510" t="s">
        <v>2287</v>
      </c>
      <c r="C105" s="741">
        <f ca="1">I118</f>
        <v>13044</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9" t="str">
        <f>IF(项目基本情况!E8="已注销","——","3.房地产抵押价值")</f>
        <v>3.房地产抵押价值</v>
      </c>
      <c r="F107" s="3158"/>
      <c r="G107" s="2507" t="s">
        <v>2285</v>
      </c>
      <c r="H107" s="1038">
        <f ca="1">IF(E107="——","——",H101-H103)</f>
        <v>17364</v>
      </c>
      <c r="I107" s="137"/>
    </row>
    <row r="108" spans="1:35" ht="18.75" customHeight="1">
      <c r="A108" s="137"/>
      <c r="B108" s="137"/>
      <c r="C108" s="137"/>
      <c r="D108" s="137"/>
      <c r="E108" s="3169"/>
      <c r="F108" s="3158"/>
      <c r="G108" s="2507" t="s">
        <v>2287</v>
      </c>
      <c r="H108" s="370">
        <f ca="1">ROUND(H107*10000/'数据-汇总表'!E3,0)</f>
        <v>8160</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58"/>
      <c r="G109" s="2507" t="s">
        <v>2285</v>
      </c>
      <c r="H109" s="347" t="str">
        <f>IF(E109="——","——",H101-H105-H106)</f>
        <v>——</v>
      </c>
      <c r="I109" s="137"/>
    </row>
    <row r="110" spans="1:35" ht="18.75" customHeight="1">
      <c r="A110" s="137"/>
      <c r="B110" s="137"/>
      <c r="C110" s="137"/>
      <c r="D110" s="137"/>
      <c r="E110" s="3169"/>
      <c r="F110" s="3158"/>
      <c r="G110" s="2507" t="s">
        <v>2287</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07" t="s">
        <v>2285</v>
      </c>
      <c r="H111" s="1038" t="str">
        <f>IF(E111="——","——",N59)</f>
        <v>——</v>
      </c>
      <c r="I111" s="137"/>
    </row>
    <row r="112" spans="1:35" ht="18.75" customHeight="1" thickBot="1">
      <c r="A112" s="137"/>
      <c r="B112" s="137"/>
      <c r="C112" s="137"/>
      <c r="D112" s="137"/>
      <c r="E112" s="3172"/>
      <c r="F112" s="3173"/>
      <c r="G112" s="2512" t="s">
        <v>2287</v>
      </c>
      <c r="H112" s="789" t="str">
        <f>IF(E111="——","——",N61)</f>
        <v>——</v>
      </c>
      <c r="I112" s="137"/>
    </row>
    <row r="113" spans="1:11" ht="18.75" customHeight="1">
      <c r="A113" s="137"/>
      <c r="B113" s="137"/>
      <c r="C113" s="137"/>
      <c r="D113" s="137"/>
      <c r="E113" s="3174" t="s">
        <v>2293</v>
      </c>
      <c r="F113" s="3174"/>
      <c r="G113" s="3174"/>
      <c r="H113" s="3174"/>
      <c r="I113" s="137"/>
    </row>
    <row r="114" spans="1:11" ht="3.75" customHeight="1">
      <c r="A114" s="2405"/>
      <c r="B114" s="2405"/>
      <c r="C114" s="2405"/>
      <c r="D114" s="2405"/>
      <c r="E114" s="2483"/>
      <c r="F114" s="2483"/>
      <c r="G114" s="2483"/>
      <c r="H114" s="2483"/>
      <c r="I114" s="2405"/>
    </row>
    <row r="115" spans="1:11" ht="18.75" customHeight="1">
      <c r="A115" s="3175" t="s">
        <v>2295</v>
      </c>
      <c r="B115" s="3176"/>
      <c r="C115" s="3176"/>
      <c r="D115" s="3176"/>
      <c r="E115" s="3176"/>
      <c r="F115" s="3176"/>
      <c r="G115" s="3176"/>
      <c r="H115" s="3176"/>
      <c r="I115" s="3177"/>
    </row>
    <row r="116" spans="1:11" ht="27" customHeight="1">
      <c r="A116" s="3046" t="s">
        <v>2296</v>
      </c>
      <c r="B116" s="3163" t="s">
        <v>2297</v>
      </c>
      <c r="C116" s="3163" t="s">
        <v>2298</v>
      </c>
      <c r="D116" s="3165" t="s">
        <v>2299</v>
      </c>
      <c r="E116" s="3166"/>
      <c r="F116" s="3167" t="s">
        <v>2300</v>
      </c>
      <c r="G116" s="3167"/>
      <c r="H116" s="3046" t="s">
        <v>2301</v>
      </c>
      <c r="I116" s="3046"/>
    </row>
    <row r="117" spans="1:11" ht="18.75" customHeight="1">
      <c r="A117" s="3046"/>
      <c r="B117" s="3164"/>
      <c r="C117" s="3164"/>
      <c r="D117" s="1788" t="s">
        <v>2302</v>
      </c>
      <c r="E117" s="1788" t="s">
        <v>2303</v>
      </c>
      <c r="F117" s="1788" t="s">
        <v>2302</v>
      </c>
      <c r="G117" s="1788" t="s">
        <v>2304</v>
      </c>
      <c r="H117" s="1788" t="s">
        <v>2302</v>
      </c>
      <c r="I117" s="1788" t="s">
        <v>2304</v>
      </c>
    </row>
    <row r="118" spans="1:11" ht="24.75" customHeight="1">
      <c r="A118" s="2513" t="str">
        <f>项目基本情况!S2</f>
        <v>浙江省吴兴区八里店乌山单元02-01E号地块房地产</v>
      </c>
      <c r="B118" s="1788">
        <f>M18</f>
        <v>13312.34</v>
      </c>
      <c r="C118" s="1788">
        <f>M19</f>
        <v>5179.8999999999996</v>
      </c>
      <c r="D118" s="1788">
        <f ca="1">ROUND(IF(D32="总价",C34,E118*B118/10000),0)</f>
        <v>10193</v>
      </c>
      <c r="E118" s="1788">
        <f ca="1">ROUND(IF(C33="自定义",IF(D32="楼面单价",C34,D118*10000/B118),I118-G118),0)</f>
        <v>7657</v>
      </c>
      <c r="F118" s="1788">
        <f ca="1">ROUND(IF(D32="总价",C35,G118*B118/10000),0)</f>
        <v>7171</v>
      </c>
      <c r="G118" s="1788">
        <f ca="1">ROUND(IF(D32="楼面单价",C35,F118*10000/B118),0)</f>
        <v>5387</v>
      </c>
      <c r="H118" s="1788">
        <f ca="1">ROUND(IF(D32="总价",C32,I118*B118/10000),0)</f>
        <v>17364</v>
      </c>
      <c r="I118" s="1788">
        <f ca="1">ROUND(IF(D32="楼面单价",C32,H118*10000/B118),0)</f>
        <v>13044</v>
      </c>
    </row>
    <row r="119" spans="1:11" ht="18.75" customHeight="1">
      <c r="A119" s="3046" t="s">
        <v>2305</v>
      </c>
      <c r="B119" s="3046"/>
      <c r="C119" s="3046"/>
      <c r="D119" s="3181" t="str">
        <f ca="1">NUMBERSTRING(INT(D118*10000),2)&amp;"元整"</f>
        <v>壹亿零壹佰玖拾叁万元整</v>
      </c>
      <c r="E119" s="3183"/>
      <c r="F119" s="3181" t="str">
        <f ca="1">NUMBERSTRING(INT(F118*10000),2)&amp;"元整"</f>
        <v>柒仟壹佰柒拾壹万元整</v>
      </c>
      <c r="G119" s="3183"/>
      <c r="H119" s="3181" t="str">
        <f ca="1">NUMBERSTRING(INT(H118*10000),2)&amp;"元整"</f>
        <v>壹亿柒仟叁佰陆拾肆万元整</v>
      </c>
      <c r="I119" s="3183"/>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0" t="str">
        <f>IF(D120=0,"故，本次评估不存在"&amp;A120,"故，本次评估"&amp;A120&amp;"为人民币"&amp;D120&amp;"万元整。")</f>
        <v>故，本次评估不存在估价师知悉的法定优先受偿款</v>
      </c>
    </row>
    <row r="121" spans="1:11" ht="18.75" customHeight="1">
      <c r="A121" s="3178" t="s">
        <v>2305</v>
      </c>
      <c r="B121" s="3179"/>
      <c r="C121" s="3180"/>
      <c r="D121" s="3181" t="str">
        <f>IF(D120=0,"零元整",NUMBERSTRING(INT(D120*10000),2)&amp;"元整")</f>
        <v>零元整</v>
      </c>
      <c r="E121" s="3182"/>
      <c r="F121" s="3182"/>
      <c r="G121" s="3182"/>
      <c r="H121" s="3182"/>
      <c r="I121" s="3183"/>
    </row>
    <row r="122" spans="1:11" ht="18.75" customHeight="1">
      <c r="A122" s="3184" t="str">
        <f>IF(项目基本情况!B9="房地产市场价值","",MID(E107,3,LEN(E107)-2))</f>
        <v>房地产抵押价值</v>
      </c>
      <c r="B122" s="3184"/>
      <c r="C122" s="3184"/>
      <c r="D122" s="3185">
        <f ca="1">H107</f>
        <v>17364</v>
      </c>
      <c r="E122" s="3186"/>
      <c r="F122" s="3186"/>
      <c r="G122" s="3186"/>
      <c r="H122" s="3186"/>
      <c r="I122" s="3187"/>
    </row>
    <row r="123" spans="1:11" ht="18.75" customHeight="1">
      <c r="A123" s="3046" t="s">
        <v>2305</v>
      </c>
      <c r="B123" s="3046"/>
      <c r="C123" s="3046"/>
      <c r="D123" s="3181" t="str">
        <f ca="1">NUMBERSTRING(INT(D122*10000),2)&amp;"元整"</f>
        <v>壹亿柒仟叁佰陆拾肆万元整</v>
      </c>
      <c r="E123" s="3182"/>
      <c r="F123" s="3182"/>
      <c r="G123" s="3182"/>
      <c r="H123" s="3182"/>
      <c r="I123" s="3183"/>
    </row>
    <row r="124" spans="1:11" ht="18.75" customHeight="1">
      <c r="A124" s="3184" t="str">
        <f>IF(项目基本情况!B9="房地产市场价值","",MID(E109,3,LEN(E109)-2))</f>
        <v/>
      </c>
      <c r="B124" s="3184"/>
      <c r="C124" s="3184"/>
      <c r="D124" s="3185" t="str">
        <f>H109</f>
        <v>——</v>
      </c>
      <c r="E124" s="3186"/>
      <c r="F124" s="3186"/>
      <c r="G124" s="3186"/>
      <c r="H124" s="3186"/>
      <c r="I124" s="3187"/>
    </row>
    <row r="125" spans="1:11" ht="18.75" customHeight="1">
      <c r="A125" s="3046" t="s">
        <v>2305</v>
      </c>
      <c r="B125" s="3046"/>
      <c r="C125" s="3046"/>
      <c r="D125" s="3181" t="e">
        <f>NUMBERSTRING(INT(D124*10000),2)&amp;"元整"</f>
        <v>#VALUE!</v>
      </c>
      <c r="E125" s="3182"/>
      <c r="F125" s="3182"/>
      <c r="G125" s="3182"/>
      <c r="H125" s="3182"/>
      <c r="I125" s="3183"/>
    </row>
    <row r="126" spans="1:11" ht="18.75" customHeight="1">
      <c r="A126" s="3184" t="str">
        <f>IF(项目基本情况!B9="房地产市场价值","",MID(E111,3,LEN(E111)-2))</f>
        <v/>
      </c>
      <c r="B126" s="3184"/>
      <c r="C126" s="3184"/>
      <c r="D126" s="3185" t="str">
        <f>H111</f>
        <v>——</v>
      </c>
      <c r="E126" s="3186"/>
      <c r="F126" s="3186"/>
      <c r="G126" s="3186"/>
      <c r="H126" s="3186"/>
      <c r="I126" s="3187"/>
    </row>
    <row r="127" spans="1:11" ht="18.75" customHeight="1">
      <c r="A127" s="3046" t="s">
        <v>2305</v>
      </c>
      <c r="B127" s="3046"/>
      <c r="C127" s="3046"/>
      <c r="D127" s="3181" t="e">
        <f>NUMBERSTRING(INT(D126*10000),2)&amp;"元整"</f>
        <v>#VALUE!</v>
      </c>
      <c r="E127" s="3182"/>
      <c r="F127" s="3182"/>
      <c r="G127" s="3182"/>
      <c r="H127" s="3182"/>
      <c r="I127" s="3183"/>
    </row>
    <row r="128" spans="1:11" ht="21.75" customHeight="1">
      <c r="A128" s="3188" t="s">
        <v>2306</v>
      </c>
      <c r="B128" s="3188"/>
      <c r="C128" s="3188"/>
      <c r="D128" s="3188"/>
      <c r="E128" s="3188"/>
      <c r="F128" s="3188"/>
      <c r="G128" s="3188"/>
      <c r="H128" s="3188"/>
      <c r="I128" s="3188"/>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2314</v>
      </c>
      <c r="B1" s="1929"/>
      <c r="C1" s="241"/>
      <c r="D1" s="241"/>
      <c r="E1" s="241"/>
      <c r="F1" s="241"/>
      <c r="G1" s="1372">
        <f>MATCH(B1,'数据-取费表'!A6:A16,0)+5</f>
        <v>8</v>
      </c>
    </row>
    <row r="2" spans="1:9" s="243" customFormat="1" ht="18" customHeight="1">
      <c r="A2" s="244" t="s">
        <v>2315</v>
      </c>
      <c r="B2" s="245">
        <f ca="1">IF(D2="——",C52,C52-E2)</f>
        <v>23174</v>
      </c>
      <c r="C2" s="242" t="s">
        <v>2316</v>
      </c>
      <c r="D2" s="2536" t="s">
        <v>70</v>
      </c>
      <c r="E2" s="1433" t="e">
        <f ca="1">SUMIF(INDIRECT("'"&amp;G2&amp;"'"&amp;"!A:A"),"承租人权益价值",INDIRECT("'"&amp;G2&amp;"'"&amp;"!c:c"))</f>
        <v>#REF!</v>
      </c>
      <c r="F2" s="2537" t="s">
        <v>2316</v>
      </c>
      <c r="G2" s="2538"/>
    </row>
    <row r="3" spans="1:9" s="243" customFormat="1" ht="18" customHeight="1" thickBot="1">
      <c r="A3" s="246" t="s">
        <v>2317</v>
      </c>
      <c r="B3" s="247">
        <f ca="1">ROUND(B2*10000/(IF(B1="",'数据-汇总表'!E3,INDIRECT("'数据-取费表'!k"&amp;$G$1))),0)</f>
        <v>10891</v>
      </c>
      <c r="C3" s="242" t="s">
        <v>2318</v>
      </c>
      <c r="D3" s="242"/>
      <c r="E3" s="242"/>
      <c r="F3" s="242"/>
      <c r="G3" s="242"/>
    </row>
    <row r="4" spans="1:9" s="251" customFormat="1" ht="16.2">
      <c r="A4" s="248" t="s">
        <v>2319</v>
      </c>
      <c r="B4" s="249"/>
      <c r="C4" s="249"/>
      <c r="D4" s="249"/>
      <c r="E4" s="249"/>
      <c r="F4" s="249"/>
      <c r="G4" s="250"/>
    </row>
    <row r="5" spans="1:9" s="257" customFormat="1" ht="13.5" customHeight="1">
      <c r="A5" s="298" t="s">
        <v>2320</v>
      </c>
      <c r="B5" s="253" t="s">
        <v>2321</v>
      </c>
      <c r="C5" s="254">
        <f ca="1">C6+C7+C8</f>
        <v>10170</v>
      </c>
      <c r="D5" s="254" t="s">
        <v>2322</v>
      </c>
      <c r="E5" s="255" t="s">
        <v>2323</v>
      </c>
      <c r="F5" s="255" t="s">
        <v>2324</v>
      </c>
      <c r="G5" s="256"/>
    </row>
    <row r="6" spans="1:9" s="257" customFormat="1" ht="13.5" customHeight="1">
      <c r="A6" s="942" t="s">
        <v>2325</v>
      </c>
      <c r="B6" s="258" t="s">
        <v>2326</v>
      </c>
      <c r="C6" s="259">
        <f>'土地比较法-住宅、综合'!B2</f>
        <v>9869</v>
      </c>
      <c r="D6" s="260"/>
      <c r="E6" s="261"/>
      <c r="F6" s="261"/>
      <c r="G6" s="262"/>
    </row>
    <row r="7" spans="1:9" s="257" customFormat="1" ht="13.5" customHeight="1">
      <c r="A7" s="942" t="s">
        <v>2327</v>
      </c>
      <c r="B7" s="258" t="s">
        <v>2328</v>
      </c>
      <c r="C7" s="263">
        <f>ROUND(C6*F7,0)</f>
        <v>301</v>
      </c>
      <c r="D7" s="263"/>
      <c r="E7" s="261"/>
      <c r="F7" s="264">
        <f>IF(项目基本情况!B8="出让",0,'数据-取费表'!B48+'数据-取费表'!B49)</f>
        <v>3.0499999999999999E-2</v>
      </c>
      <c r="G7" s="262"/>
    </row>
    <row r="8" spans="1:9" s="266" customFormat="1">
      <c r="A8" s="942" t="s">
        <v>2329</v>
      </c>
      <c r="B8" s="258" t="s">
        <v>2330</v>
      </c>
      <c r="C8" s="263">
        <f ca="1">IF(G8="已包含在土地购买价格中","0",IF(B1="",'数据-取费表'!B29,IF(G9="全部缴纳",C9+C10,H9)))</f>
        <v>0</v>
      </c>
      <c r="D8" s="265"/>
      <c r="E8" s="263"/>
      <c r="F8" s="264"/>
      <c r="G8" s="2539" t="s">
        <v>3444</v>
      </c>
    </row>
    <row r="9" spans="1:9" s="257" customFormat="1" ht="13.5" customHeight="1">
      <c r="A9" s="943" t="s">
        <v>800</v>
      </c>
      <c r="B9" s="267" t="s">
        <v>2331</v>
      </c>
      <c r="C9" s="268">
        <f ca="1">ROUND(D9*E9/10000,0)</f>
        <v>0</v>
      </c>
      <c r="D9" s="1025">
        <f ca="1">IF(B1="",'数据-汇总表'!E5,IF(INDIRECT("'数据-取费表'!c"&amp;$G$1)="住宅",INDIRECT("'数据-取费表'!k"&amp;$G$1),0))</f>
        <v>21278.6</v>
      </c>
      <c r="E9" s="268">
        <f>'数据-取费表'!B27</f>
        <v>0</v>
      </c>
      <c r="F9" s="264"/>
      <c r="G9" s="2540" t="s">
        <v>3445</v>
      </c>
      <c r="H9" s="1383"/>
      <c r="I9" s="2541" t="s">
        <v>2332</v>
      </c>
    </row>
    <row r="10" spans="1:9" s="257" customFormat="1" ht="13.5" customHeight="1">
      <c r="A10" s="943" t="s">
        <v>801</v>
      </c>
      <c r="B10" s="267" t="s">
        <v>2333</v>
      </c>
      <c r="C10" s="268">
        <f ca="1">ROUND(D10*E10/10000,0)</f>
        <v>0</v>
      </c>
      <c r="D10" s="1025">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2334</v>
      </c>
      <c r="C11" s="254"/>
      <c r="D11" s="1027"/>
      <c r="E11" s="261"/>
      <c r="F11" s="261"/>
      <c r="G11" s="262"/>
    </row>
    <row r="12" spans="1:9" s="257" customFormat="1" ht="13.5" hidden="1" customHeight="1">
      <c r="A12" s="270" t="s">
        <v>8</v>
      </c>
      <c r="B12" s="258" t="s">
        <v>2335</v>
      </c>
      <c r="C12" s="254">
        <v>0</v>
      </c>
      <c r="D12" s="1027"/>
      <c r="E12" s="271"/>
      <c r="F12" s="264">
        <v>3.0499999999999999E-2</v>
      </c>
      <c r="G12" s="262"/>
    </row>
    <row r="13" spans="1:9" s="257" customFormat="1" ht="13.5" hidden="1" customHeight="1">
      <c r="A13" s="270" t="s">
        <v>9</v>
      </c>
      <c r="B13" s="258" t="s">
        <v>2336</v>
      </c>
      <c r="C13" s="254"/>
      <c r="D13" s="1027"/>
      <c r="E13" s="261"/>
      <c r="F13" s="261"/>
      <c r="G13" s="262"/>
    </row>
    <row r="14" spans="1:9" s="257" customFormat="1" ht="13.5" hidden="1" customHeight="1">
      <c r="A14" s="270" t="s">
        <v>10</v>
      </c>
      <c r="B14" s="258" t="s">
        <v>2337</v>
      </c>
      <c r="C14" s="254"/>
      <c r="D14" s="1027"/>
      <c r="E14" s="261"/>
      <c r="F14" s="261"/>
      <c r="G14" s="262" t="s">
        <v>2338</v>
      </c>
    </row>
    <row r="15" spans="1:9" s="257" customFormat="1" ht="13.5" hidden="1" customHeight="1">
      <c r="A15" s="270" t="s">
        <v>11</v>
      </c>
      <c r="B15" s="258" t="s">
        <v>2339</v>
      </c>
      <c r="C15" s="263"/>
      <c r="D15" s="1027"/>
      <c r="E15" s="261"/>
      <c r="F15" s="261"/>
      <c r="G15" s="262" t="s">
        <v>2340</v>
      </c>
    </row>
    <row r="16" spans="1:9" s="257" customFormat="1" ht="13.5" hidden="1" customHeight="1">
      <c r="A16" s="270" t="s">
        <v>12</v>
      </c>
      <c r="B16" s="258" t="s">
        <v>2337</v>
      </c>
      <c r="C16" s="263"/>
      <c r="D16" s="1027"/>
      <c r="E16" s="261"/>
      <c r="F16" s="261"/>
      <c r="G16" s="262"/>
    </row>
    <row r="17" spans="1:7" s="257" customFormat="1" ht="13.5" hidden="1" customHeight="1">
      <c r="A17" s="270" t="s">
        <v>13</v>
      </c>
      <c r="B17" s="258" t="s">
        <v>2341</v>
      </c>
      <c r="C17" s="272"/>
      <c r="D17" s="1028"/>
      <c r="E17" s="272"/>
      <c r="F17" s="272"/>
      <c r="G17" s="262" t="s">
        <v>2340</v>
      </c>
    </row>
    <row r="18" spans="1:7" s="257" customFormat="1" ht="13.5" hidden="1" customHeight="1">
      <c r="A18" s="270" t="s">
        <v>14</v>
      </c>
      <c r="B18" s="258" t="s">
        <v>2342</v>
      </c>
      <c r="C18" s="263">
        <v>0</v>
      </c>
      <c r="D18" s="1027"/>
      <c r="E18" s="261"/>
      <c r="F18" s="264">
        <v>3.0499999999999999E-2</v>
      </c>
      <c r="G18" s="262" t="s">
        <v>2343</v>
      </c>
    </row>
    <row r="19" spans="1:7" s="266" customFormat="1" ht="13.5" customHeight="1">
      <c r="A19" s="298" t="s">
        <v>2344</v>
      </c>
      <c r="B19" s="253" t="s">
        <v>2345</v>
      </c>
      <c r="C19" s="254" t="str">
        <f>IF(G19="已包含在土地取得成本中","0",ROUND(D19*E19/10000,0))</f>
        <v>0</v>
      </c>
      <c r="D19" s="1029">
        <f ca="1">D9+D10</f>
        <v>21278.6</v>
      </c>
      <c r="E19" s="254">
        <f>'数据-取费表'!B31</f>
        <v>200</v>
      </c>
      <c r="F19" s="274"/>
      <c r="G19" s="2539" t="s">
        <v>3446</v>
      </c>
    </row>
    <row r="20" spans="1:7" s="257" customFormat="1" ht="13.5" customHeight="1">
      <c r="A20" s="298" t="s">
        <v>2346</v>
      </c>
      <c r="B20" s="253" t="s">
        <v>2347</v>
      </c>
      <c r="C20" s="275">
        <f ca="1">ROUND((C5+C19)*F20,0)</f>
        <v>153</v>
      </c>
      <c r="D20" s="275"/>
      <c r="E20" s="275"/>
      <c r="F20" s="276">
        <f>'数据-取费表'!B37</f>
        <v>1.4999999999999999E-2</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47">
        <f ca="1">ROUND(SUM(C23:C25),0)</f>
        <v>996</v>
      </c>
      <c r="D22" s="278">
        <f ca="1">C26</f>
        <v>1E-3</v>
      </c>
      <c r="E22" s="279" t="s">
        <v>2351</v>
      </c>
      <c r="F22" s="280">
        <f ca="1">'数据-取费表'!B40</f>
        <v>4.7500000000000001E-2</v>
      </c>
      <c r="G22" s="277" t="str">
        <f>IF('数据-取费表'!B22&lt;=1,"单利计息","复利计息")</f>
        <v>复利计息</v>
      </c>
    </row>
    <row r="23" spans="1:7" s="257" customFormat="1" ht="13.5" customHeight="1">
      <c r="A23" s="944" t="s">
        <v>2355</v>
      </c>
      <c r="B23" s="258" t="s">
        <v>2356</v>
      </c>
      <c r="C23" s="1348">
        <f ca="1">ROUND(IF('数据-取费表'!B22&lt;=1,C5*F22*'数据-取费表'!B23,C5*(POWER((1+F22),'数据-取费表'!B23)-1)),0)</f>
        <v>989</v>
      </c>
      <c r="D23" s="281"/>
      <c r="E23" s="281"/>
      <c r="F23" s="282"/>
      <c r="G23" s="283" t="s">
        <v>2357</v>
      </c>
    </row>
    <row r="24" spans="1:7" s="257" customFormat="1" ht="13.5" customHeight="1">
      <c r="A24" s="944" t="s">
        <v>2358</v>
      </c>
      <c r="B24" s="258" t="s">
        <v>2359</v>
      </c>
      <c r="C24" s="1348">
        <f ca="1">ROUND(IF('数据-取费表'!B22&lt;=1,C19*F22*('数据-取费表'!B19/2+'数据-取费表'!B21),C19*(POWER((1+F22),('数据-取费表'!B19/2+'数据-取费表'!B21))-1)),0)</f>
        <v>0</v>
      </c>
      <c r="D24" s="281"/>
      <c r="E24" s="281"/>
      <c r="F24" s="282"/>
      <c r="G24" s="283" t="s">
        <v>2360</v>
      </c>
    </row>
    <row r="25" spans="1:7" s="257" customFormat="1" ht="24">
      <c r="A25" s="944" t="s">
        <v>2361</v>
      </c>
      <c r="B25" s="258" t="s">
        <v>2362</v>
      </c>
      <c r="C25" s="1348">
        <f ca="1">ROUND(IF('数据-取费表'!B22&lt;=1,C20*F22*'数据-取费表'!B23/2,C20*(POWER((1+F22),'数据-取费表'!B23/2)-1)),0)</f>
        <v>7</v>
      </c>
      <c r="D25" s="281"/>
      <c r="E25" s="284"/>
      <c r="F25" s="282"/>
      <c r="G25" s="285" t="s">
        <v>2363</v>
      </c>
    </row>
    <row r="26" spans="1:7" s="257" customFormat="1">
      <c r="A26" s="944" t="s">
        <v>795</v>
      </c>
      <c r="B26" s="258" t="s">
        <v>2364</v>
      </c>
      <c r="C26" s="281">
        <f ca="1">ROUND(IF('数据-取费表'!B22&lt;=1,F21*F22*'数据-取费表'!B23/2,F21*(POWER((1+F22),'数据-取费表'!B23/2)-1)),4)</f>
        <v>1E-3</v>
      </c>
      <c r="D26" s="281"/>
      <c r="E26" s="284"/>
      <c r="F26" s="282"/>
      <c r="G26" s="286"/>
    </row>
    <row r="27" spans="1:7" s="257" customFormat="1" ht="26.4">
      <c r="A27" s="298" t="s">
        <v>2365</v>
      </c>
      <c r="B27" s="287" t="s">
        <v>2366</v>
      </c>
      <c r="C27" s="288">
        <f ca="1">C28</f>
        <v>1239</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ROUND((C5+C19+C20)*F27*'数据-取费表'!B21/'数据-取费表'!B20,0)</f>
        <v>1239</v>
      </c>
      <c r="D28" s="278"/>
      <c r="E28" s="279"/>
      <c r="F28" s="289"/>
      <c r="G28" s="290"/>
    </row>
    <row r="29" spans="1:7" s="257" customFormat="1" ht="13.5" customHeight="1">
      <c r="A29" s="944" t="s">
        <v>792</v>
      </c>
      <c r="B29" s="291" t="s">
        <v>2370</v>
      </c>
      <c r="C29" s="281">
        <f ca="1">ROUND(C21*F27*'数据-取费表'!B21/'数据-取费表'!B20,4)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13601</v>
      </c>
      <c r="D31" s="273"/>
      <c r="E31" s="254"/>
      <c r="F31" s="293"/>
      <c r="G31" s="277" t="s">
        <v>2375</v>
      </c>
    </row>
    <row r="32" spans="1:7" s="251" customFormat="1" ht="16.2">
      <c r="A32" s="295" t="s">
        <v>2376</v>
      </c>
      <c r="B32" s="296"/>
      <c r="C32" s="296"/>
      <c r="D32" s="296"/>
      <c r="E32" s="296"/>
      <c r="F32" s="296"/>
      <c r="G32" s="297"/>
    </row>
    <row r="33" spans="1:7" s="257" customFormat="1" ht="13.5" customHeight="1">
      <c r="A33" s="298" t="s">
        <v>782</v>
      </c>
      <c r="B33" s="253" t="s">
        <v>2377</v>
      </c>
      <c r="C33" s="299">
        <f ca="1">SUM(C34:C38)</f>
        <v>7459</v>
      </c>
      <c r="D33" s="275"/>
      <c r="E33" s="255"/>
      <c r="F33" s="284"/>
      <c r="G33" s="277"/>
    </row>
    <row r="34" spans="1:7" s="301" customFormat="1" ht="13.5" customHeight="1">
      <c r="A34" s="944" t="s">
        <v>791</v>
      </c>
      <c r="B34" s="258" t="s">
        <v>2378</v>
      </c>
      <c r="C34" s="263">
        <f ca="1">IF(B1="",IF(F34=100%,'数据-取费表'!M16,'数据-取费表'!O16),IF(F34=100%,INDIRECT("'数据-取费表'!m"&amp;$G$1)+INDIRECT("'数据-取费表'!t"&amp;$G$1),INDIRECT("'数据-取费表'!o"&amp;$G$1)+INDIRECT("'数据-取费表'!aq"&amp;$G$1)))</f>
        <v>6543</v>
      </c>
      <c r="D34" s="260"/>
      <c r="E34" s="263"/>
      <c r="F34" s="300">
        <f ca="1">IF('数据-取费表'!B24=0,1,IF(B1="",'数据-取费表'!N16,INDIRECT("'数据-取费表'!n"&amp;$G$1)))</f>
        <v>1</v>
      </c>
      <c r="G34" s="262" t="s">
        <v>2379</v>
      </c>
    </row>
    <row r="35" spans="1:7" ht="13.5" customHeight="1">
      <c r="A35" s="944" t="s">
        <v>796</v>
      </c>
      <c r="B35" s="258" t="s">
        <v>2380</v>
      </c>
      <c r="C35" s="263">
        <f ca="1">ROUND(C34*F35,0)</f>
        <v>196</v>
      </c>
      <c r="D35" s="263"/>
      <c r="E35" s="263"/>
      <c r="F35" s="302">
        <f>'数据-取费表'!B33</f>
        <v>0.03</v>
      </c>
      <c r="G35" s="262" t="s">
        <v>2381</v>
      </c>
    </row>
    <row r="36" spans="1:7" ht="24">
      <c r="A36" s="944" t="s">
        <v>797</v>
      </c>
      <c r="B36" s="258" t="s">
        <v>2382</v>
      </c>
      <c r="C36" s="263">
        <f ca="1">ROUND(IF(B1="",SUMIF('数据-取费表'!C:C,"住宅",IF(F34=100%,'数据-取费表'!M:M,'数据-取费表'!O:O))*F36,IF(INDIRECT("'数据-取费表'!c"&amp;$G$1)="住宅",IF(F34=100%,INDIRECT("'数据-取费表'!m"&amp;$G$1)*F36,INDIRECT("'数据-取费表'!o"&amp;$G$1)*F36),0)),0)</f>
        <v>196</v>
      </c>
      <c r="D36" s="263"/>
      <c r="E36" s="263"/>
      <c r="F36" s="302">
        <f>'数据-取费表'!B34</f>
        <v>0.03</v>
      </c>
      <c r="G36" s="303" t="s">
        <v>2383</v>
      </c>
    </row>
    <row r="37" spans="1:7" s="301" customFormat="1" ht="13.5" customHeight="1">
      <c r="A37" s="944" t="s">
        <v>798</v>
      </c>
      <c r="B37" s="258" t="s">
        <v>2384</v>
      </c>
      <c r="C37" s="292">
        <f ca="1">ROUND(E37*D37*F34/10000,0)</f>
        <v>426</v>
      </c>
      <c r="D37" s="260">
        <f ca="1">D19</f>
        <v>21278.6</v>
      </c>
      <c r="E37" s="292">
        <f>'数据-取费表'!B35</f>
        <v>200</v>
      </c>
      <c r="F37" s="302"/>
      <c r="G37" s="304" t="s">
        <v>2385</v>
      </c>
    </row>
    <row r="38" spans="1:7" ht="13.5" customHeight="1">
      <c r="A38" s="944" t="s">
        <v>799</v>
      </c>
      <c r="B38" s="258" t="s">
        <v>2386</v>
      </c>
      <c r="C38" s="263">
        <f ca="1">ROUND(C34*F38,0)</f>
        <v>98</v>
      </c>
      <c r="D38" s="263"/>
      <c r="E38" s="263"/>
      <c r="F38" s="302">
        <f>'数据-取费表'!B36</f>
        <v>1.4999999999999999E-2</v>
      </c>
      <c r="G38" s="262" t="s">
        <v>2381</v>
      </c>
    </row>
    <row r="39" spans="1:7" s="257" customFormat="1" ht="13.5" customHeight="1">
      <c r="A39" s="298" t="s">
        <v>2387</v>
      </c>
      <c r="B39" s="253" t="s">
        <v>2388</v>
      </c>
      <c r="C39" s="275">
        <f ca="1">ROUND(C33*F20,0)</f>
        <v>112</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ROUND(IF('数据-取费表'!B22&lt;=1,C33*F22*'数据-取费表'!B21/2,C33*(POWER((1+F22),'数据-取费表'!B21/2)-1)),0)</f>
        <v>354</v>
      </c>
      <c r="D42" s="281"/>
      <c r="E42" s="281"/>
      <c r="F42" s="282"/>
      <c r="G42" s="3189" t="s">
        <v>2397</v>
      </c>
    </row>
    <row r="43" spans="1:7" ht="13.5" customHeight="1">
      <c r="A43" s="944" t="s">
        <v>792</v>
      </c>
      <c r="B43" s="258" t="s">
        <v>2398</v>
      </c>
      <c r="C43" s="281">
        <f ca="1">ROUND(IF('数据-取费表'!B22&lt;=1,C39*F22*'数据-取费表'!B21/2,C39*(POWER((1+F22),'数据-取费表'!B21/2)-1)),0)</f>
        <v>5</v>
      </c>
      <c r="D43" s="281"/>
      <c r="E43" s="281"/>
      <c r="F43" s="282"/>
      <c r="G43" s="3190"/>
    </row>
    <row r="44" spans="1:7" ht="13.5" customHeight="1">
      <c r="A44" s="944" t="s">
        <v>793</v>
      </c>
      <c r="B44" s="258" t="s">
        <v>2399</v>
      </c>
      <c r="C44" s="281">
        <f ca="1">ROUND(IF('数据-取费表'!B22&lt;=1,C40*F22*'数据-取费表'!B21/2,C40*(POWER((1+F22),'数据-取费表'!B21/2)-1)),4)</f>
        <v>1E-3</v>
      </c>
      <c r="D44" s="281"/>
      <c r="E44" s="281"/>
      <c r="F44" s="282"/>
      <c r="G44" s="3191"/>
    </row>
    <row r="45" spans="1:7" s="257" customFormat="1" ht="13.5" customHeight="1">
      <c r="A45" s="298" t="s">
        <v>2400</v>
      </c>
      <c r="B45" s="287" t="s">
        <v>2366</v>
      </c>
      <c r="C45" s="288">
        <f ca="1">C46</f>
        <v>909</v>
      </c>
      <c r="D45" s="278">
        <f ca="1">C47</f>
        <v>2.3999999999999998E-3</v>
      </c>
      <c r="E45" s="279" t="s">
        <v>2392</v>
      </c>
      <c r="F45" s="289"/>
      <c r="G45" s="290" t="s">
        <v>2401</v>
      </c>
    </row>
    <row r="46" spans="1:7" s="257" customFormat="1" ht="13.5" customHeight="1">
      <c r="A46" s="944" t="s">
        <v>791</v>
      </c>
      <c r="B46" s="291" t="s">
        <v>2402</v>
      </c>
      <c r="C46" s="292">
        <f ca="1">ROUND((C33+C39)*F27,0)</f>
        <v>909</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1721">
        <f>ROUND(F30/(1+'数据-取费表'!C42),4)</f>
        <v>5.33E-2</v>
      </c>
      <c r="D48" s="279" t="s">
        <v>2392</v>
      </c>
      <c r="E48" s="275"/>
      <c r="F48" s="280"/>
      <c r="G48" s="277" t="s">
        <v>2405</v>
      </c>
    </row>
    <row r="49" spans="1:7" ht="16.5" customHeight="1">
      <c r="A49" s="298" t="s">
        <v>2371</v>
      </c>
      <c r="B49" s="253" t="s">
        <v>2406</v>
      </c>
      <c r="C49" s="275">
        <f ca="1">ROUND((C33+C39+C41+C45)/(1-C40-D41-D45-C48),0)</f>
        <v>9573</v>
      </c>
      <c r="D49" s="275"/>
      <c r="E49" s="275"/>
      <c r="F49" s="307"/>
      <c r="G49" s="277" t="s">
        <v>2407</v>
      </c>
    </row>
    <row r="50" spans="1:7" s="301" customFormat="1" ht="24">
      <c r="A50" s="298" t="s">
        <v>2408</v>
      </c>
      <c r="B50" s="253" t="s">
        <v>2409</v>
      </c>
      <c r="C50" s="275"/>
      <c r="D50" s="275"/>
      <c r="E50" s="275"/>
      <c r="F50" s="307">
        <f>IF('数据-取费表'!B24=0,'数据-取费表'!N16,1)</f>
        <v>1</v>
      </c>
      <c r="G50" s="290" t="s">
        <v>2410</v>
      </c>
    </row>
    <row r="51" spans="1:7" ht="16.5" customHeight="1">
      <c r="A51" s="298" t="s">
        <v>2411</v>
      </c>
      <c r="B51" s="253" t="s">
        <v>2412</v>
      </c>
      <c r="C51" s="275">
        <f ca="1">ROUND(C49*F50,0)</f>
        <v>9573</v>
      </c>
      <c r="D51" s="275"/>
      <c r="E51" s="275"/>
      <c r="F51" s="307"/>
      <c r="G51" s="277" t="s">
        <v>2413</v>
      </c>
    </row>
    <row r="52" spans="1:7" s="251" customFormat="1" ht="16.8" thickBot="1">
      <c r="A52" s="308" t="s">
        <v>2414</v>
      </c>
      <c r="B52" s="309"/>
      <c r="C52" s="310">
        <f ca="1">C31+C51</f>
        <v>23174</v>
      </c>
      <c r="D52" s="309"/>
      <c r="E52" s="309"/>
      <c r="F52" s="309"/>
      <c r="G52" s="311"/>
    </row>
    <row r="55" spans="1:7" ht="15">
      <c r="B55" s="313" t="s">
        <v>2415</v>
      </c>
      <c r="C55" s="314"/>
    </row>
    <row r="56" spans="1:7">
      <c r="B56" s="316" t="s">
        <v>1508</v>
      </c>
      <c r="C56" s="318">
        <f ca="1">1-C57</f>
        <v>0.58699999999999997</v>
      </c>
    </row>
    <row r="57" spans="1:7">
      <c r="B57" s="316" t="s">
        <v>1509</v>
      </c>
      <c r="C57" s="317">
        <f ca="1">ROUND(C51/C52,3)</f>
        <v>0.41299999999999998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2314</v>
      </c>
      <c r="B1" s="1929"/>
      <c r="C1" s="2542" t="s">
        <v>2416</v>
      </c>
      <c r="D1" s="241"/>
      <c r="E1" s="241"/>
      <c r="F1" s="241"/>
      <c r="G1" s="1372">
        <f>MATCH(B1,'数据-取费表'!A6:A16,0)+5</f>
        <v>8</v>
      </c>
      <c r="H1" s="1275" t="str">
        <f>IF(ISERROR(FIND("住宅",B1)),"非住宅","住宅")</f>
        <v>非住宅</v>
      </c>
    </row>
    <row r="2" spans="1:8" s="243" customFormat="1" ht="18" customHeight="1">
      <c r="A2" s="244" t="s">
        <v>2315</v>
      </c>
      <c r="B2" s="245">
        <f ca="1">ROUND(IF(D2="——",C52/10000,C52/10000-E2),0)</f>
        <v>10143</v>
      </c>
      <c r="C2" s="242" t="s">
        <v>2316</v>
      </c>
      <c r="D2" s="2536" t="s">
        <v>70</v>
      </c>
      <c r="E2" s="1433" t="e">
        <f ca="1">SUMIF(INDIRECT("'"&amp;G2&amp;"'"&amp;"!A:A"),"承租人权益价值",INDIRECT("'"&amp;G2&amp;"'"&amp;"!c:c"))</f>
        <v>#REF!</v>
      </c>
      <c r="F2" s="2537" t="s">
        <v>2316</v>
      </c>
      <c r="G2" s="2538"/>
    </row>
    <row r="3" spans="1:8" s="243" customFormat="1" ht="18" customHeight="1" thickBot="1">
      <c r="A3" s="246" t="s">
        <v>2317</v>
      </c>
      <c r="B3" s="247">
        <f ca="1">ROUND(B2*10000/(IF(B1="",'数据-汇总表'!E3,INDIRECT("'数据-取费表'!k"&amp;$G$1))),0)</f>
        <v>4767</v>
      </c>
      <c r="C3" s="242" t="s">
        <v>2318</v>
      </c>
      <c r="D3" s="242"/>
      <c r="E3" s="242"/>
      <c r="F3" s="242"/>
      <c r="G3" s="242"/>
    </row>
    <row r="4" spans="1:8" s="251" customFormat="1" ht="16.2">
      <c r="A4" s="248" t="s">
        <v>2319</v>
      </c>
      <c r="B4" s="249"/>
      <c r="C4" s="249"/>
      <c r="D4" s="249"/>
      <c r="E4" s="249"/>
      <c r="F4" s="249"/>
      <c r="G4" s="250"/>
    </row>
    <row r="5" spans="1:8" s="257" customFormat="1" ht="13.5" customHeight="1">
      <c r="A5" s="298" t="s">
        <v>2320</v>
      </c>
      <c r="B5" s="253" t="s">
        <v>2321</v>
      </c>
      <c r="C5" s="254">
        <f ca="1">C6+C7+C8</f>
        <v>0</v>
      </c>
      <c r="D5" s="254" t="s">
        <v>2322</v>
      </c>
      <c r="E5" s="255" t="s">
        <v>2323</v>
      </c>
      <c r="F5" s="255" t="s">
        <v>2324</v>
      </c>
      <c r="G5" s="256"/>
    </row>
    <row r="6" spans="1:8" s="257" customFormat="1" ht="13.5" customHeight="1">
      <c r="A6" s="942" t="s">
        <v>2325</v>
      </c>
      <c r="B6" s="258" t="s">
        <v>2326</v>
      </c>
      <c r="C6" s="259"/>
      <c r="D6" s="260"/>
      <c r="E6" s="261"/>
      <c r="F6" s="261"/>
      <c r="G6" s="262"/>
    </row>
    <row r="7" spans="1:8" s="257" customFormat="1" ht="13.5" customHeight="1">
      <c r="A7" s="942" t="s">
        <v>2327</v>
      </c>
      <c r="B7" s="258" t="s">
        <v>2328</v>
      </c>
      <c r="C7" s="263">
        <f>ROUND(C6*F7,0)</f>
        <v>0</v>
      </c>
      <c r="D7" s="263"/>
      <c r="E7" s="261"/>
      <c r="F7" s="264">
        <f>IF(项目基本情况!B8="出让",0,'数据-取费表'!B48+'数据-取费表'!B49)</f>
        <v>3.0499999999999999E-2</v>
      </c>
      <c r="G7" s="262"/>
    </row>
    <row r="8" spans="1:8" s="266" customFormat="1">
      <c r="A8" s="942" t="s">
        <v>2329</v>
      </c>
      <c r="B8" s="258" t="s">
        <v>2330</v>
      </c>
      <c r="C8" s="263">
        <f ca="1">IF(G8="已包含在土地购买价格中",0,C9+C10)</f>
        <v>0</v>
      </c>
      <c r="D8" s="265"/>
      <c r="E8" s="263"/>
      <c r="F8" s="264"/>
      <c r="G8" s="2539"/>
    </row>
    <row r="9" spans="1:8" s="257" customFormat="1" ht="13.5" customHeight="1">
      <c r="A9" s="943" t="s">
        <v>800</v>
      </c>
      <c r="B9" s="267" t="s">
        <v>2331</v>
      </c>
      <c r="C9" s="268">
        <f ca="1">ROUND(D9*E9,0)</f>
        <v>0</v>
      </c>
      <c r="D9" s="1025">
        <f ca="1">IF(B1="",'数据-汇总表'!E5,IF(INDIRECT("'数据-取费表'!c"&amp;$G$1)="住宅",INDIRECT("'数据-取费表'!k"&amp;$G$1),0))</f>
        <v>21278.6</v>
      </c>
      <c r="E9" s="268">
        <f>'数据-取费表'!B27</f>
        <v>0</v>
      </c>
      <c r="F9" s="264"/>
      <c r="G9" s="269"/>
    </row>
    <row r="10" spans="1:8" s="257" customFormat="1" ht="13.5" customHeight="1">
      <c r="A10" s="943" t="s">
        <v>801</v>
      </c>
      <c r="B10" s="267" t="s">
        <v>2333</v>
      </c>
      <c r="C10" s="268">
        <f ca="1">ROUND(D10*E10,0)</f>
        <v>0</v>
      </c>
      <c r="D10" s="1025">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2334</v>
      </c>
      <c r="C11" s="254"/>
      <c r="D11" s="1027"/>
      <c r="E11" s="261"/>
      <c r="F11" s="261"/>
      <c r="G11" s="262"/>
    </row>
    <row r="12" spans="1:8" s="257" customFormat="1" ht="13.5" hidden="1" customHeight="1">
      <c r="A12" s="270" t="s">
        <v>8</v>
      </c>
      <c r="B12" s="258" t="s">
        <v>2417</v>
      </c>
      <c r="C12" s="254">
        <v>0</v>
      </c>
      <c r="D12" s="1027"/>
      <c r="E12" s="271"/>
      <c r="F12" s="264">
        <v>3.0499999999999999E-2</v>
      </c>
      <c r="G12" s="262"/>
    </row>
    <row r="13" spans="1:8" s="257" customFormat="1" ht="13.5" hidden="1" customHeight="1">
      <c r="A13" s="270" t="s">
        <v>9</v>
      </c>
      <c r="B13" s="258" t="s">
        <v>2418</v>
      </c>
      <c r="C13" s="254"/>
      <c r="D13" s="1027"/>
      <c r="E13" s="261"/>
      <c r="F13" s="261"/>
      <c r="G13" s="262"/>
    </row>
    <row r="14" spans="1:8" s="257" customFormat="1" ht="13.5" hidden="1" customHeight="1">
      <c r="A14" s="270" t="s">
        <v>10</v>
      </c>
      <c r="B14" s="258" t="s">
        <v>2330</v>
      </c>
      <c r="C14" s="254"/>
      <c r="D14" s="1027"/>
      <c r="E14" s="261"/>
      <c r="F14" s="261"/>
      <c r="G14" s="262" t="s">
        <v>2419</v>
      </c>
    </row>
    <row r="15" spans="1:8" s="257" customFormat="1" ht="13.5" hidden="1" customHeight="1">
      <c r="A15" s="270" t="s">
        <v>11</v>
      </c>
      <c r="B15" s="258" t="s">
        <v>2420</v>
      </c>
      <c r="C15" s="263"/>
      <c r="D15" s="1027"/>
      <c r="E15" s="261"/>
      <c r="F15" s="261"/>
      <c r="G15" s="262" t="s">
        <v>2421</v>
      </c>
    </row>
    <row r="16" spans="1:8" s="257" customFormat="1" ht="13.5" hidden="1" customHeight="1">
      <c r="A16" s="270" t="s">
        <v>12</v>
      </c>
      <c r="B16" s="258" t="s">
        <v>2330</v>
      </c>
      <c r="C16" s="263"/>
      <c r="D16" s="1027"/>
      <c r="E16" s="261"/>
      <c r="F16" s="261"/>
      <c r="G16" s="262"/>
    </row>
    <row r="17" spans="1:7" s="257" customFormat="1" ht="13.5" hidden="1" customHeight="1">
      <c r="A17" s="270" t="s">
        <v>13</v>
      </c>
      <c r="B17" s="258" t="s">
        <v>2422</v>
      </c>
      <c r="C17" s="272"/>
      <c r="D17" s="1028"/>
      <c r="E17" s="272"/>
      <c r="F17" s="272"/>
      <c r="G17" s="262" t="s">
        <v>2421</v>
      </c>
    </row>
    <row r="18" spans="1:7" s="257" customFormat="1" ht="13.5" hidden="1" customHeight="1">
      <c r="A18" s="270" t="s">
        <v>14</v>
      </c>
      <c r="B18" s="258" t="s">
        <v>2423</v>
      </c>
      <c r="C18" s="263">
        <v>0</v>
      </c>
      <c r="D18" s="1027"/>
      <c r="E18" s="261"/>
      <c r="F18" s="264">
        <v>3.0499999999999999E-2</v>
      </c>
      <c r="G18" s="262" t="s">
        <v>2424</v>
      </c>
    </row>
    <row r="19" spans="1:7" s="266" customFormat="1" ht="13.5" customHeight="1">
      <c r="A19" s="298" t="s">
        <v>2425</v>
      </c>
      <c r="B19" s="253" t="s">
        <v>2426</v>
      </c>
      <c r="C19" s="254">
        <f ca="1">IF(G19="已包含在土地取得成本中","0",ROUND(D19*E19,0))</f>
        <v>4255720</v>
      </c>
      <c r="D19" s="1029">
        <f ca="1">D9+D10</f>
        <v>21278.6</v>
      </c>
      <c r="E19" s="254">
        <f>'数据-取费表'!B31</f>
        <v>200</v>
      </c>
      <c r="F19" s="274"/>
      <c r="G19" s="2539"/>
    </row>
    <row r="20" spans="1:7" s="257" customFormat="1" ht="13.5" customHeight="1">
      <c r="A20" s="298" t="s">
        <v>2427</v>
      </c>
      <c r="B20" s="253" t="s">
        <v>2428</v>
      </c>
      <c r="C20" s="275">
        <f ca="1">ROUND((C5+C19)*F20,0)</f>
        <v>63836</v>
      </c>
      <c r="D20" s="275"/>
      <c r="E20" s="275"/>
      <c r="F20" s="276">
        <f>'数据-取费表'!B37</f>
        <v>1.4999999999999999E-2</v>
      </c>
      <c r="G20" s="277" t="s">
        <v>2429</v>
      </c>
    </row>
    <row r="21" spans="1:7" s="257" customFormat="1" ht="13.5" customHeight="1">
      <c r="A21" s="298" t="s">
        <v>2430</v>
      </c>
      <c r="B21" s="253" t="s">
        <v>2431</v>
      </c>
      <c r="C21" s="278">
        <f>F21</f>
        <v>0.02</v>
      </c>
      <c r="D21" s="279" t="s">
        <v>2432</v>
      </c>
      <c r="E21" s="275"/>
      <c r="F21" s="276">
        <f>'数据-取费表'!B38</f>
        <v>0.02</v>
      </c>
      <c r="G21" s="277" t="s">
        <v>2433</v>
      </c>
    </row>
    <row r="22" spans="1:7" s="257" customFormat="1" ht="13.5" customHeight="1">
      <c r="A22" s="298" t="s">
        <v>2434</v>
      </c>
      <c r="B22" s="253" t="s">
        <v>2435</v>
      </c>
      <c r="C22" s="1373">
        <f ca="1">ROUND(SUM(C23:C25),0)</f>
        <v>416927</v>
      </c>
      <c r="D22" s="278">
        <f ca="1">C26</f>
        <v>1E-3</v>
      </c>
      <c r="E22" s="279" t="s">
        <v>2432</v>
      </c>
      <c r="F22" s="280">
        <f ca="1">'数据-取费表'!B40</f>
        <v>4.7500000000000001E-2</v>
      </c>
      <c r="G22" s="277" t="str">
        <f>IF('数据-取费表'!B22&lt;=1,"单利计息","复利计息")</f>
        <v>复利计息</v>
      </c>
    </row>
    <row r="23" spans="1:7" s="257" customFormat="1" ht="13.5" customHeight="1">
      <c r="A23" s="944" t="s">
        <v>2325</v>
      </c>
      <c r="B23" s="258" t="s">
        <v>2436</v>
      </c>
      <c r="C23" s="1374">
        <f ca="1">ROUND(IF('数据-取费表'!B22&lt;=1,C5*F22*'数据-取费表'!B22,C5*(POWER((1+F22),'数据-取费表'!B22)-1)),0)</f>
        <v>0</v>
      </c>
      <c r="D23" s="281"/>
      <c r="E23" s="281"/>
      <c r="F23" s="282"/>
      <c r="G23" s="283" t="s">
        <v>2437</v>
      </c>
    </row>
    <row r="24" spans="1:7" s="257" customFormat="1" ht="13.5" customHeight="1">
      <c r="A24" s="944" t="s">
        <v>2327</v>
      </c>
      <c r="B24" s="258" t="s">
        <v>2438</v>
      </c>
      <c r="C24" s="1374">
        <f ca="1">ROUND(IF('数据-取费表'!B22&lt;=1,C19*F22*('数据-取费表'!B19/2+'数据-取费表'!B20),C19*(POWER((1+F22),('数据-取费表'!B19/2+'数据-取费表'!B20))-1)),0)</f>
        <v>413895</v>
      </c>
      <c r="D24" s="281"/>
      <c r="E24" s="281"/>
      <c r="F24" s="282"/>
      <c r="G24" s="283" t="s">
        <v>2439</v>
      </c>
    </row>
    <row r="25" spans="1:7" s="257" customFormat="1" ht="24">
      <c r="A25" s="944" t="s">
        <v>2329</v>
      </c>
      <c r="B25" s="258" t="s">
        <v>2440</v>
      </c>
      <c r="C25" s="1374">
        <f ca="1">ROUND(IF('数据-取费表'!B22&lt;=1,C20*F22*'数据-取费表'!B22/2,C20*(POWER((1+F22),'数据-取费表'!B22/2)-1)),0)</f>
        <v>3032</v>
      </c>
      <c r="D25" s="281"/>
      <c r="E25" s="284"/>
      <c r="F25" s="282"/>
      <c r="G25" s="285" t="s">
        <v>2441</v>
      </c>
    </row>
    <row r="26" spans="1:7" s="257" customFormat="1">
      <c r="A26" s="944" t="s">
        <v>795</v>
      </c>
      <c r="B26" s="258" t="s">
        <v>2364</v>
      </c>
      <c r="C26" s="281">
        <f ca="1">ROUND(IF('数据-取费表'!B22&lt;=1,F21*F22*'数据-取费表'!B22/2,F21*(POWER((1+F22),'数据-取费表'!B22/2)-1)),4)</f>
        <v>1E-3</v>
      </c>
      <c r="D26" s="281"/>
      <c r="E26" s="284"/>
      <c r="F26" s="282"/>
      <c r="G26" s="286"/>
    </row>
    <row r="27" spans="1:7" s="257" customFormat="1" ht="26.4">
      <c r="A27" s="298" t="s">
        <v>2365</v>
      </c>
      <c r="B27" s="287" t="s">
        <v>2366</v>
      </c>
      <c r="C27" s="288">
        <f ca="1">C28</f>
        <v>518347</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ROUND((C5+C19+C20)*F27,0)</f>
        <v>518347</v>
      </c>
      <c r="D28" s="278"/>
      <c r="E28" s="279"/>
      <c r="F28" s="289"/>
      <c r="G28" s="290"/>
    </row>
    <row r="29" spans="1:7" s="257" customFormat="1" ht="13.5" customHeight="1">
      <c r="A29" s="944" t="s">
        <v>792</v>
      </c>
      <c r="B29" s="291" t="s">
        <v>2370</v>
      </c>
      <c r="C29" s="281">
        <f ca="1">ROUND(C21*F27,4)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5691357</v>
      </c>
      <c r="D31" s="273"/>
      <c r="E31" s="254"/>
      <c r="F31" s="293"/>
      <c r="G31" s="277" t="s">
        <v>2375</v>
      </c>
    </row>
    <row r="32" spans="1:7" s="251" customFormat="1" ht="16.2">
      <c r="A32" s="295" t="s">
        <v>2442</v>
      </c>
      <c r="B32" s="296"/>
      <c r="C32" s="296"/>
      <c r="D32" s="296"/>
      <c r="E32" s="296"/>
      <c r="F32" s="296"/>
      <c r="G32" s="297"/>
    </row>
    <row r="33" spans="1:7" s="257" customFormat="1" ht="13.5" customHeight="1">
      <c r="A33" s="298" t="s">
        <v>782</v>
      </c>
      <c r="B33" s="253" t="s">
        <v>2443</v>
      </c>
      <c r="C33" s="299">
        <f ca="1">SUM(C34:C38)</f>
        <v>74591952</v>
      </c>
      <c r="D33" s="275"/>
      <c r="E33" s="255"/>
      <c r="F33" s="284"/>
      <c r="G33" s="277"/>
    </row>
    <row r="34" spans="1:7" s="301" customFormat="1" ht="13.5" customHeight="1">
      <c r="A34" s="944" t="s">
        <v>791</v>
      </c>
      <c r="B34" s="258" t="s">
        <v>2378</v>
      </c>
      <c r="C34" s="263">
        <f ca="1">ROUND(IF(B1="",SUMPRODUCT('数据-取费表'!K6:K14,'数据-取费表'!L6:L14),INDIRECT("'数据-取费表'!l"&amp;$G$1)*INDIRECT("'数据-取费表'!k"&amp;$G$1)+'数据-取费表'!L14*INDIRECT("'数据-取费表'!S"&amp;$G$1)),0)</f>
        <v>65429052</v>
      </c>
      <c r="D34" s="260"/>
      <c r="E34" s="263"/>
      <c r="F34" s="300"/>
      <c r="G34" s="262"/>
    </row>
    <row r="35" spans="1:7" ht="13.5" customHeight="1">
      <c r="A35" s="944" t="s">
        <v>796</v>
      </c>
      <c r="B35" s="258" t="s">
        <v>2380</v>
      </c>
      <c r="C35" s="263">
        <f ca="1">ROUND(C34*F35,0)</f>
        <v>1962872</v>
      </c>
      <c r="D35" s="263"/>
      <c r="E35" s="263"/>
      <c r="F35" s="302">
        <f>'数据-取费表'!B33</f>
        <v>0.03</v>
      </c>
      <c r="G35" s="262" t="s">
        <v>2381</v>
      </c>
    </row>
    <row r="36" spans="1:7" ht="24">
      <c r="A36" s="944" t="s">
        <v>797</v>
      </c>
      <c r="B36" s="258" t="s">
        <v>2382</v>
      </c>
      <c r="C36" s="263">
        <f ca="1">ROUND(IF(B1="",SUM('数据-取费表'!AP6:AP13)*F36,IF(INDIRECT("'数据-取费表'!c"&amp;$G$1)="住宅",INDIRECT("'数据-取费表'!k"&amp;$G$1)*INDIRECT("'数据-取费表'!l"&amp;$G$1)*F36,0)),0)</f>
        <v>1962872</v>
      </c>
      <c r="D36" s="263"/>
      <c r="E36" s="263"/>
      <c r="F36" s="302">
        <f>'数据-取费表'!B34</f>
        <v>0.03</v>
      </c>
      <c r="G36" s="303" t="s">
        <v>2383</v>
      </c>
    </row>
    <row r="37" spans="1:7" s="301" customFormat="1" ht="13.5" customHeight="1">
      <c r="A37" s="944" t="s">
        <v>798</v>
      </c>
      <c r="B37" s="258" t="s">
        <v>2384</v>
      </c>
      <c r="C37" s="292">
        <f ca="1">ROUND(E37*D37,0)</f>
        <v>4255720</v>
      </c>
      <c r="D37" s="260">
        <f ca="1">D19</f>
        <v>21278.6</v>
      </c>
      <c r="E37" s="292">
        <f>'数据-取费表'!B35</f>
        <v>200</v>
      </c>
      <c r="F37" s="302"/>
      <c r="G37" s="304"/>
    </row>
    <row r="38" spans="1:7" ht="13.5" customHeight="1">
      <c r="A38" s="944" t="s">
        <v>799</v>
      </c>
      <c r="B38" s="258" t="s">
        <v>2386</v>
      </c>
      <c r="C38" s="263">
        <f ca="1">ROUND(C34*F38,0)</f>
        <v>981436</v>
      </c>
      <c r="D38" s="263"/>
      <c r="E38" s="263"/>
      <c r="F38" s="302">
        <f>'数据-取费表'!B36</f>
        <v>1.4999999999999999E-2</v>
      </c>
      <c r="G38" s="262" t="s">
        <v>2381</v>
      </c>
    </row>
    <row r="39" spans="1:7" s="257" customFormat="1" ht="13.5" customHeight="1">
      <c r="A39" s="298" t="s">
        <v>2387</v>
      </c>
      <c r="B39" s="253" t="s">
        <v>2388</v>
      </c>
      <c r="C39" s="275">
        <f ca="1">ROUND(C33*F20,0)</f>
        <v>1118879</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3596265</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ROUND(IF('数据-取费表'!B22&lt;=1,C33*F22*'数据-取费表'!B20/2,C33*(POWER((1+F22),'数据-取费表'!B20/2)-1)),0)</f>
        <v>3543118</v>
      </c>
      <c r="D42" s="281"/>
      <c r="E42" s="281"/>
      <c r="F42" s="282"/>
      <c r="G42" s="3189" t="s">
        <v>2444</v>
      </c>
    </row>
    <row r="43" spans="1:7" ht="13.5" customHeight="1">
      <c r="A43" s="944" t="s">
        <v>792</v>
      </c>
      <c r="B43" s="258" t="s">
        <v>2398</v>
      </c>
      <c r="C43" s="281">
        <f ca="1">ROUND(IF('数据-取费表'!B22&lt;=1,C39*F22*'数据-取费表'!B20/2,C39*(POWER((1+F22),'数据-取费表'!B20/2)-1)),0)</f>
        <v>53147</v>
      </c>
      <c r="D43" s="281"/>
      <c r="E43" s="281"/>
      <c r="F43" s="282"/>
      <c r="G43" s="3190"/>
    </row>
    <row r="44" spans="1:7" ht="13.5" customHeight="1">
      <c r="A44" s="944" t="s">
        <v>793</v>
      </c>
      <c r="B44" s="258" t="s">
        <v>2399</v>
      </c>
      <c r="C44" s="281">
        <f ca="1">ROUND(IF('数据-取费表'!B22&lt;=1,C40*F22*'数据-取费表'!B20/2,C40*(POWER((1+F22),'数据-取费表'!B20/2)-1)),4)</f>
        <v>1E-3</v>
      </c>
      <c r="D44" s="281"/>
      <c r="E44" s="281"/>
      <c r="F44" s="282"/>
      <c r="G44" s="3191"/>
    </row>
    <row r="45" spans="1:7" s="257" customFormat="1" ht="13.5" customHeight="1">
      <c r="A45" s="298" t="s">
        <v>2400</v>
      </c>
      <c r="B45" s="287" t="s">
        <v>2366</v>
      </c>
      <c r="C45" s="288">
        <f ca="1">C46</f>
        <v>9085300</v>
      </c>
      <c r="D45" s="278">
        <f ca="1">C47</f>
        <v>2.3999999999999998E-3</v>
      </c>
      <c r="E45" s="279" t="s">
        <v>2392</v>
      </c>
      <c r="F45" s="289"/>
      <c r="G45" s="290" t="s">
        <v>2401</v>
      </c>
    </row>
    <row r="46" spans="1:7" s="257" customFormat="1" ht="13.5" customHeight="1">
      <c r="A46" s="944" t="s">
        <v>791</v>
      </c>
      <c r="B46" s="291" t="s">
        <v>2402</v>
      </c>
      <c r="C46" s="292">
        <f ca="1">ROUND((C33+C39)*F27,0)</f>
        <v>9085300</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95735293</v>
      </c>
      <c r="D49" s="275"/>
      <c r="E49" s="275"/>
      <c r="F49" s="307"/>
      <c r="G49" s="277" t="s">
        <v>2407</v>
      </c>
    </row>
    <row r="50" spans="1:7" s="301" customFormat="1">
      <c r="A50" s="298" t="s">
        <v>2408</v>
      </c>
      <c r="B50" s="253" t="s">
        <v>2409</v>
      </c>
      <c r="C50" s="275"/>
      <c r="D50" s="275"/>
      <c r="E50" s="275"/>
      <c r="F50" s="307">
        <f>IF('数据-取费表'!B24=0,'数据-取费表'!N16,1)</f>
        <v>1</v>
      </c>
      <c r="G50" s="290"/>
    </row>
    <row r="51" spans="1:7" ht="16.5" customHeight="1">
      <c r="A51" s="298" t="s">
        <v>2411</v>
      </c>
      <c r="B51" s="253" t="s">
        <v>2446</v>
      </c>
      <c r="C51" s="275">
        <f ca="1">ROUND(C49*F50,0)</f>
        <v>95735293</v>
      </c>
      <c r="D51" s="275"/>
      <c r="E51" s="275"/>
      <c r="F51" s="307"/>
      <c r="G51" s="277" t="s">
        <v>2413</v>
      </c>
    </row>
    <row r="52" spans="1:7" s="251" customFormat="1" ht="16.8" thickBot="1">
      <c r="A52" s="308" t="s">
        <v>2414</v>
      </c>
      <c r="B52" s="309"/>
      <c r="C52" s="310">
        <f ca="1">C31+C51</f>
        <v>101426650</v>
      </c>
      <c r="D52" s="309"/>
      <c r="E52" s="309"/>
      <c r="F52" s="309"/>
      <c r="G52" s="311"/>
    </row>
    <row r="55" spans="1:7" ht="15">
      <c r="B55" s="313" t="s">
        <v>2415</v>
      </c>
      <c r="C55" s="314"/>
    </row>
    <row r="56" spans="1:7">
      <c r="B56" s="316" t="s">
        <v>1508</v>
      </c>
      <c r="C56" s="318">
        <f ca="1">1-C57</f>
        <v>5.600000000000005E-2</v>
      </c>
    </row>
    <row r="57" spans="1:7">
      <c r="B57" s="316" t="s">
        <v>1509</v>
      </c>
      <c r="C57" s="317">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2" sqref="C52"/>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2447</v>
      </c>
      <c r="B1" s="1574"/>
      <c r="C1" s="1575"/>
      <c r="D1" s="1573"/>
      <c r="E1" s="319"/>
      <c r="F1" s="319"/>
      <c r="G1" s="1574"/>
      <c r="H1" s="319"/>
      <c r="I1" s="319"/>
      <c r="J1" s="319"/>
      <c r="K1" s="319">
        <f>MATCH(C1,'数据-取费表'!A6:A16,0)+5</f>
        <v>8</v>
      </c>
    </row>
    <row r="2" spans="1:33" ht="18" customHeight="1">
      <c r="A2" s="244" t="s">
        <v>2315</v>
      </c>
      <c r="B2" s="247">
        <f ca="1">C32</f>
        <v>27125</v>
      </c>
      <c r="C2" s="319" t="s">
        <v>2448</v>
      </c>
      <c r="D2" s="319"/>
      <c r="E2" s="319"/>
      <c r="F2" s="319"/>
      <c r="G2" s="319"/>
      <c r="H2" s="319"/>
      <c r="I2" s="319"/>
      <c r="J2" s="319"/>
      <c r="K2" s="319"/>
    </row>
    <row r="3" spans="1:33" ht="18" customHeight="1" thickBot="1">
      <c r="A3" s="246" t="s">
        <v>2317</v>
      </c>
      <c r="B3" s="247">
        <f ca="1">ROUND(B2*10000/IF(C1="",'数据-汇总表'!E3,INDIRECT("'数据-取费表'!K"&amp;$K$1)),0)</f>
        <v>12748</v>
      </c>
      <c r="C3" s="319" t="s">
        <v>2449</v>
      </c>
      <c r="D3" s="319"/>
      <c r="E3" s="319"/>
      <c r="F3" s="319"/>
      <c r="G3" s="319"/>
      <c r="H3" s="319"/>
      <c r="I3" s="319"/>
      <c r="J3" s="319"/>
      <c r="K3" s="319"/>
    </row>
    <row r="4" spans="1:33" s="949" customFormat="1" ht="16.5" customHeight="1">
      <c r="A4" s="946" t="s">
        <v>2450</v>
      </c>
      <c r="B4" s="947"/>
      <c r="C4" s="989">
        <f ca="1">SUM(C8:K8)</f>
        <v>29484</v>
      </c>
      <c r="D4" s="947"/>
      <c r="E4" s="947"/>
      <c r="F4" s="947"/>
      <c r="G4" s="947"/>
      <c r="H4" s="947"/>
      <c r="I4" s="947"/>
      <c r="J4" s="947"/>
      <c r="K4" s="948"/>
    </row>
    <row r="5" spans="1:33" s="953" customFormat="1" ht="14.4">
      <c r="A5" s="950" t="s">
        <v>2451</v>
      </c>
      <c r="B5" s="951" t="s">
        <v>2452</v>
      </c>
      <c r="C5" s="2543" t="s">
        <v>3062</v>
      </c>
      <c r="D5" s="2543" t="s">
        <v>1373</v>
      </c>
      <c r="E5" s="2543" t="s">
        <v>48</v>
      </c>
      <c r="F5" s="2543"/>
      <c r="G5" s="2543"/>
      <c r="H5" s="2543"/>
      <c r="I5" s="2543"/>
      <c r="J5" s="2543"/>
      <c r="K5" s="2543"/>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9" t="s">
        <v>2453</v>
      </c>
      <c r="C6" s="955">
        <f>'比较法-洋房'!B3</f>
        <v>16333</v>
      </c>
      <c r="D6" s="955">
        <f ca="1">'收益法-洋房'!B3</f>
        <v>8929</v>
      </c>
      <c r="E6" s="955">
        <f ca="1">'收益法-高层'!B3</f>
        <v>7031</v>
      </c>
      <c r="F6" s="955"/>
      <c r="G6" s="955"/>
      <c r="H6" s="955"/>
      <c r="I6" s="955"/>
      <c r="J6" s="955"/>
      <c r="K6" s="956"/>
      <c r="L6" s="957">
        <f ca="1">E8/1312</f>
        <v>7.1341463414634143</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4" t="s">
        <v>2456</v>
      </c>
      <c r="B8" s="176" t="s">
        <v>2457</v>
      </c>
      <c r="C8" s="990">
        <f>'比较法-洋房'!B2</f>
        <v>13011</v>
      </c>
      <c r="D8" s="990">
        <f ca="1">'收益法-洋房'!B2</f>
        <v>7113</v>
      </c>
      <c r="E8" s="990">
        <f ca="1">'收益法-高层'!B2</f>
        <v>9360</v>
      </c>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2458</v>
      </c>
      <c r="B9" s="947"/>
      <c r="C9" s="947"/>
      <c r="D9" s="947"/>
      <c r="E9" s="947"/>
      <c r="F9" s="947"/>
      <c r="G9" s="947"/>
      <c r="H9" s="947"/>
      <c r="I9" s="947"/>
      <c r="J9" s="947"/>
      <c r="K9" s="948"/>
    </row>
    <row r="10" spans="1:33" s="963" customFormat="1" ht="13.5" customHeight="1">
      <c r="A10" s="950" t="s">
        <v>2459</v>
      </c>
      <c r="B10" s="8" t="s">
        <v>2460</v>
      </c>
      <c r="C10" s="959" t="s">
        <v>2461</v>
      </c>
      <c r="D10" s="960" t="s">
        <v>2462</v>
      </c>
      <c r="E10" s="960" t="s">
        <v>2463</v>
      </c>
      <c r="F10" s="960" t="s">
        <v>2464</v>
      </c>
      <c r="G10" s="8"/>
      <c r="H10" s="961"/>
      <c r="I10" s="961"/>
      <c r="J10" s="961"/>
      <c r="K10" s="962"/>
    </row>
    <row r="11" spans="1:33" s="968" customFormat="1" ht="13.5" customHeight="1">
      <c r="A11" s="964" t="s">
        <v>1330</v>
      </c>
      <c r="B11" s="965" t="s">
        <v>2465</v>
      </c>
      <c r="C11" s="322">
        <f ca="1">IF(C1="",'数据-取费表'!P16,INDIRECT("'数据-取费表'!p"&amp;$K$1)+INDIRECT("'数据-取费表'!ar"&amp;$K$1))</f>
        <v>0</v>
      </c>
      <c r="D11" s="966"/>
      <c r="E11" s="374"/>
      <c r="F11" s="967">
        <f ca="1">1-IF('数据-取费表'!B24=0,1,IF(C1="",'数据-取费表'!N16,INDIRECT("'数据-取费表'!n"&amp;$K$1)))</f>
        <v>0</v>
      </c>
      <c r="G11" s="8"/>
      <c r="H11" s="961"/>
      <c r="I11" s="961"/>
      <c r="J11" s="961"/>
      <c r="K11" s="962"/>
    </row>
    <row r="12" spans="1:33" s="968" customFormat="1" ht="13.5" customHeight="1">
      <c r="A12" s="964" t="s">
        <v>1331</v>
      </c>
      <c r="B12" s="965" t="s">
        <v>2466</v>
      </c>
      <c r="C12" s="24">
        <f ca="1">ROUND(C11*F12,0)</f>
        <v>0</v>
      </c>
      <c r="D12" s="966"/>
      <c r="E12" s="374"/>
      <c r="F12" s="969">
        <f>'数据-取费表'!B33</f>
        <v>0.03</v>
      </c>
      <c r="G12" s="8" t="s">
        <v>2467</v>
      </c>
      <c r="H12" s="961"/>
      <c r="I12" s="961"/>
      <c r="J12" s="961"/>
      <c r="K12" s="962"/>
    </row>
    <row r="13" spans="1:33" s="968" customFormat="1" ht="13.5" customHeight="1">
      <c r="A13" s="964" t="s">
        <v>1332</v>
      </c>
      <c r="B13" s="965" t="s">
        <v>2468</v>
      </c>
      <c r="C13" s="24">
        <f ca="1">ROUND(IF(C1="",SUMIF('数据-取费表'!C:C,"住宅",'数据-取费表'!P:P)*F13,IF(INDIRECT("'数据-取费表'!c"&amp;$K$1)="住宅",INDIRECT("'数据-取费表'!P"&amp;$K$1)*F13,0)),0)</f>
        <v>0</v>
      </c>
      <c r="D13" s="1026"/>
      <c r="E13" s="374"/>
      <c r="F13" s="969">
        <f>'数据-取费表'!B34</f>
        <v>0.03</v>
      </c>
      <c r="G13" s="8" t="s">
        <v>2469</v>
      </c>
      <c r="H13" s="961"/>
      <c r="I13" s="961"/>
      <c r="J13" s="961"/>
      <c r="K13" s="962"/>
    </row>
    <row r="14" spans="1:33" s="970" customFormat="1" ht="13.5" customHeight="1">
      <c r="A14" s="964" t="s">
        <v>1333</v>
      </c>
      <c r="B14" s="965" t="s">
        <v>2470</v>
      </c>
      <c r="C14" s="24">
        <f ca="1">ROUND(D14*E14*F11/10000,0)</f>
        <v>0</v>
      </c>
      <c r="D14" s="1026">
        <f ca="1">IF(C1="",'数据-汇总表'!E3,INDIRECT("'数据-取费表'!K"&amp;$K$1)+INDIRECT("'数据-取费表'!S"&amp;$K$1))</f>
        <v>21278.6</v>
      </c>
      <c r="E14" s="24">
        <f>'数据-取费表'!B35</f>
        <v>200</v>
      </c>
      <c r="F14" s="969"/>
      <c r="G14" s="8" t="s">
        <v>2471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2472</v>
      </c>
      <c r="C15" s="976">
        <f ca="1">ROUND(C11*F15,0)</f>
        <v>0</v>
      </c>
      <c r="D15" s="971"/>
      <c r="E15" s="976"/>
      <c r="F15" s="977">
        <f>'数据-取费表'!B36</f>
        <v>1.4999999999999999E-2</v>
      </c>
      <c r="G15" s="139" t="s">
        <v>2473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2474</v>
      </c>
      <c r="C16" s="976">
        <f ca="1">SUM(C11:C15)</f>
        <v>0</v>
      </c>
      <c r="D16" s="971"/>
      <c r="E16" s="976"/>
      <c r="F16" s="977"/>
      <c r="G16" s="139"/>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2475</v>
      </c>
      <c r="C17" s="24">
        <f ca="1">ROUND(D17*E17/10000,0)</f>
        <v>0</v>
      </c>
      <c r="D17" s="1026">
        <f ca="1">D14</f>
        <v>21278.6</v>
      </c>
      <c r="E17" s="24">
        <f>'数据-取费表'!B32</f>
        <v>0</v>
      </c>
      <c r="F17" s="971"/>
      <c r="G17" s="139" t="s">
        <v>2476</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2477</v>
      </c>
      <c r="C18" s="24">
        <f ca="1">C19+C20-IF(C1="",'数据-取费表'!B29,IF(G18="已全部缴纳",C19+C20,H18))</f>
        <v>0</v>
      </c>
      <c r="D18" s="1026"/>
      <c r="E18" s="24"/>
      <c r="F18" s="969"/>
      <c r="G18" s="2545"/>
      <c r="H18" s="1570"/>
      <c r="I18" s="2546" t="s">
        <v>2478</v>
      </c>
      <c r="J18" s="972"/>
      <c r="K18" s="973"/>
    </row>
    <row r="19" spans="1:33" s="968" customFormat="1" ht="13.5" customHeight="1">
      <c r="A19" s="964" t="s">
        <v>805</v>
      </c>
      <c r="B19" s="965" t="s">
        <v>2479</v>
      </c>
      <c r="C19" s="24">
        <f ca="1">ROUND(D19*E19/10000,0)</f>
        <v>0</v>
      </c>
      <c r="D19" s="1026">
        <f ca="1">IF(C1="",'数据-汇总表'!E5,IF(INDIRECT("'数据-取费表'!c"&amp;$K$1)="住宅",INDIRECT("'数据-取费表'!k"&amp;$K$1),0))</f>
        <v>21278.6</v>
      </c>
      <c r="E19" s="24">
        <f>'数据-取费表'!B27</f>
        <v>0</v>
      </c>
      <c r="F19" s="969"/>
      <c r="G19" s="15"/>
      <c r="H19" s="1572"/>
      <c r="I19" s="974"/>
      <c r="J19" s="974"/>
      <c r="K19" s="975"/>
    </row>
    <row r="20" spans="1:33" s="968" customFormat="1" ht="13.5" customHeight="1">
      <c r="A20" s="964" t="s">
        <v>806</v>
      </c>
      <c r="B20" s="965" t="s">
        <v>2480</v>
      </c>
      <c r="C20" s="24">
        <f ca="1">ROUND(D20*E20/10000,0)</f>
        <v>0</v>
      </c>
      <c r="D20" s="1026">
        <f ca="1">IF(C1="",'数据-汇总表'!E6,IF(INDIRECT("'数据-取费表'!c"&amp;$K$1)="住宅",INDIRECT("'数据-取费表'!s"&amp;$K$1),INDIRECT("'数据-取费表'!k"&amp;$K$1)+INDIRECT("'数据-取费表'!s"&amp;$K$1)))</f>
        <v>0</v>
      </c>
      <c r="E20" s="24">
        <f>'数据-取费表'!B28</f>
        <v>0</v>
      </c>
      <c r="F20" s="969"/>
      <c r="G20" s="15"/>
      <c r="H20" s="974"/>
      <c r="I20" s="974"/>
      <c r="J20" s="974"/>
      <c r="K20" s="975"/>
    </row>
    <row r="21" spans="1:33" s="968" customFormat="1" ht="13.5" customHeight="1">
      <c r="A21" s="954" t="s">
        <v>802</v>
      </c>
      <c r="B21" s="978" t="s">
        <v>2481</v>
      </c>
      <c r="C21" s="979">
        <f ca="1">C16+C17+C18</f>
        <v>0</v>
      </c>
      <c r="D21" s="980"/>
      <c r="E21" s="324"/>
      <c r="F21" s="324"/>
      <c r="G21" s="139" t="s">
        <v>2482</v>
      </c>
      <c r="H21" s="972"/>
      <c r="I21" s="972"/>
      <c r="J21" s="972"/>
      <c r="K21" s="973"/>
    </row>
    <row r="22" spans="1:33" s="968" customFormat="1" ht="13.5" customHeight="1">
      <c r="A22" s="954" t="s">
        <v>2454</v>
      </c>
      <c r="B22" s="978" t="s">
        <v>2483</v>
      </c>
      <c r="C22" s="979">
        <f ca="1">ROUND(C21*F22,0)</f>
        <v>0</v>
      </c>
      <c r="D22" s="324"/>
      <c r="E22" s="324"/>
      <c r="F22" s="981">
        <f>'数据-取费表'!B37</f>
        <v>1.4999999999999999E-2</v>
      </c>
      <c r="G22" s="8" t="s">
        <v>2484</v>
      </c>
      <c r="H22" s="961"/>
      <c r="I22" s="961"/>
      <c r="J22" s="961"/>
      <c r="K22" s="962"/>
    </row>
    <row r="23" spans="1:33" s="968" customFormat="1" ht="13.5" customHeight="1">
      <c r="A23" s="954" t="s">
        <v>2456</v>
      </c>
      <c r="B23" s="978" t="s">
        <v>2485</v>
      </c>
      <c r="C23" s="979">
        <f ca="1">ROUND(C4*F23*F11,0)</f>
        <v>0</v>
      </c>
      <c r="D23" s="324"/>
      <c r="E23" s="324"/>
      <c r="F23" s="981">
        <f>'数据-取费表'!B38</f>
        <v>0.02</v>
      </c>
      <c r="G23" s="8" t="s">
        <v>2486</v>
      </c>
      <c r="H23" s="961"/>
      <c r="I23" s="961"/>
      <c r="J23" s="961"/>
      <c r="K23" s="962"/>
    </row>
    <row r="24" spans="1:33" s="968" customFormat="1" ht="13.5" customHeight="1">
      <c r="A24" s="954" t="s">
        <v>2487</v>
      </c>
      <c r="B24" s="978" t="s">
        <v>2488</v>
      </c>
      <c r="C24" s="323">
        <f>ROUND(F24/(1+'数据-取费表'!C42),4)</f>
        <v>2.9000000000000001E-2</v>
      </c>
      <c r="D24" s="324" t="s">
        <v>15</v>
      </c>
      <c r="E24" s="324"/>
      <c r="F24" s="981">
        <f>IF(项目基本情况!B8="出让",0,'数据-取费表'!B48+'数据-取费表'!B49)</f>
        <v>3.0499999999999999E-2</v>
      </c>
      <c r="G24" s="8" t="s">
        <v>2489</v>
      </c>
      <c r="H24" s="983"/>
      <c r="I24" s="983"/>
      <c r="J24" s="983"/>
      <c r="K24" s="984"/>
    </row>
    <row r="25" spans="1:33" s="968" customFormat="1" ht="13.5" customHeight="1">
      <c r="A25" s="954" t="s">
        <v>2490</v>
      </c>
      <c r="B25" s="980" t="s">
        <v>2491</v>
      </c>
      <c r="C25" s="1349">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2492</v>
      </c>
      <c r="C26" s="1350">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2493</v>
      </c>
      <c r="C27" s="1351">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2"/>
      <c r="I27" s="972"/>
      <c r="J27" s="972"/>
      <c r="K27" s="973"/>
    </row>
    <row r="28" spans="1:33" s="332" customFormat="1" ht="13.5" customHeight="1">
      <c r="A28" s="954" t="s">
        <v>2494</v>
      </c>
      <c r="B28" s="2548" t="s">
        <v>2495</v>
      </c>
      <c r="C28" s="330">
        <f ca="1">C30</f>
        <v>0</v>
      </c>
      <c r="D28" s="323">
        <f ca="1">C29</f>
        <v>0</v>
      </c>
      <c r="E28" s="325" t="s">
        <v>15</v>
      </c>
      <c r="F28" s="331">
        <f ca="1">IF(C1="",'数据-取费表'!Q16,INDIRECT("'数据-取费表'!q"&amp;$K$1))</f>
        <v>0.12</v>
      </c>
      <c r="G28" s="982"/>
      <c r="H28" s="983"/>
      <c r="I28" s="983"/>
      <c r="J28" s="983"/>
      <c r="K28" s="984"/>
    </row>
    <row r="29" spans="1:33" s="334" customFormat="1" ht="13.5" customHeight="1">
      <c r="A29" s="964" t="s">
        <v>803</v>
      </c>
      <c r="B29" s="987" t="s">
        <v>2496</v>
      </c>
      <c r="C29" s="327">
        <f ca="1">ROUND((1+C24)*F28*'数据-取费表'!B24/'数据-取费表'!B20,4)</f>
        <v>0</v>
      </c>
      <c r="D29" s="327"/>
      <c r="E29" s="328"/>
      <c r="F29" s="333"/>
      <c r="G29" s="139" t="s">
        <v>2497</v>
      </c>
      <c r="H29" s="972"/>
      <c r="I29" s="972"/>
      <c r="J29" s="972"/>
      <c r="K29" s="973"/>
    </row>
    <row r="30" spans="1:33" s="334" customFormat="1" ht="13.5" customHeight="1">
      <c r="A30" s="964" t="s">
        <v>804</v>
      </c>
      <c r="B30" s="987" t="s">
        <v>2498</v>
      </c>
      <c r="C30" s="335">
        <f ca="1">ROUND((C21+C22+C23)*F28,0)</f>
        <v>0</v>
      </c>
      <c r="D30" s="327"/>
      <c r="E30" s="328"/>
      <c r="F30" s="333"/>
      <c r="G30" s="139"/>
      <c r="H30" s="972"/>
      <c r="I30" s="972"/>
      <c r="J30" s="972"/>
      <c r="K30" s="973"/>
    </row>
    <row r="31" spans="1:33" s="968" customFormat="1" ht="13.5" customHeight="1" thickBot="1">
      <c r="A31" s="2549" t="s">
        <v>2499</v>
      </c>
      <c r="B31" s="998" t="s">
        <v>2500</v>
      </c>
      <c r="C31" s="999">
        <f ca="1">ROUND(C4*F31/(1+'数据-取费表'!C42),0)</f>
        <v>1572</v>
      </c>
      <c r="D31" s="1000"/>
      <c r="E31" s="1001"/>
      <c r="F31" s="1002">
        <f>'数据-取费表'!B41</f>
        <v>5.6000000000000001E-2</v>
      </c>
      <c r="G31" s="1003" t="s">
        <v>2501</v>
      </c>
      <c r="H31" s="1004"/>
      <c r="I31" s="1004"/>
      <c r="J31" s="1004"/>
      <c r="K31" s="1005"/>
    </row>
    <row r="32" spans="1:33" s="963" customFormat="1" ht="13.5" customHeight="1" thickBot="1">
      <c r="A32" s="993" t="s">
        <v>2502</v>
      </c>
      <c r="B32" s="994"/>
      <c r="C32" s="995">
        <f ca="1">ROUND((C4-C21-C22-C23-C25-C28-C31)/(1+C24+D25+D28),0)</f>
        <v>27125</v>
      </c>
      <c r="D32" s="994"/>
      <c r="E32" s="994"/>
      <c r="F32" s="994"/>
      <c r="G32" s="996" t="s">
        <v>2503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J32" sqref="J32"/>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3671</v>
      </c>
      <c r="D1" s="1813" t="s">
        <v>70</v>
      </c>
      <c r="E1" s="1814" t="s">
        <v>1382</v>
      </c>
      <c r="F1" s="1276">
        <f ca="1">J53</f>
        <v>67.650000000000006</v>
      </c>
      <c r="G1" s="182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9360</v>
      </c>
      <c r="C2" s="1838" t="s">
        <v>1511</v>
      </c>
      <c r="D2" s="1838"/>
      <c r="E2" s="1839"/>
      <c r="F2" s="1840"/>
      <c r="G2" s="1841"/>
      <c r="H2" s="1833"/>
      <c r="I2" s="1833"/>
      <c r="J2" s="1833"/>
      <c r="K2" s="1834"/>
      <c r="L2" s="1833"/>
      <c r="M2" s="1833"/>
    </row>
    <row r="3" spans="1:37" ht="18" customHeight="1" thickBot="1">
      <c r="A3" s="1842" t="s">
        <v>1512</v>
      </c>
      <c r="B3" s="1843">
        <f ca="1">IF(ISERROR(B2*10000/F43),0,ROUND(B2*10000/F43,0))</f>
        <v>7031</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394</v>
      </c>
      <c r="D5" s="1815" t="s">
        <v>1397</v>
      </c>
      <c r="E5" s="1286"/>
      <c r="F5" s="1287"/>
      <c r="G5" s="1844"/>
      <c r="H5" s="343">
        <v>1</v>
      </c>
      <c r="I5" s="344" t="s">
        <v>1396</v>
      </c>
      <c r="J5" s="1285">
        <f ca="1">J6+J10+J12</f>
        <v>0</v>
      </c>
      <c r="K5" s="1815" t="s">
        <v>1397</v>
      </c>
      <c r="L5" s="1286"/>
      <c r="M5" s="1287"/>
    </row>
    <row r="6" spans="1:37" ht="18" customHeight="1">
      <c r="A6" s="1284" t="s">
        <v>1032</v>
      </c>
      <c r="B6" s="3192" t="s">
        <v>1398</v>
      </c>
      <c r="C6" s="1289">
        <f ca="1">ROUND(F6*F8*F7*(1-F9)/10000,0)</f>
        <v>394</v>
      </c>
      <c r="D6" s="163" t="s">
        <v>3017</v>
      </c>
      <c r="E6" s="346" t="s">
        <v>1400</v>
      </c>
      <c r="F6" s="347">
        <f ca="1">INDIRECT("'数据-取费表'!u"&amp;$G$1)</f>
        <v>0.9</v>
      </c>
      <c r="G6" s="1844"/>
      <c r="H6" s="1284" t="s">
        <v>1032</v>
      </c>
      <c r="I6" s="3192" t="s">
        <v>1398</v>
      </c>
      <c r="J6" s="345">
        <f ca="1">ROUND(M6*M8*M7*(1-M9)/10000,0)</f>
        <v>0</v>
      </c>
      <c r="K6" s="163" t="s">
        <v>3016</v>
      </c>
      <c r="L6" s="346" t="s">
        <v>1400</v>
      </c>
      <c r="M6" s="347">
        <f ca="1">INDIRECT("'数据-取费表'!z"&amp;$G$1)</f>
        <v>0</v>
      </c>
    </row>
    <row r="7" spans="1:37" ht="18" customHeight="1">
      <c r="A7" s="1288"/>
      <c r="B7" s="3193"/>
      <c r="C7" s="1290"/>
      <c r="D7" s="351"/>
      <c r="E7" s="2946" t="s">
        <v>1401</v>
      </c>
      <c r="F7" s="347">
        <f ca="1">IF(INDIRECT("'数据-取费表'!ah"&amp;$G$1)="",INDIRECT("'数据-取费表'!k"&amp;$G$1),INDIRECT("'数据-取费表'!ah"&amp;$G$1))</f>
        <v>13312.34</v>
      </c>
      <c r="G7" s="1844"/>
      <c r="H7" s="348"/>
      <c r="I7" s="3193"/>
      <c r="J7" s="350"/>
      <c r="K7" s="351"/>
      <c r="L7" s="346" t="s">
        <v>1401</v>
      </c>
      <c r="M7" s="347">
        <f ca="1">F7</f>
        <v>13312.34</v>
      </c>
    </row>
    <row r="8" spans="1:37" ht="18" customHeight="1">
      <c r="A8" s="348"/>
      <c r="B8" s="3193"/>
      <c r="C8" s="350"/>
      <c r="D8" s="351"/>
      <c r="E8" s="346" t="s">
        <v>1402</v>
      </c>
      <c r="F8" s="347">
        <f ca="1">INDIRECT("'数据-取费表'!ai"&amp;$G$1)</f>
        <v>365</v>
      </c>
      <c r="G8" s="1844"/>
      <c r="H8" s="348"/>
      <c r="I8" s="3193"/>
      <c r="J8" s="350"/>
      <c r="K8" s="351"/>
      <c r="L8" s="346" t="s">
        <v>1402</v>
      </c>
      <c r="M8" s="347">
        <f ca="1">INDIRECT("'数据-取费表'!ai"&amp;$G$1)</f>
        <v>365</v>
      </c>
    </row>
    <row r="9" spans="1:37" ht="18" customHeight="1">
      <c r="A9" s="348"/>
      <c r="B9" s="3194"/>
      <c r="C9" s="350"/>
      <c r="D9" s="351"/>
      <c r="E9" s="346" t="s">
        <v>1403</v>
      </c>
      <c r="F9" s="356">
        <f ca="1">INDIRECT("'数据-取费表'!w"&amp;$G$1)</f>
        <v>0.1</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5750</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3994</v>
      </c>
      <c r="D14" s="2940" t="s">
        <v>1413</v>
      </c>
      <c r="E14" s="2938"/>
      <c r="F14" s="363"/>
      <c r="G14" s="1844"/>
      <c r="H14" s="1194" t="s">
        <v>1032</v>
      </c>
      <c r="I14" s="346" t="s">
        <v>1414</v>
      </c>
      <c r="J14" s="24">
        <f ca="1">C29</f>
        <v>5750</v>
      </c>
      <c r="K14" s="2945"/>
      <c r="L14" s="972"/>
      <c r="M14" s="973"/>
    </row>
    <row r="15" spans="1:37" s="1851" customFormat="1" ht="18" customHeight="1" thickBot="1">
      <c r="A15" s="1194" t="s">
        <v>1033</v>
      </c>
      <c r="B15" s="346" t="s">
        <v>1415</v>
      </c>
      <c r="C15" s="24">
        <f ca="1">ROUND(C14*F15,0)</f>
        <v>120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120</v>
      </c>
      <c r="D16" s="346" t="s">
        <v>1416</v>
      </c>
      <c r="E16" s="346" t="s">
        <v>1417</v>
      </c>
      <c r="F16" s="366">
        <f ca="1">IF(INDIRECT("'数据-取费表'!c"&amp;$G$1)="住宅",'数据-取费表'!B34,0)</f>
        <v>0.03</v>
      </c>
      <c r="G16" s="1844"/>
      <c r="H16" s="1322" t="s">
        <v>1027</v>
      </c>
      <c r="I16" s="1323" t="s">
        <v>1419</v>
      </c>
      <c r="J16" s="354">
        <f ca="1">ROUND(J17+J22+J23+J24,0)</f>
        <v>139</v>
      </c>
      <c r="K16" s="1330" t="s">
        <v>1420</v>
      </c>
      <c r="L16" s="2941"/>
      <c r="M16" s="1287"/>
    </row>
    <row r="17" spans="1:37" s="1851" customFormat="1" ht="18" customHeight="1">
      <c r="A17" s="1194" t="s">
        <v>1385</v>
      </c>
      <c r="B17" s="346" t="s">
        <v>1421</v>
      </c>
      <c r="C17" s="24">
        <f ca="1">ROUND(F17*(F43+INDIRECT("'数据-取费表'!S"&amp;$G$1))/10000,0)</f>
        <v>266</v>
      </c>
      <c r="D17" s="346" t="s">
        <v>1422</v>
      </c>
      <c r="E17" s="346" t="s">
        <v>1423</v>
      </c>
      <c r="F17" s="26">
        <f>'数据-取费表'!B35</f>
        <v>200</v>
      </c>
      <c r="G17" s="1847"/>
      <c r="H17" s="1194" t="s">
        <v>1032</v>
      </c>
      <c r="I17" s="346" t="s">
        <v>1424</v>
      </c>
      <c r="J17" s="24">
        <f ca="1">ROUND(IF(项目基本情况!B11="自然人",J6*M17/(1+'数据-取费表'!C42),J18+J19+J20),1)</f>
        <v>52.4</v>
      </c>
      <c r="K17" s="2940" t="s">
        <v>1425</v>
      </c>
      <c r="L17" s="2939"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60</v>
      </c>
      <c r="D18" s="346" t="s">
        <v>1416</v>
      </c>
      <c r="E18" s="346" t="s">
        <v>1417</v>
      </c>
      <c r="F18" s="366">
        <f>'数据-取费表'!B36</f>
        <v>1.4999999999999999E-2</v>
      </c>
      <c r="G18" s="1847"/>
      <c r="H18" s="1194" t="s">
        <v>1031</v>
      </c>
      <c r="I18" s="346" t="s">
        <v>1428</v>
      </c>
      <c r="J18" s="24">
        <f ca="1">ROUND(J6*M18/(1+'数据-取费表'!C42),2)</f>
        <v>0</v>
      </c>
      <c r="K18" s="2939"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4560</v>
      </c>
      <c r="D19" s="139" t="s">
        <v>1431</v>
      </c>
      <c r="E19" s="2944"/>
      <c r="F19" s="26"/>
      <c r="G19" s="1844"/>
      <c r="H19" s="1194" t="s">
        <v>1033</v>
      </c>
      <c r="I19" s="346" t="s">
        <v>1432</v>
      </c>
      <c r="J19" s="24">
        <f ca="1">IF(K19="按租金收入计税",ROUND(J6*M19/(1+'数据-取费表'!C42),2),ROUND(C29*M19*0.7,2))</f>
        <v>48.3</v>
      </c>
      <c r="K19" s="1821" t="s">
        <v>1433</v>
      </c>
      <c r="L19" s="346" t="s">
        <v>1417</v>
      </c>
      <c r="M19" s="366">
        <f>IF(K19="按租金收入计税",'数据-取费表'!B51,'数据-取费表'!B50)</f>
        <v>1.2E-2</v>
      </c>
    </row>
    <row r="20" spans="1:37" s="1851" customFormat="1" ht="18" customHeight="1">
      <c r="A20" s="1194" t="s">
        <v>1036</v>
      </c>
      <c r="B20" s="346" t="s">
        <v>1434</v>
      </c>
      <c r="C20" s="24">
        <f ca="1">ROUND(C19*F20,0)</f>
        <v>68</v>
      </c>
      <c r="D20" s="368" t="s">
        <v>1435</v>
      </c>
      <c r="E20" s="346" t="s">
        <v>1417</v>
      </c>
      <c r="F20" s="366">
        <f>'数据-取费表'!B37</f>
        <v>1.4999999999999999E-2</v>
      </c>
      <c r="G20" s="1847"/>
      <c r="H20" s="1194" t="s">
        <v>1384</v>
      </c>
      <c r="I20" s="163" t="s">
        <v>1436</v>
      </c>
      <c r="J20" s="25">
        <f ca="1">ROUND(M20*M21/10000,2)</f>
        <v>4.1399999999999997</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5179.8999999999996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2944"/>
      <c r="F22" s="26"/>
      <c r="G22" s="1844"/>
      <c r="H22" s="1194" t="s">
        <v>1036</v>
      </c>
      <c r="I22" s="346" t="s">
        <v>1444</v>
      </c>
      <c r="J22" s="24">
        <f ca="1">ROUND(J14*M22,1)</f>
        <v>86.3</v>
      </c>
      <c r="K22" s="2939"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220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2939"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2944"/>
      <c r="F25" s="26"/>
      <c r="G25" s="1844"/>
      <c r="H25" s="1322" t="s">
        <v>1028</v>
      </c>
      <c r="I25" s="1337" t="s">
        <v>1458</v>
      </c>
      <c r="J25" s="354">
        <f ca="1">J5-J16</f>
        <v>-139</v>
      </c>
      <c r="K25" s="1338" t="s">
        <v>1459</v>
      </c>
      <c r="L25" s="1339"/>
      <c r="M25" s="1340"/>
    </row>
    <row r="26" spans="1:37">
      <c r="A26" s="1194" t="s">
        <v>1031</v>
      </c>
      <c r="B26" s="346" t="s">
        <v>1460</v>
      </c>
      <c r="C26" s="24">
        <f ca="1">ROUND((C19+C20)*F26,0)</f>
        <v>463</v>
      </c>
      <c r="D26" s="368" t="s">
        <v>1461</v>
      </c>
      <c r="E26" s="357" t="s">
        <v>1462</v>
      </c>
      <c r="F26" s="356">
        <f ca="1">INDIRECT("'数据-取费表'!q"&amp;$G$1)</f>
        <v>0.1</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2E-3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5750</v>
      </c>
      <c r="D29" s="1335"/>
      <c r="E29" s="1333"/>
      <c r="F29" s="1336"/>
      <c r="G29" s="1847"/>
      <c r="H29" s="379" t="s">
        <v>1030</v>
      </c>
      <c r="I29" s="380" t="s">
        <v>1474</v>
      </c>
      <c r="J29" s="381">
        <f ca="1">ROUND(J26/(1+F40)^F41,0)</f>
        <v>0</v>
      </c>
      <c r="K29" s="382" t="s">
        <v>1475</v>
      </c>
      <c r="L29" s="383"/>
      <c r="M29" s="384">
        <f ca="1">INDIRECT("'数据-取费表'!k"&amp;$G$1)</f>
        <v>13312.34</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169</v>
      </c>
      <c r="D30" s="1330" t="s">
        <v>1420</v>
      </c>
      <c r="E30" s="2941"/>
      <c r="F30" s="1287"/>
      <c r="G30" s="1844"/>
      <c r="H30" s="744"/>
      <c r="I30" s="745"/>
      <c r="J30" s="746"/>
      <c r="K30" s="747"/>
      <c r="L30" s="748"/>
      <c r="M30" s="749"/>
    </row>
    <row r="31" spans="1:37" ht="18" customHeight="1">
      <c r="A31" s="1194" t="s">
        <v>1032</v>
      </c>
      <c r="B31" s="346" t="s">
        <v>1424</v>
      </c>
      <c r="C31" s="24">
        <f ca="1">ROUND(IF(项目基本情况!B11="自然人",C6*F31/(1+'数据-取费表'!C42),C32+C33+C34),1)</f>
        <v>70.2</v>
      </c>
      <c r="D31" s="2940" t="s">
        <v>1425</v>
      </c>
      <c r="E31" s="2939"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21.01</v>
      </c>
      <c r="D32" s="2939"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45.03</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4.1399999999999997</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5179.8999999999996</v>
      </c>
      <c r="G35" s="1844"/>
      <c r="H35" s="744"/>
      <c r="I35" s="1853"/>
      <c r="J35" s="1854"/>
      <c r="K35" s="1855"/>
      <c r="L35" s="1852"/>
      <c r="M35" s="1852"/>
    </row>
    <row r="36" spans="1:18" ht="18" customHeight="1">
      <c r="A36" s="1345" t="s">
        <v>1036</v>
      </c>
      <c r="B36" s="346" t="s">
        <v>1444</v>
      </c>
      <c r="C36" s="24">
        <f ca="1">ROUND(C29*F36,1)</f>
        <v>86.3</v>
      </c>
      <c r="D36" s="2939"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8.6</v>
      </c>
      <c r="D37" s="2939"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3.9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225</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9360</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7031</v>
      </c>
      <c r="D43" s="382" t="s">
        <v>1483</v>
      </c>
      <c r="E43" s="383" t="s">
        <v>1484</v>
      </c>
      <c r="F43" s="384">
        <f ca="1">INDIRECT("'数据-取费表'!k"&amp;$G$1)</f>
        <v>13312.34</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-21635</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9360</v>
      </c>
      <c r="R47" s="1879" t="s">
        <v>1524</v>
      </c>
    </row>
    <row r="48" spans="1:18" s="1835" customFormat="1" ht="40.200000000000003" thickBot="1">
      <c r="A48" s="1353" t="s">
        <v>1132</v>
      </c>
      <c r="B48" s="344" t="s">
        <v>1396</v>
      </c>
      <c r="C48" s="2943">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3016</v>
      </c>
      <c r="E49" s="1823" t="s">
        <v>1486</v>
      </c>
      <c r="F49" s="1274"/>
      <c r="G49" s="1884"/>
      <c r="H49" s="792"/>
      <c r="I49" s="1880" t="s">
        <v>1529</v>
      </c>
      <c r="J49" s="1885">
        <v>2019</v>
      </c>
      <c r="K49" s="1882" t="s">
        <v>1530</v>
      </c>
      <c r="L49" s="1886"/>
      <c r="O49" s="1887" t="s">
        <v>1039</v>
      </c>
      <c r="P49" s="1878" t="s">
        <v>1531</v>
      </c>
      <c r="Q49" s="1879">
        <f ca="1">C29</f>
        <v>5750</v>
      </c>
      <c r="R49" s="1879" t="s">
        <v>1524</v>
      </c>
    </row>
    <row r="50" spans="1:18" s="1835" customFormat="1" ht="13.8" thickBot="1">
      <c r="A50" s="1188"/>
      <c r="B50" s="1191"/>
      <c r="C50" s="1361"/>
      <c r="D50" s="1165"/>
      <c r="E50" s="1270" t="s">
        <v>1401</v>
      </c>
      <c r="F50" s="1271">
        <f ca="1">F7</f>
        <v>13312.34</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60</v>
      </c>
      <c r="K51" s="1893" t="s">
        <v>1536</v>
      </c>
      <c r="L51" s="1894">
        <f ca="1">ROUND(-PV(INDIRECT("'数据-取费表'!h"&amp;$G$1),L48,(C39-C13*C76),0),0)</f>
        <v>-6129</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5" t="s">
        <v>1543</v>
      </c>
      <c r="L53" s="3196"/>
      <c r="O53" s="1877" t="s">
        <v>1043</v>
      </c>
      <c r="P53" s="1878" t="s">
        <v>1544</v>
      </c>
      <c r="Q53" s="1879">
        <f ca="1">Q47+Q48</f>
        <v>9360</v>
      </c>
      <c r="R53" s="1879" t="s">
        <v>1044</v>
      </c>
    </row>
    <row r="54" spans="1:18" s="1835" customFormat="1" ht="24.6" thickBot="1">
      <c r="A54" s="1399"/>
      <c r="B54" s="1818" t="s">
        <v>1383</v>
      </c>
      <c r="C54" s="1171"/>
      <c r="D54" s="1817"/>
      <c r="E54" s="2942"/>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2942"/>
      <c r="F55" s="1899"/>
      <c r="I55" s="1902" t="s">
        <v>1546</v>
      </c>
      <c r="J55" s="1903" t="e">
        <f ca="1">ROUND(IF(J47="钢混",J57/J50,1-(1-2%)*(J50-J57)/J50),3)</f>
        <v>#VALUE!</v>
      </c>
      <c r="K55" s="1904" t="s">
        <v>1547</v>
      </c>
      <c r="L55" s="1905" t="s">
        <v>3666</v>
      </c>
      <c r="O55" s="1870" t="s">
        <v>1517</v>
      </c>
      <c r="P55" s="1871" t="s">
        <v>1518</v>
      </c>
      <c r="Q55" s="1872" t="s">
        <v>1519</v>
      </c>
      <c r="R55" s="1872" t="s">
        <v>1520</v>
      </c>
    </row>
    <row r="56" spans="1:18" s="1835" customFormat="1" ht="37.200000000000003" thickTop="1" thickBot="1">
      <c r="A56" s="1169">
        <v>2</v>
      </c>
      <c r="B56" s="1170" t="s">
        <v>1409</v>
      </c>
      <c r="C56" s="275">
        <f ca="1">C13</f>
        <v>5750</v>
      </c>
      <c r="D56" s="1906"/>
      <c r="E56" s="1907"/>
      <c r="F56" s="1899"/>
      <c r="I56" s="1908" t="s">
        <v>1548</v>
      </c>
      <c r="J56" s="1909" t="s">
        <v>3648</v>
      </c>
      <c r="K56" s="1880" t="s">
        <v>1549</v>
      </c>
      <c r="L56" s="1883">
        <f ca="1">IF(L48&lt;J51,"——",L48-J53)</f>
        <v>0</v>
      </c>
      <c r="O56" s="1877" t="s">
        <v>1037</v>
      </c>
      <c r="P56" s="1878" t="s">
        <v>1523</v>
      </c>
      <c r="Q56" s="1879">
        <f ca="1">C40+J29</f>
        <v>9360</v>
      </c>
      <c r="R56" s="1879" t="s">
        <v>1524</v>
      </c>
    </row>
    <row r="57" spans="1:18" s="1835" customFormat="1" ht="24.6" thickBot="1">
      <c r="A57" s="1910"/>
      <c r="B57" s="1162" t="s">
        <v>1473</v>
      </c>
      <c r="C57" s="281">
        <f ca="1">C29</f>
        <v>5750</v>
      </c>
      <c r="D57" s="1911"/>
      <c r="E57" s="1912"/>
      <c r="F57" s="1913"/>
      <c r="I57" s="1914" t="s">
        <v>1550</v>
      </c>
      <c r="J57" s="1915" t="str">
        <f ca="1">IF(OR(M47="住宅",J51&lt;L48,J56="是"),"——",J51-L48)</f>
        <v>——</v>
      </c>
      <c r="K57" s="1880" t="s">
        <v>1551</v>
      </c>
      <c r="L57" s="1883">
        <f ca="1">IF(L48&lt;J51,"——",IF(L55="比较法",L49,IF(L55="基准地价",L50,L51)))</f>
        <v>-6129</v>
      </c>
      <c r="O57" s="1877" t="s">
        <v>1038</v>
      </c>
      <c r="P57" s="1878" t="s">
        <v>1552</v>
      </c>
      <c r="Q57" s="1879">
        <f ca="1">L60</f>
        <v>0</v>
      </c>
      <c r="R57" s="1879" t="s">
        <v>1553</v>
      </c>
    </row>
    <row r="58" spans="1:18" s="1835" customFormat="1" ht="24.6" thickBot="1">
      <c r="A58" s="359" t="s">
        <v>1027</v>
      </c>
      <c r="B58" s="1170" t="s">
        <v>1419</v>
      </c>
      <c r="C58" s="360">
        <f ca="1">ROUND(C59+C64+C65+C66,0)</f>
        <v>582</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487.1</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483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4.1399999999999997</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9360</v>
      </c>
      <c r="R62" s="1879" t="s">
        <v>1044</v>
      </c>
    </row>
    <row r="63" spans="1:18" s="1835" customFormat="1" ht="13.8" thickBot="1">
      <c r="A63" s="371"/>
      <c r="B63" s="1168"/>
      <c r="C63" s="29"/>
      <c r="D63" s="1178"/>
      <c r="E63" s="1162" t="s">
        <v>1494</v>
      </c>
      <c r="F63" s="347">
        <f t="shared" ca="1" si="0"/>
        <v>5179.8999999999996</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86.3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8.6</v>
      </c>
      <c r="D65" s="1176" t="s">
        <v>1449</v>
      </c>
      <c r="E65" s="1162" t="s">
        <v>1450</v>
      </c>
      <c r="F65" s="375">
        <f t="shared" ca="1" si="0"/>
        <v>1.5E-3</v>
      </c>
      <c r="I65" s="1921" t="s">
        <v>1573</v>
      </c>
      <c r="J65" s="1922">
        <v>40</v>
      </c>
      <c r="K65" s="1922">
        <v>30</v>
      </c>
      <c r="L65" s="1922">
        <v>50</v>
      </c>
      <c r="M65" s="1924">
        <v>0.02</v>
      </c>
      <c r="O65" s="1877" t="s">
        <v>1037</v>
      </c>
      <c r="P65" s="1878" t="s">
        <v>1574</v>
      </c>
      <c r="Q65" s="1879">
        <f ca="1">C40+J29</f>
        <v>9360</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-582</v>
      </c>
      <c r="D67" s="1175" t="s">
        <v>1459</v>
      </c>
      <c r="E67" s="1180"/>
      <c r="F67" s="1181"/>
      <c r="O67" s="1887" t="s">
        <v>1039</v>
      </c>
      <c r="P67" s="1878" t="s">
        <v>1556</v>
      </c>
      <c r="Q67" s="1925">
        <f ca="1">L51</f>
        <v>-6129</v>
      </c>
      <c r="R67" s="1879" t="s">
        <v>1576</v>
      </c>
    </row>
    <row r="68" spans="1:18" s="1835" customFormat="1" ht="16.2" thickBot="1">
      <c r="A68" s="1159" t="s">
        <v>1029</v>
      </c>
      <c r="B68" s="1160" t="s">
        <v>1480</v>
      </c>
      <c r="C68" s="345">
        <f ca="1">ROUND(C67*(1-((1+F70)/(1+F68))^F69)/(F68-F70),0)</f>
        <v>-12275</v>
      </c>
      <c r="D68" s="1177" t="s">
        <v>1464</v>
      </c>
      <c r="E68" s="1162" t="s">
        <v>1465</v>
      </c>
      <c r="F68" s="356">
        <f ca="1">F40</f>
        <v>4.4999999999999998E-2</v>
      </c>
      <c r="O68" s="1887" t="s">
        <v>1040</v>
      </c>
      <c r="P68" s="1926" t="s">
        <v>1577</v>
      </c>
      <c r="Q68" s="1879">
        <f ca="1">ROUND(Q69-Q70*Q71,0)</f>
        <v>-264</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225</v>
      </c>
      <c r="R69" s="1879" t="s">
        <v>1524</v>
      </c>
    </row>
    <row r="70" spans="1:18" s="1835" customFormat="1" ht="13.8" thickBot="1">
      <c r="A70" s="1166"/>
      <c r="B70" s="1167"/>
      <c r="C70" s="354"/>
      <c r="D70" s="1178"/>
      <c r="E70" s="1162" t="s">
        <v>1472</v>
      </c>
      <c r="F70" s="1268"/>
      <c r="O70" s="1887" t="s">
        <v>1046</v>
      </c>
      <c r="P70" s="1926" t="s">
        <v>1579</v>
      </c>
      <c r="Q70" s="1879">
        <f ca="1">C13</f>
        <v>5750</v>
      </c>
      <c r="R70" s="1879" t="s">
        <v>1524</v>
      </c>
    </row>
    <row r="71" spans="1:18" s="1835" customFormat="1" ht="13.8" thickBot="1">
      <c r="A71" s="1183" t="s">
        <v>1030</v>
      </c>
      <c r="B71" s="1184" t="s">
        <v>1482</v>
      </c>
      <c r="C71" s="381">
        <f ca="1">ROUND(C68*10000/F71,0)</f>
        <v>-9221</v>
      </c>
      <c r="D71" s="1185" t="s">
        <v>1483</v>
      </c>
      <c r="E71" s="1186" t="s">
        <v>1484</v>
      </c>
      <c r="F71" s="384">
        <f ca="1">F43</f>
        <v>13312.34</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489</v>
      </c>
      <c r="D75" s="1835"/>
      <c r="E75" s="1835"/>
      <c r="F75" s="1835"/>
      <c r="K75" s="1861"/>
      <c r="L75" s="1835"/>
      <c r="O75" s="1877" t="s">
        <v>1043</v>
      </c>
      <c r="P75" s="1878" t="s">
        <v>1544</v>
      </c>
      <c r="Q75" s="1879">
        <f ca="1">Q65+Q66</f>
        <v>9360</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-1.173</v>
      </c>
    </row>
    <row r="80" spans="1:18">
      <c r="B80" s="385" t="s">
        <v>1506</v>
      </c>
      <c r="C80" s="317">
        <f ca="1">ROUND(C75/C39,3)</f>
        <v>2.173</v>
      </c>
    </row>
    <row r="81" spans="2:3">
      <c r="B81" s="313" t="s">
        <v>1507</v>
      </c>
      <c r="C81" s="281"/>
    </row>
    <row r="82" spans="2:3">
      <c r="B82" s="316" t="s">
        <v>1508</v>
      </c>
      <c r="C82" s="318">
        <f ca="1">1-C83</f>
        <v>0.38600000000000001</v>
      </c>
    </row>
    <row r="83" spans="2:3">
      <c r="B83" s="316" t="s">
        <v>1509</v>
      </c>
      <c r="C83" s="317">
        <f ca="1">ROUND(C13/C40,3)</f>
        <v>0.61399999999999999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3669</v>
      </c>
      <c r="D1" s="1813" t="s">
        <v>70</v>
      </c>
      <c r="E1" s="1814" t="s">
        <v>1382</v>
      </c>
      <c r="F1" s="1276">
        <f ca="1">J53</f>
        <v>67.650000000000006</v>
      </c>
      <c r="G1" s="182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7113</v>
      </c>
      <c r="C2" s="1838" t="s">
        <v>1511</v>
      </c>
      <c r="D2" s="1838"/>
      <c r="E2" s="1839"/>
      <c r="F2" s="1840"/>
      <c r="G2" s="1841"/>
      <c r="H2" s="1833"/>
      <c r="I2" s="1833"/>
      <c r="J2" s="1833"/>
      <c r="K2" s="1834"/>
      <c r="L2" s="1833"/>
      <c r="M2" s="1833"/>
    </row>
    <row r="3" spans="1:37" ht="18" customHeight="1" thickBot="1">
      <c r="A3" s="1842" t="s">
        <v>1512</v>
      </c>
      <c r="B3" s="1843">
        <f ca="1">IF(ISERROR(B2*10000/F43),0,ROUND(B2*10000/F43,0))</f>
        <v>8929</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288</v>
      </c>
      <c r="D5" s="1815" t="s">
        <v>1397</v>
      </c>
      <c r="E5" s="1286"/>
      <c r="F5" s="1287"/>
      <c r="G5" s="1844"/>
      <c r="H5" s="343">
        <v>1</v>
      </c>
      <c r="I5" s="344" t="s">
        <v>1396</v>
      </c>
      <c r="J5" s="1285">
        <f ca="1">J6+J10+J12</f>
        <v>0</v>
      </c>
      <c r="K5" s="1815" t="s">
        <v>1397</v>
      </c>
      <c r="L5" s="1286"/>
      <c r="M5" s="1287"/>
    </row>
    <row r="6" spans="1:37" ht="18" customHeight="1">
      <c r="A6" s="1284" t="s">
        <v>1032</v>
      </c>
      <c r="B6" s="3192" t="s">
        <v>1398</v>
      </c>
      <c r="C6" s="1289">
        <f ca="1">ROUND(F6*F8*F7*(1-F9)/10000,0)</f>
        <v>288</v>
      </c>
      <c r="D6" s="163" t="s">
        <v>3017</v>
      </c>
      <c r="E6" s="346" t="s">
        <v>1400</v>
      </c>
      <c r="F6" s="347">
        <f ca="1">INDIRECT("'数据-取费表'!u"&amp;$G$1)</f>
        <v>1.1000000000000001</v>
      </c>
      <c r="G6" s="1844"/>
      <c r="H6" s="1284" t="s">
        <v>1032</v>
      </c>
      <c r="I6" s="3192" t="s">
        <v>1398</v>
      </c>
      <c r="J6" s="345">
        <f ca="1">ROUND(M6*M8*M7*(1-M9)/10000,0)</f>
        <v>0</v>
      </c>
      <c r="K6" s="163" t="s">
        <v>3016</v>
      </c>
      <c r="L6" s="346" t="s">
        <v>1400</v>
      </c>
      <c r="M6" s="347">
        <f ca="1">INDIRECT("'数据-取费表'!z"&amp;$G$1)</f>
        <v>0</v>
      </c>
    </row>
    <row r="7" spans="1:37" ht="18" customHeight="1">
      <c r="A7" s="1288"/>
      <c r="B7" s="3193"/>
      <c r="C7" s="1290"/>
      <c r="D7" s="351"/>
      <c r="E7" s="1291" t="s">
        <v>1401</v>
      </c>
      <c r="F7" s="347">
        <f ca="1">IF(INDIRECT("'数据-取费表'!ah"&amp;$G$1)="",INDIRECT("'数据-取费表'!k"&amp;$G$1),INDIRECT("'数据-取费表'!ah"&amp;$G$1))</f>
        <v>7966.26</v>
      </c>
      <c r="G7" s="1844"/>
      <c r="H7" s="348"/>
      <c r="I7" s="3193"/>
      <c r="J7" s="350"/>
      <c r="K7" s="351"/>
      <c r="L7" s="346" t="s">
        <v>1401</v>
      </c>
      <c r="M7" s="347">
        <f ca="1">F7</f>
        <v>7966.26</v>
      </c>
    </row>
    <row r="8" spans="1:37" ht="18" customHeight="1">
      <c r="A8" s="348"/>
      <c r="B8" s="3193"/>
      <c r="C8" s="350"/>
      <c r="D8" s="351"/>
      <c r="E8" s="346" t="s">
        <v>1402</v>
      </c>
      <c r="F8" s="347">
        <f ca="1">INDIRECT("'数据-取费表'!ai"&amp;$G$1)</f>
        <v>365</v>
      </c>
      <c r="G8" s="1844"/>
      <c r="H8" s="348"/>
      <c r="I8" s="3193"/>
      <c r="J8" s="350"/>
      <c r="K8" s="351"/>
      <c r="L8" s="346" t="s">
        <v>1402</v>
      </c>
      <c r="M8" s="347">
        <f ca="1">INDIRECT("'数据-取费表'!ai"&amp;$G$1)</f>
        <v>365</v>
      </c>
    </row>
    <row r="9" spans="1:37" ht="18" customHeight="1">
      <c r="A9" s="348"/>
      <c r="B9" s="3194"/>
      <c r="C9" s="350"/>
      <c r="D9" s="351"/>
      <c r="E9" s="346" t="s">
        <v>1403</v>
      </c>
      <c r="F9" s="356">
        <f ca="1">INDIRECT("'数据-取费表'!w"&amp;$G$1)</f>
        <v>0.1</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3026</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3817</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2549</v>
      </c>
      <c r="D14" s="1793" t="s">
        <v>1413</v>
      </c>
      <c r="E14" s="1787"/>
      <c r="F14" s="363"/>
      <c r="G14" s="1844"/>
      <c r="H14" s="1194" t="s">
        <v>1032</v>
      </c>
      <c r="I14" s="346" t="s">
        <v>1414</v>
      </c>
      <c r="J14" s="24">
        <f ca="1">C29</f>
        <v>3817</v>
      </c>
      <c r="K14" s="15"/>
      <c r="L14" s="972"/>
      <c r="M14" s="973"/>
    </row>
    <row r="15" spans="1:37" s="1851" customFormat="1" ht="18" customHeight="1" thickBot="1">
      <c r="A15" s="1194" t="s">
        <v>1033</v>
      </c>
      <c r="B15" s="346" t="s">
        <v>1415</v>
      </c>
      <c r="C15" s="24">
        <f ca="1">ROUND(C14*F15,0)</f>
        <v>76</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76</v>
      </c>
      <c r="D16" s="346" t="s">
        <v>1416</v>
      </c>
      <c r="E16" s="346" t="s">
        <v>1417</v>
      </c>
      <c r="F16" s="366">
        <f ca="1">IF(INDIRECT("'数据-取费表'!c"&amp;$G$1)="住宅",'数据-取费表'!B34,0)</f>
        <v>0.03</v>
      </c>
      <c r="G16" s="1844"/>
      <c r="H16" s="1322" t="s">
        <v>1027</v>
      </c>
      <c r="I16" s="1323" t="s">
        <v>1419</v>
      </c>
      <c r="J16" s="354">
        <f ca="1">ROUND(J17+J22+J23+J24,0)</f>
        <v>92</v>
      </c>
      <c r="K16" s="1330" t="s">
        <v>1420</v>
      </c>
      <c r="L16" s="1331"/>
      <c r="M16" s="1287"/>
    </row>
    <row r="17" spans="1:37" s="1851" customFormat="1" ht="18" customHeight="1">
      <c r="A17" s="1194" t="s">
        <v>1385</v>
      </c>
      <c r="B17" s="346" t="s">
        <v>1421</v>
      </c>
      <c r="C17" s="24">
        <f ca="1">ROUND(F17*(F43+INDIRECT("'数据-取费表'!S"&amp;$G$1))/10000,0)</f>
        <v>159</v>
      </c>
      <c r="D17" s="346" t="s">
        <v>1422</v>
      </c>
      <c r="E17" s="346" t="s">
        <v>1423</v>
      </c>
      <c r="F17" s="26">
        <f>'数据-取费表'!B35</f>
        <v>200</v>
      </c>
      <c r="G17" s="1847"/>
      <c r="H17" s="1194" t="s">
        <v>1032</v>
      </c>
      <c r="I17" s="346" t="s">
        <v>1424</v>
      </c>
      <c r="J17" s="24">
        <f ca="1">ROUND(IF(项目基本情况!B11="自然人",J6*M17/(1+'数据-取费表'!C42),J18+J19+J20),1)</f>
        <v>34.5</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38</v>
      </c>
      <c r="D18" s="346" t="s">
        <v>1416</v>
      </c>
      <c r="E18" s="346" t="s">
        <v>1417</v>
      </c>
      <c r="F18" s="366">
        <f>'数据-取费表'!B36</f>
        <v>1.4999999999999999E-2</v>
      </c>
      <c r="G18" s="1847"/>
      <c r="H18" s="1194" t="s">
        <v>1031</v>
      </c>
      <c r="I18" s="346" t="s">
        <v>1428</v>
      </c>
      <c r="J18" s="24">
        <f ca="1">ROUND(J6*M18/(1+'数据-取费表'!C42),2)</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2898</v>
      </c>
      <c r="D19" s="139" t="s">
        <v>1431</v>
      </c>
      <c r="E19" s="1811"/>
      <c r="F19" s="26"/>
      <c r="G19" s="1844"/>
      <c r="H19" s="1194" t="s">
        <v>1033</v>
      </c>
      <c r="I19" s="346" t="s">
        <v>1432</v>
      </c>
      <c r="J19" s="24">
        <f ca="1">IF(K19="按租金收入计税",ROUND(J6*M19/(1+'数据-取费表'!C42),2),ROUND(C29*M19*0.7,2))</f>
        <v>32.06</v>
      </c>
      <c r="K19" s="1821" t="s">
        <v>1433</v>
      </c>
      <c r="L19" s="346" t="s">
        <v>1417</v>
      </c>
      <c r="M19" s="366">
        <f>IF(K19="按租金收入计税",'数据-取费表'!B51,'数据-取费表'!B50)</f>
        <v>1.2E-2</v>
      </c>
    </row>
    <row r="20" spans="1:37" s="1851" customFormat="1" ht="18" customHeight="1">
      <c r="A20" s="1194" t="s">
        <v>1036</v>
      </c>
      <c r="B20" s="346" t="s">
        <v>1434</v>
      </c>
      <c r="C20" s="24">
        <f ca="1">ROUND(C19*F20,0)</f>
        <v>43</v>
      </c>
      <c r="D20" s="368" t="s">
        <v>1435</v>
      </c>
      <c r="E20" s="346" t="s">
        <v>1417</v>
      </c>
      <c r="F20" s="366">
        <f>'数据-取费表'!B37</f>
        <v>1.4999999999999999E-2</v>
      </c>
      <c r="G20" s="1847"/>
      <c r="H20" s="1194" t="s">
        <v>1384</v>
      </c>
      <c r="I20" s="163" t="s">
        <v>1436</v>
      </c>
      <c r="J20" s="25">
        <f ca="1">ROUND(M20*M21/10000,2)</f>
        <v>2.48</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18</v>
      </c>
      <c r="D21" s="368" t="s">
        <v>1440</v>
      </c>
      <c r="E21" s="346" t="s">
        <v>1441</v>
      </c>
      <c r="F21" s="366">
        <f>'数据-取费表'!B38</f>
        <v>0.02</v>
      </c>
      <c r="G21" s="1847"/>
      <c r="H21" s="371"/>
      <c r="I21" s="355"/>
      <c r="J21" s="29"/>
      <c r="K21" s="372"/>
      <c r="L21" s="346" t="s">
        <v>1442</v>
      </c>
      <c r="M21" s="347">
        <f ca="1">INDIRECT("'数据-取费表'!r"&amp;$G$1)</f>
        <v>3099.71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ROUND(J14*M22,1)</f>
        <v>57.3</v>
      </c>
      <c r="K22" s="1791"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140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1791"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1811"/>
      <c r="F25" s="26"/>
      <c r="G25" s="1844"/>
      <c r="H25" s="1322" t="s">
        <v>1028</v>
      </c>
      <c r="I25" s="1337" t="s">
        <v>1458</v>
      </c>
      <c r="J25" s="354">
        <f ca="1">J5-J16</f>
        <v>-92</v>
      </c>
      <c r="K25" s="1338" t="s">
        <v>1459</v>
      </c>
      <c r="L25" s="1339"/>
      <c r="M25" s="1340"/>
    </row>
    <row r="26" spans="1:37">
      <c r="A26" s="1194" t="s">
        <v>1031</v>
      </c>
      <c r="B26" s="346" t="s">
        <v>1460</v>
      </c>
      <c r="C26" s="24">
        <f ca="1">ROUND((C19+C20)*F26,0)</f>
        <v>441</v>
      </c>
      <c r="D26" s="368" t="s">
        <v>1461</v>
      </c>
      <c r="E26" s="357" t="s">
        <v>1462</v>
      </c>
      <c r="F26" s="356">
        <f ca="1">INDIRECT("'数据-取费表'!q"&amp;$G$1)</f>
        <v>0.15</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3.0000000000000001E-3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3817</v>
      </c>
      <c r="D29" s="1335"/>
      <c r="E29" s="1333"/>
      <c r="F29" s="1336"/>
      <c r="G29" s="1847"/>
      <c r="H29" s="379" t="s">
        <v>1030</v>
      </c>
      <c r="I29" s="380" t="s">
        <v>1474</v>
      </c>
      <c r="J29" s="381">
        <f ca="1">ROUND(J26/(1+F40)^F41,0)</f>
        <v>0</v>
      </c>
      <c r="K29" s="382" t="s">
        <v>1475</v>
      </c>
      <c r="L29" s="383"/>
      <c r="M29" s="384">
        <f ca="1">INDIRECT("'数据-取费表'!k"&amp;$G$1)</f>
        <v>7966.26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117</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ROUND(IF(项目基本情况!B11="自然人",C6*F31/(1+'数据-取费表'!C42),C32+C33+C34),1)</f>
        <v>50.8</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15.36</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32.909999999999997</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2.48</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3099.71</v>
      </c>
      <c r="G35" s="1844"/>
      <c r="H35" s="744"/>
      <c r="I35" s="1853"/>
      <c r="J35" s="1854"/>
      <c r="K35" s="1855"/>
      <c r="L35" s="1852"/>
      <c r="M35" s="1852"/>
    </row>
    <row r="36" spans="1:18" ht="18" customHeight="1">
      <c r="A36" s="1345" t="s">
        <v>1036</v>
      </c>
      <c r="B36" s="346" t="s">
        <v>1444</v>
      </c>
      <c r="C36" s="24">
        <f ca="1">ROUND(C29*F36,1)</f>
        <v>57.3</v>
      </c>
      <c r="D36" s="1791"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5.7</v>
      </c>
      <c r="D37" s="1791"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2.9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171</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7113</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8929</v>
      </c>
      <c r="D43" s="382" t="s">
        <v>1483</v>
      </c>
      <c r="E43" s="383" t="s">
        <v>1484</v>
      </c>
      <c r="F43" s="384">
        <f ca="1">INDIRECT("'数据-取费表'!k"&amp;$G$1)</f>
        <v>7966.26</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-15254</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7113</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3018</v>
      </c>
      <c r="E49" s="1823" t="s">
        <v>1486</v>
      </c>
      <c r="F49" s="1274"/>
      <c r="G49" s="1884"/>
      <c r="H49" s="792"/>
      <c r="I49" s="1880" t="s">
        <v>1529</v>
      </c>
      <c r="J49" s="1885">
        <v>2020</v>
      </c>
      <c r="K49" s="1882" t="s">
        <v>1530</v>
      </c>
      <c r="L49" s="1886"/>
      <c r="O49" s="1887" t="s">
        <v>1039</v>
      </c>
      <c r="P49" s="1878" t="s">
        <v>1531</v>
      </c>
      <c r="Q49" s="1879">
        <f ca="1">C29</f>
        <v>3817</v>
      </c>
      <c r="R49" s="1879" t="s">
        <v>1524</v>
      </c>
    </row>
    <row r="50" spans="1:18" s="1835" customFormat="1" ht="13.8" thickBot="1">
      <c r="A50" s="1188"/>
      <c r="B50" s="1191"/>
      <c r="C50" s="1361"/>
      <c r="D50" s="1165"/>
      <c r="E50" s="1270" t="s">
        <v>1401</v>
      </c>
      <c r="F50" s="1271">
        <f ca="1">F7</f>
        <v>7966.26</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61</v>
      </c>
      <c r="K51" s="1893" t="s">
        <v>1536</v>
      </c>
      <c r="L51" s="1894">
        <f ca="1">ROUND(-PV(INDIRECT("'数据-取费表'!h"&amp;$G$1),L48,(C39-C13*C76),0),0)</f>
        <v>-3566</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5" t="s">
        <v>1543</v>
      </c>
      <c r="L53" s="3196"/>
      <c r="O53" s="1877" t="s">
        <v>1043</v>
      </c>
      <c r="P53" s="1878" t="s">
        <v>1544</v>
      </c>
      <c r="Q53" s="1879">
        <f ca="1">Q47+Q48</f>
        <v>7113</v>
      </c>
      <c r="R53" s="1879" t="s">
        <v>1044</v>
      </c>
    </row>
    <row r="54" spans="1:18" s="1835" customFormat="1" ht="24.6" thickBot="1">
      <c r="A54" s="1399"/>
      <c r="B54" s="1818" t="s">
        <v>1383</v>
      </c>
      <c r="C54" s="1171"/>
      <c r="D54" s="1817"/>
      <c r="E54" s="1825"/>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#VALUE!</v>
      </c>
      <c r="K55" s="1904" t="s">
        <v>1547</v>
      </c>
      <c r="L55" s="1905" t="s">
        <v>3665</v>
      </c>
      <c r="O55" s="1870" t="s">
        <v>1517</v>
      </c>
      <c r="P55" s="1871" t="s">
        <v>1518</v>
      </c>
      <c r="Q55" s="1872" t="s">
        <v>1519</v>
      </c>
      <c r="R55" s="1872" t="s">
        <v>1520</v>
      </c>
    </row>
    <row r="56" spans="1:18" s="1835" customFormat="1" ht="37.200000000000003" thickTop="1" thickBot="1">
      <c r="A56" s="1169">
        <v>2</v>
      </c>
      <c r="B56" s="1170" t="s">
        <v>1409</v>
      </c>
      <c r="C56" s="275">
        <f ca="1">C13</f>
        <v>3817</v>
      </c>
      <c r="D56" s="1906"/>
      <c r="E56" s="1907"/>
      <c r="F56" s="1899"/>
      <c r="I56" s="1908" t="s">
        <v>1548</v>
      </c>
      <c r="J56" s="1909" t="s">
        <v>70</v>
      </c>
      <c r="K56" s="1880" t="s">
        <v>1549</v>
      </c>
      <c r="L56" s="1883">
        <f ca="1">IF(L48&lt;J51,"——",L48-J53)</f>
        <v>0</v>
      </c>
      <c r="O56" s="1877" t="s">
        <v>1037</v>
      </c>
      <c r="P56" s="1878" t="s">
        <v>1523</v>
      </c>
      <c r="Q56" s="1879">
        <f ca="1">C40+J29</f>
        <v>7113</v>
      </c>
      <c r="R56" s="1879" t="s">
        <v>1524</v>
      </c>
    </row>
    <row r="57" spans="1:18" s="1835" customFormat="1" ht="24.6" thickBot="1">
      <c r="A57" s="1910"/>
      <c r="B57" s="1162" t="s">
        <v>1473</v>
      </c>
      <c r="C57" s="281">
        <f ca="1">C29</f>
        <v>3817</v>
      </c>
      <c r="D57" s="1911"/>
      <c r="E57" s="1912"/>
      <c r="F57" s="1913"/>
      <c r="I57" s="1914" t="s">
        <v>1550</v>
      </c>
      <c r="J57" s="1915" t="str">
        <f ca="1">IF(OR(M47="住宅",J51&lt;L48,J56="是"),"——",J51-L48)</f>
        <v>——</v>
      </c>
      <c r="K57" s="1880" t="s">
        <v>1551</v>
      </c>
      <c r="L57" s="1883">
        <f ca="1">IF(L48&lt;J51,"——",IF(L55="比较法",L49,IF(L55="基准地价",L50,L51)))</f>
        <v>0</v>
      </c>
      <c r="O57" s="1877" t="s">
        <v>1038</v>
      </c>
      <c r="P57" s="1878" t="s">
        <v>1552</v>
      </c>
      <c r="Q57" s="1879">
        <f ca="1">L60</f>
        <v>0</v>
      </c>
      <c r="R57" s="1879" t="s">
        <v>1553</v>
      </c>
    </row>
    <row r="58" spans="1:18" s="1835" customFormat="1" ht="24.6" thickBot="1">
      <c r="A58" s="359" t="s">
        <v>1027</v>
      </c>
      <c r="B58" s="1170" t="s">
        <v>1419</v>
      </c>
      <c r="C58" s="360">
        <f ca="1">ROUND(C59+C64+C65+C66,0)</f>
        <v>386</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323.10000000000002</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320.63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2.48</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7113</v>
      </c>
      <c r="R62" s="1879" t="s">
        <v>1044</v>
      </c>
    </row>
    <row r="63" spans="1:18" s="1835" customFormat="1" ht="13.8" thickBot="1">
      <c r="A63" s="371"/>
      <c r="B63" s="1168"/>
      <c r="C63" s="29"/>
      <c r="D63" s="1178"/>
      <c r="E63" s="1162" t="s">
        <v>1494</v>
      </c>
      <c r="F63" s="347">
        <f t="shared" ca="1" si="0"/>
        <v>3099.71</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57.3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5.7</v>
      </c>
      <c r="D65" s="1176" t="s">
        <v>1449</v>
      </c>
      <c r="E65" s="1162" t="s">
        <v>1450</v>
      </c>
      <c r="F65" s="375">
        <f t="shared" ca="1" si="0"/>
        <v>1.5E-3</v>
      </c>
      <c r="I65" s="1921" t="s">
        <v>1573</v>
      </c>
      <c r="J65" s="1922">
        <v>40</v>
      </c>
      <c r="K65" s="1922">
        <v>30</v>
      </c>
      <c r="L65" s="1922">
        <v>50</v>
      </c>
      <c r="M65" s="1924">
        <v>0.02</v>
      </c>
      <c r="O65" s="1877" t="s">
        <v>1037</v>
      </c>
      <c r="P65" s="1878" t="s">
        <v>1574</v>
      </c>
      <c r="Q65" s="1879">
        <f ca="1">C40+J29</f>
        <v>7113</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-386</v>
      </c>
      <c r="D67" s="1175" t="s">
        <v>1459</v>
      </c>
      <c r="E67" s="1180"/>
      <c r="F67" s="1181"/>
      <c r="O67" s="1887" t="s">
        <v>1039</v>
      </c>
      <c r="P67" s="1878" t="s">
        <v>1556</v>
      </c>
      <c r="Q67" s="1925">
        <f ca="1">L51</f>
        <v>-3566</v>
      </c>
      <c r="R67" s="1879" t="s">
        <v>1576</v>
      </c>
    </row>
    <row r="68" spans="1:18" s="1835" customFormat="1" ht="16.2" thickBot="1">
      <c r="A68" s="1159" t="s">
        <v>1029</v>
      </c>
      <c r="B68" s="1160" t="s">
        <v>1480</v>
      </c>
      <c r="C68" s="345">
        <f ca="1">ROUND(C67*(1-((1+F70)/(1+F68))^F69)/(F68-F70),0)</f>
        <v>-8141</v>
      </c>
      <c r="D68" s="1177" t="s">
        <v>1464</v>
      </c>
      <c r="E68" s="1162" t="s">
        <v>1465</v>
      </c>
      <c r="F68" s="356">
        <f ca="1">F40</f>
        <v>4.4999999999999998E-2</v>
      </c>
      <c r="O68" s="1887" t="s">
        <v>1040</v>
      </c>
      <c r="P68" s="1926" t="s">
        <v>1577</v>
      </c>
      <c r="Q68" s="1879">
        <f ca="1">ROUND(Q69-Q70*Q71,0)</f>
        <v>-153</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171</v>
      </c>
      <c r="R69" s="1879" t="s">
        <v>1524</v>
      </c>
    </row>
    <row r="70" spans="1:18" s="1835" customFormat="1" ht="13.8" thickBot="1">
      <c r="A70" s="1166"/>
      <c r="B70" s="1167"/>
      <c r="C70" s="354"/>
      <c r="D70" s="1178"/>
      <c r="E70" s="1162" t="s">
        <v>1472</v>
      </c>
      <c r="F70" s="1268"/>
      <c r="O70" s="1887" t="s">
        <v>1046</v>
      </c>
      <c r="P70" s="1926" t="s">
        <v>1579</v>
      </c>
      <c r="Q70" s="1879">
        <f ca="1">C13</f>
        <v>3817</v>
      </c>
      <c r="R70" s="1879" t="s">
        <v>1524</v>
      </c>
    </row>
    <row r="71" spans="1:18" s="1835" customFormat="1" ht="13.8" thickBot="1">
      <c r="A71" s="1183" t="s">
        <v>1030</v>
      </c>
      <c r="B71" s="1184" t="s">
        <v>1482</v>
      </c>
      <c r="C71" s="381">
        <f ca="1">ROUND(C68*10000/F71,0)</f>
        <v>-10219</v>
      </c>
      <c r="D71" s="1185" t="s">
        <v>1483</v>
      </c>
      <c r="E71" s="1186" t="s">
        <v>1484</v>
      </c>
      <c r="F71" s="384">
        <f ca="1">F43</f>
        <v>7966.26</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324</v>
      </c>
      <c r="D75" s="1835"/>
      <c r="E75" s="1835"/>
      <c r="F75" s="1835"/>
      <c r="K75" s="1861"/>
      <c r="L75" s="1835"/>
      <c r="O75" s="1877" t="s">
        <v>1043</v>
      </c>
      <c r="P75" s="1878" t="s">
        <v>1544</v>
      </c>
      <c r="Q75" s="1879">
        <f ca="1">Q65+Q66</f>
        <v>7113</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-0.89500000000000002</v>
      </c>
    </row>
    <row r="80" spans="1:18">
      <c r="B80" s="385" t="s">
        <v>1506</v>
      </c>
      <c r="C80" s="317">
        <f ca="1">ROUND(C75/C39,3)</f>
        <v>1.895</v>
      </c>
    </row>
    <row r="81" spans="2:3">
      <c r="B81" s="313" t="s">
        <v>1507</v>
      </c>
      <c r="C81" s="281"/>
    </row>
    <row r="82" spans="2:3">
      <c r="B82" s="316" t="s">
        <v>1508</v>
      </c>
      <c r="C82" s="318">
        <f ca="1">1-C83</f>
        <v>0.46299999999999997</v>
      </c>
    </row>
    <row r="83" spans="2:3">
      <c r="B83" s="316" t="s">
        <v>1509</v>
      </c>
      <c r="C83" s="317">
        <f ca="1">ROUND(C13/C40,3)</f>
        <v>0.53700000000000003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c r="D1" s="1813"/>
      <c r="E1" s="1814" t="s">
        <v>1382</v>
      </c>
      <c r="F1" s="1276">
        <f ca="1">J53</f>
        <v>0</v>
      </c>
      <c r="G1" s="1829">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1584</v>
      </c>
      <c r="B2" s="1837" t="e">
        <f ca="1">ROUND(D2/10000,0)</f>
        <v>#DIV/0!</v>
      </c>
      <c r="C2" s="1838" t="s">
        <v>1585</v>
      </c>
      <c r="D2" s="1930" t="e">
        <f ca="1">C40+J29+L46</f>
        <v>#DIV/0!</v>
      </c>
      <c r="E2" s="1839" t="s">
        <v>1586</v>
      </c>
      <c r="F2" s="1840"/>
      <c r="G2" s="1841"/>
      <c r="H2" s="1833"/>
      <c r="I2" s="1833"/>
      <c r="J2" s="1833"/>
      <c r="K2" s="1834"/>
      <c r="L2" s="1833"/>
      <c r="M2" s="1833"/>
    </row>
    <row r="3" spans="1:37" ht="18" customHeight="1" thickBot="1">
      <c r="A3" s="1842" t="s">
        <v>1587</v>
      </c>
      <c r="B3" s="1843">
        <f ca="1">IF(ISERROR(D2/F43),0,ROUND(D2/F43,0))</f>
        <v>0</v>
      </c>
      <c r="C3" s="1838" t="s">
        <v>1588</v>
      </c>
      <c r="D3" s="1838"/>
      <c r="E3" s="1839"/>
      <c r="F3" s="1840"/>
      <c r="G3" s="1841"/>
      <c r="H3" s="743" t="s">
        <v>1582</v>
      </c>
      <c r="I3" s="1833"/>
      <c r="J3" s="1833"/>
      <c r="K3" s="1834"/>
      <c r="L3" s="1833"/>
      <c r="M3" s="1833"/>
    </row>
    <row r="4" spans="1:37" ht="18" customHeight="1">
      <c r="A4" s="339" t="s">
        <v>1589</v>
      </c>
      <c r="B4" s="340" t="s">
        <v>1590</v>
      </c>
      <c r="C4" s="340" t="s">
        <v>1591</v>
      </c>
      <c r="D4" s="340" t="s">
        <v>1592</v>
      </c>
      <c r="E4" s="341" t="s">
        <v>1593</v>
      </c>
      <c r="F4" s="342"/>
      <c r="G4" s="1844"/>
      <c r="H4" s="339" t="s">
        <v>1589</v>
      </c>
      <c r="I4" s="340" t="s">
        <v>1590</v>
      </c>
      <c r="J4" s="340" t="s">
        <v>1591</v>
      </c>
      <c r="K4" s="340" t="s">
        <v>1592</v>
      </c>
      <c r="L4" s="341" t="s">
        <v>1593</v>
      </c>
      <c r="M4" s="342"/>
    </row>
    <row r="5" spans="1:37" ht="18" customHeight="1">
      <c r="A5" s="343">
        <v>1</v>
      </c>
      <c r="B5" s="344" t="s">
        <v>1594</v>
      </c>
      <c r="C5" s="1285">
        <f ca="1">C6+C10+C12</f>
        <v>0</v>
      </c>
      <c r="D5" s="1815" t="s">
        <v>1595</v>
      </c>
      <c r="E5" s="1286"/>
      <c r="F5" s="1287"/>
      <c r="G5" s="1844"/>
      <c r="H5" s="343">
        <v>1</v>
      </c>
      <c r="I5" s="344" t="s">
        <v>1594</v>
      </c>
      <c r="J5" s="1285">
        <f ca="1">J6+J10+J12</f>
        <v>0</v>
      </c>
      <c r="K5" s="1815" t="s">
        <v>1595</v>
      </c>
      <c r="L5" s="1286"/>
      <c r="M5" s="1287"/>
    </row>
    <row r="6" spans="1:37" ht="18" customHeight="1">
      <c r="A6" s="1284" t="s">
        <v>1032</v>
      </c>
      <c r="B6" s="3192" t="s">
        <v>1398</v>
      </c>
      <c r="C6" s="1289">
        <f ca="1">ROUND(F6*F8*F7*(1-F9),0)</f>
        <v>0</v>
      </c>
      <c r="D6" s="163" t="s">
        <v>3014</v>
      </c>
      <c r="E6" s="346" t="s">
        <v>1400</v>
      </c>
      <c r="F6" s="347">
        <f ca="1">INDIRECT("'数据-取费表'!u"&amp;$G$1)</f>
        <v>0</v>
      </c>
      <c r="G6" s="1844"/>
      <c r="H6" s="1284" t="s">
        <v>1032</v>
      </c>
      <c r="I6" s="3192" t="s">
        <v>1398</v>
      </c>
      <c r="J6" s="345">
        <f ca="1">ROUND(M6*M8*M7*(1-M9),0)</f>
        <v>0</v>
      </c>
      <c r="K6" s="1827" t="s">
        <v>3015</v>
      </c>
      <c r="L6" s="346" t="s">
        <v>1400</v>
      </c>
      <c r="M6" s="347">
        <f ca="1">INDIRECT("'数据-取费表'!z"&amp;$G$1)</f>
        <v>0</v>
      </c>
    </row>
    <row r="7" spans="1:37" ht="18" customHeight="1">
      <c r="A7" s="1288"/>
      <c r="B7" s="3193"/>
      <c r="C7" s="1290"/>
      <c r="D7" s="351"/>
      <c r="E7" s="1291" t="s">
        <v>1401</v>
      </c>
      <c r="F7" s="347">
        <f ca="1">IF(INDIRECT("'数据-取费表'!ah"&amp;$G$1)="",INDIRECT("'数据-取费表'!k"&amp;$G$1),INDIRECT("'数据-取费表'!ah"&amp;$G$1))</f>
        <v>0</v>
      </c>
      <c r="G7" s="1844"/>
      <c r="H7" s="348"/>
      <c r="I7" s="3193"/>
      <c r="J7" s="350"/>
      <c r="K7" s="351"/>
      <c r="L7" s="346" t="s">
        <v>1401</v>
      </c>
      <c r="M7" s="347">
        <f ca="1">F7</f>
        <v>0</v>
      </c>
    </row>
    <row r="8" spans="1:37" ht="18" customHeight="1">
      <c r="A8" s="348"/>
      <c r="B8" s="3193"/>
      <c r="C8" s="350"/>
      <c r="D8" s="351"/>
      <c r="E8" s="346" t="s">
        <v>1402</v>
      </c>
      <c r="F8" s="347">
        <f ca="1">INDIRECT("'数据-取费表'!ai"&amp;$G$1)</f>
        <v>0</v>
      </c>
      <c r="G8" s="1844"/>
      <c r="H8" s="348"/>
      <c r="I8" s="3193"/>
      <c r="J8" s="350"/>
      <c r="K8" s="351"/>
      <c r="L8" s="346" t="s">
        <v>1402</v>
      </c>
      <c r="M8" s="347">
        <f ca="1">INDIRECT("'数据-取费表'!ai"&amp;$G$1)</f>
        <v>0</v>
      </c>
    </row>
    <row r="9" spans="1:37" ht="18" customHeight="1">
      <c r="A9" s="348"/>
      <c r="B9" s="3194"/>
      <c r="C9" s="350"/>
      <c r="D9" s="351"/>
      <c r="E9" s="346" t="s">
        <v>1403</v>
      </c>
      <c r="F9" s="356">
        <f ca="1">INDIRECT("'数据-取费表'!w"&amp;$G$1)</f>
        <v>0</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c r="G10" s="1844"/>
      <c r="H10" s="1284" t="s">
        <v>1036</v>
      </c>
      <c r="I10" s="1816" t="s">
        <v>1404</v>
      </c>
      <c r="J10" s="345">
        <f ca="1">ROUND(IF(M10="押一",J6/12*M11,IF(M10="押二",J6/12*2*M11,IF(M10="押三",J6/12*3*M11,J11*M11))),0)</f>
        <v>0</v>
      </c>
      <c r="K10" s="1828" t="s">
        <v>3027</v>
      </c>
      <c r="L10" s="357" t="s">
        <v>1405</v>
      </c>
      <c r="M10" s="1359"/>
    </row>
    <row r="11" spans="1:37" ht="18" customHeight="1">
      <c r="A11" s="352"/>
      <c r="B11" s="1818" t="s">
        <v>1596</v>
      </c>
      <c r="C11" s="1171"/>
      <c r="D11" s="351"/>
      <c r="E11" s="357" t="s">
        <v>1407</v>
      </c>
      <c r="F11" s="358">
        <f ca="1">'数据-取费表'!B39</f>
        <v>1.4999999999999999E-2</v>
      </c>
      <c r="G11" s="1844"/>
      <c r="H11" s="1292"/>
      <c r="I11" s="1818" t="s">
        <v>1597</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0</v>
      </c>
      <c r="D13" s="1324" t="s">
        <v>1410</v>
      </c>
      <c r="E13" s="1324" t="s">
        <v>1411</v>
      </c>
      <c r="F13" s="1325">
        <f ca="1">INDIRECT("'数据-取费表'!y"&amp;$G$1)</f>
        <v>0</v>
      </c>
      <c r="G13" s="1844"/>
      <c r="H13" s="1322">
        <v>2</v>
      </c>
      <c r="I13" s="1323" t="s">
        <v>1409</v>
      </c>
      <c r="J13" s="1283">
        <f ca="1">ROUND(J14*J15,0)</f>
        <v>0</v>
      </c>
      <c r="K13" s="1330" t="s">
        <v>1410</v>
      </c>
      <c r="L13" s="1845"/>
      <c r="M13" s="1846"/>
    </row>
    <row r="14" spans="1:37" ht="18" customHeight="1">
      <c r="A14" s="1194" t="s">
        <v>1031</v>
      </c>
      <c r="B14" s="346" t="s">
        <v>1412</v>
      </c>
      <c r="C14" s="362">
        <f ca="1">ROUND(INDIRECT("'数据-取费表'!l"&amp;$G$1)*F43+'数据-取费表'!L14*INDIRECT("'数据-取费表'!S"&amp;$G$1),0)</f>
        <v>0</v>
      </c>
      <c r="D14" s="1793" t="s">
        <v>1413</v>
      </c>
      <c r="E14" s="1787"/>
      <c r="F14" s="363"/>
      <c r="G14" s="1844"/>
      <c r="H14" s="1194" t="s">
        <v>1032</v>
      </c>
      <c r="I14" s="346" t="s">
        <v>1414</v>
      </c>
      <c r="J14" s="24">
        <f ca="1">C29</f>
        <v>0</v>
      </c>
      <c r="K14" s="15"/>
      <c r="L14" s="972"/>
      <c r="M14" s="973"/>
    </row>
    <row r="15" spans="1:37" s="1851" customFormat="1" ht="18" customHeight="1" thickBot="1">
      <c r="A15" s="1194" t="s">
        <v>1033</v>
      </c>
      <c r="B15" s="346" t="s">
        <v>1415</v>
      </c>
      <c r="C15" s="24">
        <f ca="1">ROUND(C14*F15,0)</f>
        <v>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ROUND(INDIRECT("'数据-取费表'!l"&amp;$G$1)*F43*F16,0)</f>
        <v>0</v>
      </c>
      <c r="D16" s="346" t="s">
        <v>1416</v>
      </c>
      <c r="E16" s="346" t="s">
        <v>1417</v>
      </c>
      <c r="F16" s="366">
        <f ca="1">IF(INDIRECT("'数据-取费表'!c"&amp;$G$1)="住宅",'数据-取费表'!B34,0)</f>
        <v>0</v>
      </c>
      <c r="G16" s="1844"/>
      <c r="H16" s="1322" t="s">
        <v>1027</v>
      </c>
      <c r="I16" s="1323" t="s">
        <v>1419</v>
      </c>
      <c r="J16" s="354">
        <f ca="1">ROUND(J17+J22+J23+J24,0)</f>
        <v>0</v>
      </c>
      <c r="K16" s="1330" t="s">
        <v>1420</v>
      </c>
      <c r="L16" s="1331"/>
      <c r="M16" s="1287"/>
    </row>
    <row r="17" spans="1:37" s="1851" customFormat="1" ht="18" customHeight="1">
      <c r="A17" s="1194" t="s">
        <v>1385</v>
      </c>
      <c r="B17" s="346" t="s">
        <v>1421</v>
      </c>
      <c r="C17" s="24">
        <f ca="1">ROUND(F17*(F43+INDIRECT("'数据-取费表'!S"&amp;$G$1)),0)</f>
        <v>0</v>
      </c>
      <c r="D17" s="346" t="s">
        <v>1422</v>
      </c>
      <c r="E17" s="346" t="s">
        <v>1423</v>
      </c>
      <c r="F17" s="26">
        <f>'数据-取费表'!B35</f>
        <v>200</v>
      </c>
      <c r="G17" s="1847"/>
      <c r="H17" s="1194" t="s">
        <v>1032</v>
      </c>
      <c r="I17" s="346" t="s">
        <v>1424</v>
      </c>
      <c r="J17" s="24">
        <f ca="1">ROUND(IF(项目基本情况!B11="自然人",J6*M17/(1+'数据-取费表'!C42),J18+J19+J20),0)</f>
        <v>0</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0</v>
      </c>
      <c r="D18" s="346" t="s">
        <v>1416</v>
      </c>
      <c r="E18" s="346" t="s">
        <v>1417</v>
      </c>
      <c r="F18" s="366">
        <f>'数据-取费表'!B36</f>
        <v>1.4999999999999999E-2</v>
      </c>
      <c r="G18" s="1847"/>
      <c r="H18" s="1194" t="s">
        <v>1031</v>
      </c>
      <c r="I18" s="346" t="s">
        <v>1428</v>
      </c>
      <c r="J18" s="24">
        <f ca="1">ROUND(J6*M18/(1+'数据-取费表'!C42),0)</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0</v>
      </c>
      <c r="D19" s="139" t="s">
        <v>1431</v>
      </c>
      <c r="E19" s="1811"/>
      <c r="F19" s="26"/>
      <c r="G19" s="1844"/>
      <c r="H19" s="1194" t="s">
        <v>1033</v>
      </c>
      <c r="I19" s="346" t="s">
        <v>1432</v>
      </c>
      <c r="J19" s="24">
        <f ca="1">IF(K19="按租金收入计税",ROUND(J6*M19/(1+'数据-取费表'!C42),0),ROUND(C29*M19*0.7,0))</f>
        <v>0</v>
      </c>
      <c r="K19" s="1821" t="s">
        <v>1433</v>
      </c>
      <c r="L19" s="346" t="s">
        <v>1417</v>
      </c>
      <c r="M19" s="366">
        <f>IF(K19="按租金收入计税",'数据-取费表'!B51,'数据-取费表'!B50)</f>
        <v>1.2E-2</v>
      </c>
    </row>
    <row r="20" spans="1:37" s="1851" customFormat="1" ht="18" customHeight="1">
      <c r="A20" s="1194" t="s">
        <v>1036</v>
      </c>
      <c r="B20" s="346" t="s">
        <v>1434</v>
      </c>
      <c r="C20" s="24">
        <f ca="1">ROUND(C19*F20,0)</f>
        <v>0</v>
      </c>
      <c r="D20" s="368" t="s">
        <v>1435</v>
      </c>
      <c r="E20" s="346" t="s">
        <v>1417</v>
      </c>
      <c r="F20" s="366">
        <f>'数据-取费表'!B37</f>
        <v>1.4999999999999999E-2</v>
      </c>
      <c r="G20" s="1847"/>
      <c r="H20" s="1194" t="s">
        <v>1384</v>
      </c>
      <c r="I20" s="163" t="s">
        <v>1436</v>
      </c>
      <c r="J20" s="25">
        <f ca="1">ROUND(M20*M21,0)</f>
        <v>0</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ROUND(J14*M22,0)</f>
        <v>0</v>
      </c>
      <c r="K22" s="1791" t="s">
        <v>1445</v>
      </c>
      <c r="L22" s="346" t="s">
        <v>1417</v>
      </c>
      <c r="M22" s="373">
        <f ca="1">INDIRECT("'数据-取费表'!Ak"&amp;$G$1)</f>
        <v>0</v>
      </c>
    </row>
    <row r="23" spans="1:37" s="1851" customFormat="1" ht="18" customHeight="1">
      <c r="A23" s="1194"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ROUND(J13*M23,0)</f>
        <v>0</v>
      </c>
      <c r="K23" s="1791" t="s">
        <v>1449</v>
      </c>
      <c r="L23" s="346" t="s">
        <v>1450</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ROUND(J5*M24,0)</f>
        <v>0</v>
      </c>
      <c r="K24" s="1335" t="s">
        <v>1454</v>
      </c>
      <c r="L24" s="1333" t="s">
        <v>1450</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1455</v>
      </c>
      <c r="B25" s="346" t="s">
        <v>1456</v>
      </c>
      <c r="C25" s="24"/>
      <c r="D25" s="139" t="s">
        <v>1457</v>
      </c>
      <c r="E25" s="1811"/>
      <c r="F25" s="26"/>
      <c r="G25" s="1844"/>
      <c r="H25" s="1322" t="s">
        <v>1028</v>
      </c>
      <c r="I25" s="1337" t="s">
        <v>1458</v>
      </c>
      <c r="J25" s="354">
        <f ca="1">J5-J16</f>
        <v>0</v>
      </c>
      <c r="K25" s="1338" t="s">
        <v>1459</v>
      </c>
      <c r="L25" s="1339"/>
      <c r="M25" s="1340"/>
    </row>
    <row r="26" spans="1:37" ht="18" customHeight="1">
      <c r="A26" s="1194" t="s">
        <v>1031</v>
      </c>
      <c r="B26" s="346" t="s">
        <v>1460</v>
      </c>
      <c r="C26" s="24">
        <f ca="1">ROUND((C19+C20)*F26,0)</f>
        <v>0</v>
      </c>
      <c r="D26" s="368" t="s">
        <v>1461</v>
      </c>
      <c r="E26" s="357" t="s">
        <v>1462</v>
      </c>
      <c r="F26" s="356">
        <f ca="1">INDIRECT("'数据-取费表'!q"&amp;$G$1)</f>
        <v>0</v>
      </c>
      <c r="G26" s="1844"/>
      <c r="H26" s="343" t="s">
        <v>1029</v>
      </c>
      <c r="I26" s="344" t="s">
        <v>1463</v>
      </c>
      <c r="J26" s="345">
        <f ca="1">IF(J5&lt;&gt;0,ROUND(J25*(1-((1+M28)/(1+M26))^M27)/(M26-M28),0),0)</f>
        <v>0</v>
      </c>
      <c r="K26" s="369" t="s">
        <v>1464</v>
      </c>
      <c r="L26" s="346" t="s">
        <v>1465</v>
      </c>
      <c r="M26" s="356">
        <f ca="1">INDIRECT("'数据-取费表'!I"&amp;$G$1)</f>
        <v>0</v>
      </c>
    </row>
    <row r="27" spans="1:37" ht="18" customHeight="1">
      <c r="A27" s="1194" t="s">
        <v>1033</v>
      </c>
      <c r="B27" s="346" t="s">
        <v>1466</v>
      </c>
      <c r="C27" s="24">
        <f ca="1">ROUND(F21*F26,4)</f>
        <v>0</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0</v>
      </c>
      <c r="D29" s="1335"/>
      <c r="E29" s="1333"/>
      <c r="F29" s="1336"/>
      <c r="G29" s="1847"/>
      <c r="H29" s="379" t="s">
        <v>1030</v>
      </c>
      <c r="I29" s="380" t="s">
        <v>1474</v>
      </c>
      <c r="J29" s="381">
        <f ca="1">ROUND(J26/(1+F40)^F41,0)</f>
        <v>0</v>
      </c>
      <c r="K29" s="382" t="s">
        <v>1475</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0</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ROUND(IF(项目基本情况!B11="自然人",C6*F31/(1+'数据-取费表'!C42),C32+C33+C34),0)</f>
        <v>0</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IF(项目基本情况!B11="自然人","——",ROUND(C6*F32/(1+'数据-取费表'!C42),0))</f>
        <v>0</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IF(项目基本情况!B11="自然人","——",IF(D33="按租金收入计税",ROUND(C6*F33/(1+'数据-取费表'!C42),0),IF(D33="按房产原值计税",ROUND(C29*F33*0.7,0),INDIRECT("'数据-取费表'!Aj"&amp;$G$1))))</f>
        <v>0</v>
      </c>
      <c r="D33" s="1821" t="s">
        <v>1433</v>
      </c>
      <c r="E33" s="346" t="s">
        <v>1417</v>
      </c>
      <c r="F33" s="366">
        <f>IF(D33="按票据","——",IF(D33="按租金收入计税",'数据-取费表'!B51,'数据-取费表'!B50))</f>
        <v>1.2E-2</v>
      </c>
      <c r="G33" s="1844"/>
      <c r="H33" s="1852"/>
      <c r="I33" s="1853"/>
      <c r="J33" s="1854"/>
      <c r="K33" s="1855"/>
      <c r="L33" s="1852"/>
      <c r="M33" s="1852"/>
    </row>
    <row r="34" spans="1:18" ht="18" customHeight="1">
      <c r="A34" s="1284" t="s">
        <v>1384</v>
      </c>
      <c r="B34" s="163" t="s">
        <v>1436</v>
      </c>
      <c r="C34" s="25">
        <f ca="1">IF(项目基本情况!B11="自然人","——",ROUND(F34*F35,))</f>
        <v>0</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0</v>
      </c>
      <c r="G35" s="1844"/>
      <c r="H35" s="744"/>
      <c r="I35" s="1853"/>
      <c r="J35" s="1854"/>
      <c r="K35" s="1855"/>
      <c r="L35" s="1852"/>
      <c r="M35" s="1852"/>
    </row>
    <row r="36" spans="1:18" ht="18" customHeight="1">
      <c r="A36" s="1345" t="s">
        <v>1036</v>
      </c>
      <c r="B36" s="346" t="s">
        <v>1444</v>
      </c>
      <c r="C36" s="24">
        <f ca="1">ROUND(C29*F36,0)</f>
        <v>0</v>
      </c>
      <c r="D36" s="1791" t="s">
        <v>1477</v>
      </c>
      <c r="E36" s="346" t="s">
        <v>1417</v>
      </c>
      <c r="F36" s="373">
        <f ca="1">INDIRECT("'数据-取费表'!Ak"&amp;$G$1)</f>
        <v>0</v>
      </c>
      <c r="G36" s="1844"/>
      <c r="H36" s="1852"/>
      <c r="I36" s="1853"/>
      <c r="J36" s="1854"/>
      <c r="K36" s="750"/>
      <c r="L36" s="1852"/>
      <c r="M36" s="1852"/>
    </row>
    <row r="37" spans="1:18" ht="18" customHeight="1">
      <c r="A37" s="1194" t="s">
        <v>1072</v>
      </c>
      <c r="B37" s="346" t="s">
        <v>1448</v>
      </c>
      <c r="C37" s="24">
        <f ca="1">ROUND(C13*F37,0)</f>
        <v>0</v>
      </c>
      <c r="D37" s="1791" t="s">
        <v>1449</v>
      </c>
      <c r="E37" s="346" t="s">
        <v>1450</v>
      </c>
      <c r="F37" s="375">
        <f ca="1">INDIRECT("'数据-取费表'!Al"&amp;$G$1)</f>
        <v>0</v>
      </c>
      <c r="G37" s="1844"/>
      <c r="H37" s="1852"/>
      <c r="I37" s="1853"/>
      <c r="J37" s="1854"/>
      <c r="K37" s="750"/>
      <c r="L37" s="1852"/>
      <c r="M37" s="1852"/>
    </row>
    <row r="38" spans="1:18" ht="18" customHeight="1" thickBot="1">
      <c r="A38" s="1332" t="s">
        <v>1388</v>
      </c>
      <c r="B38" s="1333" t="s">
        <v>1434</v>
      </c>
      <c r="C38" s="1334">
        <f ca="1">ROUND(C5*F38,1)</f>
        <v>0</v>
      </c>
      <c r="D38" s="1335" t="s">
        <v>1454</v>
      </c>
      <c r="E38" s="1333" t="s">
        <v>1450</v>
      </c>
      <c r="F38" s="1329">
        <f ca="1">INDIRECT("'数据-取费表'!Am"&amp;$G$1)</f>
        <v>0</v>
      </c>
      <c r="G38" s="1844"/>
      <c r="H38" s="1852"/>
      <c r="I38" s="1853"/>
      <c r="J38" s="1854"/>
      <c r="K38" s="1858"/>
      <c r="L38" s="1852"/>
      <c r="M38" s="1852"/>
    </row>
    <row r="39" spans="1:18" ht="24.6" customHeight="1" thickTop="1">
      <c r="A39" s="1322" t="s">
        <v>1028</v>
      </c>
      <c r="B39" s="1337" t="s">
        <v>1478</v>
      </c>
      <c r="C39" s="354">
        <f ca="1">C5-C30</f>
        <v>0</v>
      </c>
      <c r="D39" s="1338" t="s">
        <v>1479</v>
      </c>
      <c r="E39" s="1339"/>
      <c r="F39" s="1340"/>
      <c r="G39" s="1844"/>
      <c r="H39" s="1852"/>
      <c r="I39" s="1853"/>
      <c r="J39" s="1854"/>
      <c r="K39" s="1858"/>
      <c r="L39" s="1852"/>
      <c r="M39" s="1852"/>
    </row>
    <row r="40" spans="1:18" ht="18" customHeight="1">
      <c r="A40" s="343" t="s">
        <v>1029</v>
      </c>
      <c r="B40" s="344" t="s">
        <v>1480</v>
      </c>
      <c r="C40" s="345" t="e">
        <f ca="1">ROUND(C39*(1-((1+F42)/(1+F40))^F41)/(F40-F42),0)</f>
        <v>#DIV/0!</v>
      </c>
      <c r="D40" s="369" t="s">
        <v>1464</v>
      </c>
      <c r="E40" s="346" t="s">
        <v>1465</v>
      </c>
      <c r="F40" s="356">
        <f ca="1">INDIRECT("'数据-取费表'!I"&amp;$G$1)</f>
        <v>0</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0</v>
      </c>
      <c r="G41" s="1844"/>
      <c r="H41" s="731"/>
      <c r="I41" s="1853"/>
      <c r="J41" s="1854"/>
      <c r="K41" s="750"/>
      <c r="L41" s="731"/>
      <c r="M41" s="731"/>
    </row>
    <row r="42" spans="1:18" ht="18" customHeight="1">
      <c r="A42" s="352"/>
      <c r="B42" s="353"/>
      <c r="C42" s="354"/>
      <c r="D42" s="372"/>
      <c r="E42" s="346" t="s">
        <v>1472</v>
      </c>
      <c r="F42" s="356">
        <f ca="1">INDIRECT("'数据-取费表'!v"&amp;$G$1)</f>
        <v>0</v>
      </c>
      <c r="G42" s="1844"/>
      <c r="H42" s="731"/>
      <c r="I42" s="1853"/>
      <c r="J42" s="1854"/>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1598</v>
      </c>
      <c r="E45" s="1859"/>
      <c r="F45" s="1859"/>
      <c r="O45" s="1862" t="s">
        <v>1514</v>
      </c>
      <c r="P45" s="1832"/>
      <c r="Q45" s="1832"/>
      <c r="R45" s="1832"/>
    </row>
    <row r="46" spans="1:18" s="1835" customFormat="1" ht="13.8" thickBot="1">
      <c r="A46" s="1863" t="s">
        <v>1515</v>
      </c>
      <c r="C46" s="1864" t="e">
        <f ca="1">ROUND(C45/10000,0)</f>
        <v>#DIV/0!</v>
      </c>
      <c r="D46" s="1865" t="str">
        <f>C2</f>
        <v>万元</v>
      </c>
      <c r="I46" s="1866" t="s">
        <v>1516</v>
      </c>
      <c r="J46" s="1867"/>
      <c r="K46" s="1868"/>
      <c r="L46" s="1869" t="e">
        <f ca="1">IF(M47="住宅",0,IF(L48&gt;J51,L60,J60))</f>
        <v>#DIV/0!</v>
      </c>
      <c r="O46" s="1870" t="s">
        <v>1517</v>
      </c>
      <c r="P46" s="1871" t="s">
        <v>1518</v>
      </c>
      <c r="Q46" s="1872" t="s">
        <v>1519</v>
      </c>
      <c r="R46" s="1872" t="s">
        <v>1520</v>
      </c>
    </row>
    <row r="47" spans="1:18" s="1835" customFormat="1" ht="13.8" thickBot="1">
      <c r="A47" s="1158" t="s">
        <v>1391</v>
      </c>
      <c r="B47" s="1190" t="s">
        <v>1392</v>
      </c>
      <c r="C47" s="1190" t="s">
        <v>1393</v>
      </c>
      <c r="D47" s="1190" t="s">
        <v>1394</v>
      </c>
      <c r="E47" s="1272" t="s">
        <v>1395</v>
      </c>
      <c r="F47" s="1273"/>
      <c r="G47" s="791"/>
      <c r="I47" s="1873" t="s">
        <v>1521</v>
      </c>
      <c r="J47" s="1874"/>
      <c r="K47" s="1875" t="s">
        <v>1522</v>
      </c>
      <c r="L47" s="1876">
        <f ca="1">INDIRECT("'数据-取费表'!d"&amp;$G$1)</f>
        <v>0</v>
      </c>
      <c r="M47" s="1831" t="str">
        <f>IF(ISNUMBER(FIND("住宅",C1)),"住宅","非住宅")</f>
        <v>非住宅</v>
      </c>
      <c r="O47" s="1877" t="s">
        <v>1037</v>
      </c>
      <c r="P47" s="1878" t="s">
        <v>1523</v>
      </c>
      <c r="Q47" s="1879" t="e">
        <f ca="1">C40+J29</f>
        <v>#DIV/0!</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c r="K48" s="1882" t="s">
        <v>1526</v>
      </c>
      <c r="L48" s="1883">
        <f ca="1">INDIRECT("'数据-取费表'!f"&amp;$G$1)</f>
        <v>0</v>
      </c>
      <c r="O48" s="1877" t="s">
        <v>1038</v>
      </c>
      <c r="P48" s="1878" t="s">
        <v>1527</v>
      </c>
      <c r="Q48" s="1879" t="e">
        <f ca="1">J60</f>
        <v>#DIV/0!</v>
      </c>
      <c r="R48" s="1879" t="s">
        <v>1528</v>
      </c>
    </row>
    <row r="49" spans="1:18" s="1835" customFormat="1" ht="13.8" thickBot="1">
      <c r="A49" s="1187" t="s">
        <v>1133</v>
      </c>
      <c r="B49" s="1822" t="s">
        <v>1485</v>
      </c>
      <c r="C49" s="1357">
        <f ca="1">ROUND(F49*F51*F50*(1-F52),0)</f>
        <v>0</v>
      </c>
      <c r="D49" s="1269" t="s">
        <v>1399</v>
      </c>
      <c r="E49" s="1823" t="s">
        <v>1486</v>
      </c>
      <c r="F49" s="1274"/>
      <c r="G49" s="1884"/>
      <c r="H49" s="792"/>
      <c r="I49" s="1880" t="s">
        <v>1529</v>
      </c>
      <c r="J49" s="1885"/>
      <c r="K49" s="1882" t="s">
        <v>1530</v>
      </c>
      <c r="L49" s="1886"/>
      <c r="O49" s="1887" t="s">
        <v>1039</v>
      </c>
      <c r="P49" s="1878" t="s">
        <v>1531</v>
      </c>
      <c r="Q49" s="1879">
        <f ca="1">C29</f>
        <v>0</v>
      </c>
      <c r="R49" s="1879" t="s">
        <v>1524</v>
      </c>
    </row>
    <row r="50" spans="1:18" s="1835" customFormat="1" ht="13.8" thickBot="1">
      <c r="A50" s="1188"/>
      <c r="B50" s="1191"/>
      <c r="C50" s="1192"/>
      <c r="D50" s="1165"/>
      <c r="E50" s="1270" t="s">
        <v>1401</v>
      </c>
      <c r="F50" s="1271">
        <f ca="1">F7</f>
        <v>0</v>
      </c>
      <c r="H50" s="792"/>
      <c r="I50" s="1880" t="s">
        <v>1532</v>
      </c>
      <c r="J50" s="1888">
        <f>SUMPRODUCT((I63:I65=J47)*(J62:L62=J48)*(J63:L65))</f>
        <v>0</v>
      </c>
      <c r="K50" s="1882" t="s">
        <v>1533</v>
      </c>
      <c r="L50" s="1886"/>
      <c r="M50" s="1889"/>
      <c r="O50" s="1887" t="s">
        <v>1040</v>
      </c>
      <c r="P50" s="1878" t="s">
        <v>1534</v>
      </c>
      <c r="Q50" s="1890" t="e">
        <f ca="1">J58</f>
        <v>#DIV/0!</v>
      </c>
      <c r="R50" s="1879"/>
    </row>
    <row r="51" spans="1:18" s="1835" customFormat="1" ht="13.8" thickBot="1">
      <c r="A51" s="1189"/>
      <c r="B51" s="1191"/>
      <c r="C51" s="1192"/>
      <c r="D51" s="1165"/>
      <c r="E51" s="1193" t="s">
        <v>1402</v>
      </c>
      <c r="F51" s="347">
        <f ca="1">F8</f>
        <v>0</v>
      </c>
      <c r="I51" s="1891" t="s">
        <v>1535</v>
      </c>
      <c r="J51" s="1892">
        <f>IF(J49="",J50,J49+J50-YEAR('数据-取费表'!B2))</f>
        <v>0</v>
      </c>
      <c r="K51" s="1893" t="s">
        <v>1536</v>
      </c>
      <c r="L51" s="1894">
        <f ca="1">ROUND(-PV(INDIRECT("'数据-取费表'!h"&amp;$G$1),L48,(C39-C13*C76),0),0)</f>
        <v>0</v>
      </c>
      <c r="M51" s="1895"/>
      <c r="O51" s="1887" t="s">
        <v>1041</v>
      </c>
      <c r="P51" s="1878" t="s">
        <v>1537</v>
      </c>
      <c r="Q51" s="1890">
        <f>J52</f>
        <v>0</v>
      </c>
      <c r="R51" s="1879"/>
    </row>
    <row r="52" spans="1:18" s="1835" customFormat="1" ht="13.8" thickBot="1">
      <c r="A52" s="1189"/>
      <c r="B52" s="1191"/>
      <c r="C52" s="1192"/>
      <c r="D52" s="1165"/>
      <c r="E52" s="1193" t="s">
        <v>1403</v>
      </c>
      <c r="F52" s="1268"/>
      <c r="I52" s="1896" t="s">
        <v>1538</v>
      </c>
      <c r="J52" s="1897"/>
      <c r="K52" s="1896" t="s">
        <v>1539</v>
      </c>
      <c r="L52" s="1897"/>
      <c r="O52" s="1887" t="s">
        <v>1042</v>
      </c>
      <c r="P52" s="1878" t="s">
        <v>1540</v>
      </c>
      <c r="Q52" s="1879">
        <f ca="1">J53</f>
        <v>0</v>
      </c>
      <c r="R52" s="1879" t="s">
        <v>1541</v>
      </c>
    </row>
    <row r="53" spans="1:18" s="1835" customFormat="1" ht="30.75" customHeight="1" thickBot="1">
      <c r="A53" s="1354" t="s">
        <v>1134</v>
      </c>
      <c r="B53" s="368" t="s">
        <v>1404</v>
      </c>
      <c r="C53" s="360">
        <f ca="1">ROUND(IF(F53="押一",C49/12*F11,IF(F53="押二",C49/12*2*F11,IF(F53="押三",C49/12*3*F11,C54*F11))),0)</f>
        <v>0</v>
      </c>
      <c r="D53" s="1817" t="s">
        <v>3028</v>
      </c>
      <c r="E53" s="357" t="s">
        <v>1405</v>
      </c>
      <c r="F53" s="1359"/>
      <c r="I53" s="1898" t="s">
        <v>1542</v>
      </c>
      <c r="J53" s="2947">
        <f ca="1">IF(M47="住宅",IF(D1="——",MAX(J51,L48),MAX(J51,L48-'数据-取费表'!B24)),IF(D1="——",MIN(J51,L48),MIN(J51,L48-'数据-取费表'!B24)))</f>
        <v>0</v>
      </c>
      <c r="K53" s="3195" t="s">
        <v>1543</v>
      </c>
      <c r="L53" s="3196"/>
      <c r="O53" s="1877" t="s">
        <v>1043</v>
      </c>
      <c r="P53" s="1878" t="s">
        <v>1544</v>
      </c>
      <c r="Q53" s="1879" t="e">
        <f ca="1">Q47+Q48</f>
        <v>#DIV/0!</v>
      </c>
      <c r="R53" s="1879" t="s">
        <v>1044</v>
      </c>
    </row>
    <row r="54" spans="1:18" s="1835" customFormat="1" ht="13.8" thickBot="1">
      <c r="A54" s="1187"/>
      <c r="B54" s="1933" t="s">
        <v>1597</v>
      </c>
      <c r="C54" s="1171"/>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#DIV/0!</v>
      </c>
      <c r="K55" s="1904" t="s">
        <v>1547</v>
      </c>
      <c r="L55" s="1905"/>
      <c r="O55" s="1870" t="s">
        <v>1517</v>
      </c>
      <c r="P55" s="1871" t="s">
        <v>1518</v>
      </c>
      <c r="Q55" s="1872" t="s">
        <v>1519</v>
      </c>
      <c r="R55" s="1872" t="s">
        <v>1520</v>
      </c>
    </row>
    <row r="56" spans="1:18" s="1835" customFormat="1" ht="36" customHeight="1" thickTop="1" thickBot="1">
      <c r="A56" s="1169">
        <v>2</v>
      </c>
      <c r="B56" s="1170" t="s">
        <v>1409</v>
      </c>
      <c r="C56" s="275">
        <f ca="1">C13</f>
        <v>0</v>
      </c>
      <c r="D56" s="1906"/>
      <c r="E56" s="1907"/>
      <c r="F56" s="1899"/>
      <c r="I56" s="1908" t="s">
        <v>1548</v>
      </c>
      <c r="J56" s="1909"/>
      <c r="K56" s="1880" t="s">
        <v>1549</v>
      </c>
      <c r="L56" s="1883">
        <f ca="1">IF(L48&lt;J51,"——",L48-J51)</f>
        <v>0</v>
      </c>
      <c r="O56" s="1877" t="s">
        <v>1037</v>
      </c>
      <c r="P56" s="1878" t="s">
        <v>1523</v>
      </c>
      <c r="Q56" s="1879" t="e">
        <f ca="1">C40+J29</f>
        <v>#DIV/0!</v>
      </c>
      <c r="R56" s="1879" t="s">
        <v>1524</v>
      </c>
    </row>
    <row r="57" spans="1:18" s="1835" customFormat="1" ht="24.6" thickBot="1">
      <c r="A57" s="1910"/>
      <c r="B57" s="1162" t="s">
        <v>1473</v>
      </c>
      <c r="C57" s="281">
        <f ca="1">C29</f>
        <v>0</v>
      </c>
      <c r="D57" s="1911"/>
      <c r="E57" s="1912"/>
      <c r="F57" s="1913"/>
      <c r="I57" s="1914" t="s">
        <v>1550</v>
      </c>
      <c r="J57" s="1915">
        <f ca="1">IF(OR(M47="住宅",J51&lt;L48,J56="是"),"——",J51-L48)</f>
        <v>0</v>
      </c>
      <c r="K57" s="1880" t="s">
        <v>1599</v>
      </c>
      <c r="L57" s="1883">
        <f ca="1">IF(L48&lt;J51,"——",IF(L55="比较法",L49,IF(L55="基准地价",L50,L51)))</f>
        <v>0</v>
      </c>
      <c r="O57" s="1877" t="s">
        <v>1038</v>
      </c>
      <c r="P57" s="1878" t="s">
        <v>1600</v>
      </c>
      <c r="Q57" s="1879" t="e">
        <f ca="1">L60</f>
        <v>#DIV/0!</v>
      </c>
      <c r="R57" s="1879" t="s">
        <v>1601</v>
      </c>
    </row>
    <row r="58" spans="1:18" s="1835" customFormat="1" ht="24.6" thickBot="1">
      <c r="A58" s="359" t="s">
        <v>1027</v>
      </c>
      <c r="B58" s="1170" t="s">
        <v>1419</v>
      </c>
      <c r="C58" s="360">
        <f ca="1">ROUND(C59+C64+C65+C66,0)</f>
        <v>0</v>
      </c>
      <c r="D58" s="1172" t="s">
        <v>1420</v>
      </c>
      <c r="E58" s="1173"/>
      <c r="F58" s="1174"/>
      <c r="I58" s="1914" t="s">
        <v>1554</v>
      </c>
      <c r="J58" s="1916" t="e">
        <f ca="1">IF(J55&lt;0.4,0.4,J55)</f>
        <v>#DIV/0!</v>
      </c>
      <c r="K58" s="1893" t="s">
        <v>1602</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ROUND(IF(项目基本情况!B11="自然人",C48*F59,C60+C61+C62),0)</f>
        <v>0</v>
      </c>
      <c r="D59" s="1175" t="s">
        <v>1425</v>
      </c>
      <c r="E59" s="1176" t="s">
        <v>1426</v>
      </c>
      <c r="F59" s="367" t="str">
        <f ca="1">IF(项目基本情况!B11="企业","",IF(INDIRECT("'数据-取费表'!c"&amp;$G$1)="住宅",5%,IF(F49*F50*F51/12/(1+'数据-取费表'!C42)&gt;20000,12%,7%)))</f>
        <v/>
      </c>
      <c r="I59" s="1914" t="s">
        <v>1557</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IF(项目基本情况!B11="自然人","——",ROUND(C48*F60/(1+'数据-取费表'!C42),0))</f>
        <v>0</v>
      </c>
      <c r="D60" s="1176" t="s">
        <v>1429</v>
      </c>
      <c r="E60" s="1162" t="s">
        <v>1417</v>
      </c>
      <c r="F60" s="376">
        <f t="shared" ref="F60:F66" si="0">F32</f>
        <v>5.6000000000000001E-2</v>
      </c>
      <c r="I60" s="1917" t="s">
        <v>1559</v>
      </c>
      <c r="J60" s="1918" t="e">
        <f ca="1">IF(OR(M47="住宅",J51&lt;L48,J56="是"),"0",ROUND(J59/(1+J52)^J53,0))</f>
        <v>#DIV/0!</v>
      </c>
      <c r="K60" s="1919" t="s">
        <v>1560</v>
      </c>
      <c r="L60" s="1918" t="e">
        <f ca="1">IF(OR(M47="住宅",L48&lt;J51),0,ROUND(L57*(L58/L59-1),0))</f>
        <v>#DIV/0!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IF(项目基本情况!B11="自然人","——",IF(D61="按租金收入计税",ROUND(C48*F61,0),IF(D61="按房产原值计税",ROUND(C57*F61*0.7,0),INDIRECT("'数据-取费表'!Aj"&amp;$G$1))))</f>
        <v>0</v>
      </c>
      <c r="D61" s="1821" t="s">
        <v>1433</v>
      </c>
      <c r="E61" s="1162" t="s">
        <v>1489</v>
      </c>
      <c r="F61" s="366">
        <f t="shared" si="0"/>
        <v>1.2E-2</v>
      </c>
      <c r="I61" s="1920"/>
      <c r="J61" s="1920"/>
      <c r="K61" s="1920"/>
      <c r="L61" s="1920"/>
      <c r="O61" s="1887" t="s">
        <v>1042</v>
      </c>
      <c r="P61" s="1878" t="str">
        <f>K59</f>
        <v>建设期及建筑物耐用年限下的土地年期修正系数Kn</v>
      </c>
      <c r="Q61" s="1879" t="e">
        <f ca="1">L59</f>
        <v>#DIV/0!</v>
      </c>
      <c r="R61" s="1879" t="s">
        <v>1563</v>
      </c>
    </row>
    <row r="62" spans="1:18" s="1835" customFormat="1" ht="13.8" thickBot="1">
      <c r="A62" s="1194" t="s">
        <v>1490</v>
      </c>
      <c r="B62" s="1161" t="s">
        <v>1491</v>
      </c>
      <c r="C62" s="25">
        <f ca="1">IF(项目基本情况!B11="自然人","——",ROUND(F62*F63,0))</f>
        <v>0</v>
      </c>
      <c r="D62" s="1177" t="s">
        <v>1492</v>
      </c>
      <c r="E62" s="1162" t="s">
        <v>1493</v>
      </c>
      <c r="F62" s="370">
        <f t="shared" si="0"/>
        <v>8</v>
      </c>
      <c r="I62" s="1921" t="s">
        <v>1564</v>
      </c>
      <c r="J62" s="1922" t="s">
        <v>1565</v>
      </c>
      <c r="K62" s="1922" t="s">
        <v>1566</v>
      </c>
      <c r="L62" s="1922" t="s">
        <v>1567</v>
      </c>
      <c r="M62" s="1923" t="s">
        <v>1568</v>
      </c>
      <c r="O62" s="1877" t="s">
        <v>1043</v>
      </c>
      <c r="P62" s="1878" t="s">
        <v>1569</v>
      </c>
      <c r="Q62" s="1879" t="e">
        <f ca="1">Q56+Q57</f>
        <v>#DIV/0!</v>
      </c>
      <c r="R62" s="1879" t="s">
        <v>1044</v>
      </c>
    </row>
    <row r="63" spans="1:18" s="1835" customFormat="1" ht="13.8" thickBot="1">
      <c r="A63" s="371"/>
      <c r="B63" s="1168"/>
      <c r="C63" s="29"/>
      <c r="D63" s="1178"/>
      <c r="E63" s="1162" t="s">
        <v>1494</v>
      </c>
      <c r="F63" s="347">
        <f t="shared" ca="1" si="0"/>
        <v>0</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ROUND(C57*F64,0)</f>
        <v>0</v>
      </c>
      <c r="D64" s="1176" t="s">
        <v>1497</v>
      </c>
      <c r="E64" s="1162" t="s">
        <v>1489</v>
      </c>
      <c r="F64" s="373">
        <f t="shared" ca="1" si="0"/>
        <v>0</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ROUND(C56*F65,0)</f>
        <v>0</v>
      </c>
      <c r="D65" s="1176" t="s">
        <v>1449</v>
      </c>
      <c r="E65" s="1162" t="s">
        <v>1450</v>
      </c>
      <c r="F65" s="375">
        <f t="shared" ca="1" si="0"/>
        <v>0</v>
      </c>
      <c r="I65" s="1921" t="s">
        <v>1573</v>
      </c>
      <c r="J65" s="1922">
        <v>40</v>
      </c>
      <c r="K65" s="1922">
        <v>30</v>
      </c>
      <c r="L65" s="1922">
        <v>50</v>
      </c>
      <c r="M65" s="1924">
        <v>0.02</v>
      </c>
      <c r="O65" s="1877" t="s">
        <v>1037</v>
      </c>
      <c r="P65" s="1878" t="s">
        <v>1574</v>
      </c>
      <c r="Q65" s="1879" t="e">
        <f ca="1">C40+J29</f>
        <v>#DIV/0!</v>
      </c>
      <c r="R65" s="1879" t="s">
        <v>1524</v>
      </c>
    </row>
    <row r="66" spans="1:18" s="1835" customFormat="1" ht="16.2" thickBot="1">
      <c r="A66" s="1194" t="s">
        <v>1499</v>
      </c>
      <c r="B66" s="1162" t="s">
        <v>1434</v>
      </c>
      <c r="C66" s="24">
        <f ca="1">ROUND(C48*F66,0)</f>
        <v>0</v>
      </c>
      <c r="D66" s="1176" t="s">
        <v>1500</v>
      </c>
      <c r="E66" s="1162" t="s">
        <v>1417</v>
      </c>
      <c r="F66" s="356">
        <f t="shared" ca="1" si="0"/>
        <v>0</v>
      </c>
      <c r="O66" s="1877" t="s">
        <v>1038</v>
      </c>
      <c r="P66" s="1878" t="s">
        <v>1552</v>
      </c>
      <c r="Q66" s="1879" t="e">
        <f ca="1">L60</f>
        <v>#DIV/0!</v>
      </c>
      <c r="R66" s="1879" t="s">
        <v>1575</v>
      </c>
    </row>
    <row r="67" spans="1:18" s="1835" customFormat="1" ht="24.6" thickBot="1">
      <c r="A67" s="1169" t="s">
        <v>1028</v>
      </c>
      <c r="B67" s="1179" t="s">
        <v>1458</v>
      </c>
      <c r="C67" s="360">
        <f ca="1">C48-C58</f>
        <v>0</v>
      </c>
      <c r="D67" s="1175" t="s">
        <v>1459</v>
      </c>
      <c r="E67" s="1180"/>
      <c r="F67" s="1181"/>
      <c r="O67" s="1887" t="s">
        <v>1039</v>
      </c>
      <c r="P67" s="1878" t="s">
        <v>1556</v>
      </c>
      <c r="Q67" s="1925">
        <f ca="1">L51</f>
        <v>0</v>
      </c>
      <c r="R67" s="1879" t="s">
        <v>1576</v>
      </c>
    </row>
    <row r="68" spans="1:18" s="1835" customFormat="1" ht="16.2" thickBot="1">
      <c r="A68" s="1159" t="s">
        <v>1029</v>
      </c>
      <c r="B68" s="1160" t="s">
        <v>1480</v>
      </c>
      <c r="C68" s="345" t="e">
        <f ca="1">ROUND(C67*(1-((1+F70)/(1+F68))^F69)/(F68-F70),0)</f>
        <v>#DIV/0!</v>
      </c>
      <c r="D68" s="1177" t="s">
        <v>1464</v>
      </c>
      <c r="E68" s="1162" t="s">
        <v>1465</v>
      </c>
      <c r="F68" s="356">
        <f ca="1">F40</f>
        <v>0</v>
      </c>
      <c r="O68" s="1887" t="s">
        <v>1040</v>
      </c>
      <c r="P68" s="1926" t="s">
        <v>1577</v>
      </c>
      <c r="Q68" s="1879">
        <f ca="1">ROUND(Q69-Q70*Q71,0)</f>
        <v>0</v>
      </c>
      <c r="R68" s="1879" t="s">
        <v>1048</v>
      </c>
    </row>
    <row r="69" spans="1:18" s="1835" customFormat="1" ht="13.8" thickBot="1">
      <c r="A69" s="1163"/>
      <c r="B69" s="1164"/>
      <c r="C69" s="350"/>
      <c r="D69" s="1182" t="s">
        <v>1468</v>
      </c>
      <c r="E69" s="1162" t="s">
        <v>1469</v>
      </c>
      <c r="F69" s="378">
        <f ca="1">F41</f>
        <v>0</v>
      </c>
      <c r="O69" s="1887" t="s">
        <v>1045</v>
      </c>
      <c r="P69" s="1926" t="s">
        <v>1578</v>
      </c>
      <c r="Q69" s="1879">
        <f ca="1">C39</f>
        <v>0</v>
      </c>
      <c r="R69" s="1879" t="s">
        <v>1524</v>
      </c>
    </row>
    <row r="70" spans="1:18" s="1835" customFormat="1" ht="13.8" thickBot="1">
      <c r="A70" s="1166"/>
      <c r="B70" s="1167"/>
      <c r="C70" s="354"/>
      <c r="D70" s="1178"/>
      <c r="E70" s="1162" t="s">
        <v>1472</v>
      </c>
      <c r="F70" s="1268">
        <f ca="1">F42</f>
        <v>0</v>
      </c>
      <c r="O70" s="1887" t="s">
        <v>1046</v>
      </c>
      <c r="P70" s="1926" t="s">
        <v>1579</v>
      </c>
      <c r="Q70" s="1879">
        <f ca="1">C13</f>
        <v>0</v>
      </c>
      <c r="R70" s="1879" t="s">
        <v>1524</v>
      </c>
    </row>
    <row r="71" spans="1:18" s="1835" customFormat="1" ht="13.8" thickBot="1">
      <c r="A71" s="1183" t="s">
        <v>1030</v>
      </c>
      <c r="B71" s="1184" t="s">
        <v>1482</v>
      </c>
      <c r="C71" s="381" t="e">
        <f ca="1">ROUND(C68/F71,0)</f>
        <v>#DIV/0!</v>
      </c>
      <c r="D71" s="1185" t="s">
        <v>1483</v>
      </c>
      <c r="E71" s="1186" t="s">
        <v>1484</v>
      </c>
      <c r="F71" s="384">
        <f ca="1">F43</f>
        <v>0</v>
      </c>
      <c r="O71" s="1887" t="s">
        <v>1047</v>
      </c>
      <c r="P71" s="1926" t="s">
        <v>1580</v>
      </c>
      <c r="Q71" s="1890">
        <f ca="1">C76</f>
        <v>0</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建设期及建筑物耐用年限下的土地年期修正系数Kn</v>
      </c>
      <c r="Q74" s="1879" t="e">
        <f ca="1">L59</f>
        <v>#DIV/0!</v>
      </c>
      <c r="R74" s="1879" t="s">
        <v>1563</v>
      </c>
    </row>
    <row r="75" spans="1:18" ht="13.8" thickBot="1">
      <c r="A75" s="1835"/>
      <c r="B75" s="385" t="s">
        <v>1501</v>
      </c>
      <c r="C75" s="386">
        <f ca="1">ROUND(C13*C76,0)</f>
        <v>0</v>
      </c>
      <c r="D75" s="1835"/>
      <c r="E75" s="1835"/>
      <c r="F75" s="1835"/>
      <c r="K75" s="1861"/>
      <c r="L75" s="1835"/>
      <c r="O75" s="1877" t="s">
        <v>1043</v>
      </c>
      <c r="P75" s="1878" t="s">
        <v>1544</v>
      </c>
      <c r="Q75" s="1879" t="e">
        <f ca="1">Q65+Q66</f>
        <v>#DIV/0!</v>
      </c>
      <c r="R75" s="1879" t="s">
        <v>1044</v>
      </c>
    </row>
    <row r="76" spans="1:18">
      <c r="B76" s="387" t="s">
        <v>1502</v>
      </c>
      <c r="C76" s="388">
        <f ca="1">INDIRECT("'数据-取费表'!j"&amp;$G$1)</f>
        <v>0</v>
      </c>
      <c r="I76" s="1835"/>
      <c r="J76" s="1835"/>
      <c r="K76" s="1861"/>
      <c r="L76" s="1835"/>
    </row>
    <row r="77" spans="1:18">
      <c r="B77" s="389" t="s">
        <v>1503</v>
      </c>
      <c r="C77" s="390"/>
      <c r="I77" s="1835"/>
      <c r="J77" s="1835"/>
      <c r="K77" s="1861"/>
      <c r="L77" s="1835"/>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0" t="s">
        <v>2511</v>
      </c>
      <c r="B1" s="2551"/>
      <c r="C1" s="2551"/>
      <c r="D1" s="2551"/>
      <c r="E1" s="2552"/>
    </row>
    <row r="2" spans="1:6" ht="15.6">
      <c r="A2" s="2553" t="s">
        <v>2315</v>
      </c>
      <c r="B2" s="2554">
        <f ca="1">SUMIF(B6:B13,"&lt;&gt;#ref!",B6:B13)</f>
        <v>16473</v>
      </c>
      <c r="C2" s="2555" t="s">
        <v>2504</v>
      </c>
      <c r="D2" s="2556" t="s">
        <v>2505</v>
      </c>
      <c r="E2" s="2557">
        <f>SUM(E6:E13)</f>
        <v>21278.6</v>
      </c>
    </row>
    <row r="3" spans="1:6" ht="15.6">
      <c r="A3" s="2553" t="s">
        <v>1390</v>
      </c>
      <c r="B3" s="2554">
        <f ca="1">ROUND(B2*10000/E2,0)</f>
        <v>7742</v>
      </c>
      <c r="C3" s="2555" t="s">
        <v>2512</v>
      </c>
      <c r="D3" s="2558"/>
      <c r="E3" s="2559"/>
    </row>
    <row r="4" spans="1:6" ht="15.6">
      <c r="A4" s="2560"/>
      <c r="B4" s="2558"/>
      <c r="C4" s="2558"/>
      <c r="D4" s="2558"/>
      <c r="E4" s="2559"/>
    </row>
    <row r="5" spans="1:6" ht="14.4">
      <c r="A5" s="2561" t="s">
        <v>2506</v>
      </c>
      <c r="B5" s="3197" t="s">
        <v>2507</v>
      </c>
      <c r="C5" s="3197"/>
      <c r="D5" s="2562"/>
      <c r="E5" s="2563" t="s">
        <v>2508</v>
      </c>
      <c r="F5" s="2564" t="s">
        <v>2509</v>
      </c>
    </row>
    <row r="6" spans="1:6" ht="14.4">
      <c r="A6" s="2565" t="str">
        <f>'数据-取费表'!AN6</f>
        <v>收益法-洋房</v>
      </c>
      <c r="B6" s="2564">
        <f ca="1">IF(F6="是",'数据-取费表'!AO6,0)</f>
        <v>7113</v>
      </c>
      <c r="C6" s="2555" t="s">
        <v>2504</v>
      </c>
      <c r="D6" s="2558"/>
      <c r="E6" s="2566">
        <f>IF(OR(A6=0,F6="否"),0,'数据-取费表'!K6+'数据-取费表'!S6)</f>
        <v>7966.26</v>
      </c>
      <c r="F6" s="2567" t="s">
        <v>2510</v>
      </c>
    </row>
    <row r="7" spans="1:6" ht="14.4">
      <c r="A7" s="2565" t="str">
        <f>'数据-取费表'!AN7</f>
        <v>收益法-高层</v>
      </c>
      <c r="B7" s="2564">
        <f ca="1">IF(F7="是",'数据-取费表'!AO7,0)</f>
        <v>9360</v>
      </c>
      <c r="C7" s="2555" t="s">
        <v>2504</v>
      </c>
      <c r="D7" s="2558"/>
      <c r="E7" s="2566">
        <f>IF(OR(A7=0,F7="否"),0,'数据-取费表'!K7+'数据-取费表'!S7)</f>
        <v>13312.34</v>
      </c>
      <c r="F7" s="2567" t="s">
        <v>2510</v>
      </c>
    </row>
    <row r="8" spans="1:6" ht="14.4">
      <c r="A8" s="2565">
        <f>'数据-取费表'!AN8</f>
        <v>0</v>
      </c>
      <c r="B8" s="2564" t="e">
        <f ca="1">IF(F8="是",'数据-取费表'!AO8,0)</f>
        <v>#REF!</v>
      </c>
      <c r="C8" s="2555" t="s">
        <v>2504</v>
      </c>
      <c r="D8" s="2558"/>
      <c r="E8" s="2566">
        <f>IF(OR(A8=0,F8="否"),0,'数据-取费表'!K8+'数据-取费表'!S8)</f>
        <v>0</v>
      </c>
      <c r="F8" s="2567" t="s">
        <v>2510</v>
      </c>
    </row>
    <row r="9" spans="1:6" ht="14.4">
      <c r="A9" s="2565">
        <f>'数据-取费表'!AN9</f>
        <v>0</v>
      </c>
      <c r="B9" s="2564" t="e">
        <f ca="1">IF(F9="是",'数据-取费表'!AO9,0)</f>
        <v>#REF!</v>
      </c>
      <c r="C9" s="2555" t="s">
        <v>2504</v>
      </c>
      <c r="D9" s="2558"/>
      <c r="E9" s="2566">
        <f>IF(OR(A9=0,F9="否"),0,'数据-取费表'!K9+'数据-取费表'!S9)</f>
        <v>0</v>
      </c>
      <c r="F9" s="2567" t="s">
        <v>2510</v>
      </c>
    </row>
    <row r="10" spans="1:6" ht="14.4">
      <c r="A10" s="2565">
        <f>'数据-取费表'!AN10</f>
        <v>0</v>
      </c>
      <c r="B10" s="2564" t="e">
        <f ca="1">IF(F10="是",'数据-取费表'!AO10,0)</f>
        <v>#REF!</v>
      </c>
      <c r="C10" s="2555" t="s">
        <v>2504</v>
      </c>
      <c r="D10" s="2558"/>
      <c r="E10" s="2566">
        <f>IF(OR(A10=0,F10="否"),0,'数据-取费表'!K10+'数据-取费表'!S10)</f>
        <v>0</v>
      </c>
      <c r="F10" s="2567" t="s">
        <v>2510</v>
      </c>
    </row>
    <row r="11" spans="1:6" ht="14.4">
      <c r="A11" s="2565">
        <f>'数据-取费表'!AN11</f>
        <v>0</v>
      </c>
      <c r="B11" s="2564" t="e">
        <f ca="1">IF(F11="是",'数据-取费表'!AO11,0)</f>
        <v>#REF!</v>
      </c>
      <c r="C11" s="2555" t="s">
        <v>2504</v>
      </c>
      <c r="D11" s="2558"/>
      <c r="E11" s="2566">
        <f>IF(OR(A11=0,F11="否"),0,'数据-取费表'!K11+'数据-取费表'!S11)</f>
        <v>0</v>
      </c>
      <c r="F11" s="2567" t="s">
        <v>2510</v>
      </c>
    </row>
    <row r="12" spans="1:6" ht="14.4">
      <c r="A12" s="2565">
        <f>'数据-取费表'!AN12</f>
        <v>0</v>
      </c>
      <c r="B12" s="2564" t="e">
        <f ca="1">IF(F12="是",'数据-取费表'!AO12,0)</f>
        <v>#REF!</v>
      </c>
      <c r="C12" s="2555" t="s">
        <v>2504</v>
      </c>
      <c r="D12" s="2558"/>
      <c r="E12" s="2566">
        <f>IF(OR(A12=0,F12="否"),0,'数据-取费表'!K12+'数据-取费表'!S12)</f>
        <v>0</v>
      </c>
      <c r="F12" s="2567" t="s">
        <v>2510</v>
      </c>
    </row>
    <row r="13" spans="1:6" ht="15" thickBot="1">
      <c r="A13" s="2568">
        <f>'数据-取费表'!AN13</f>
        <v>0</v>
      </c>
      <c r="B13" s="2564" t="e">
        <f ca="1">IF(F13="是",'数据-取费表'!AO13,0)</f>
        <v>#REF!</v>
      </c>
      <c r="C13" s="2569" t="s">
        <v>2504</v>
      </c>
      <c r="D13" s="2570"/>
      <c r="E13" s="2566">
        <f>IF(OR(A13=0,F13="否"),0,'数据-取费表'!K13+'数据-取费表'!S13)</f>
        <v>0</v>
      </c>
      <c r="F13" s="256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4" t="s">
        <v>1073</v>
      </c>
      <c r="B1" s="3215"/>
      <c r="C1" s="3216"/>
      <c r="D1" s="3217">
        <f>SUM(I10,I15,I20,I21,I23)</f>
        <v>0</v>
      </c>
      <c r="E1" s="3217"/>
      <c r="F1" s="3217"/>
      <c r="G1" s="3217"/>
      <c r="H1" s="3217"/>
      <c r="I1" s="3218"/>
    </row>
    <row r="2" spans="1:9">
      <c r="A2" s="3204" t="s">
        <v>1074</v>
      </c>
      <c r="B2" s="3205" t="s">
        <v>1075</v>
      </c>
      <c r="C2" s="3205"/>
      <c r="D2" s="1294" t="s">
        <v>1076</v>
      </c>
      <c r="E2" s="1294" t="s">
        <v>1077</v>
      </c>
      <c r="F2" s="1294" t="s">
        <v>1078</v>
      </c>
      <c r="G2" s="1294" t="s">
        <v>1079</v>
      </c>
      <c r="H2" s="1294" t="s">
        <v>1080</v>
      </c>
      <c r="I2" s="1295" t="s">
        <v>1081</v>
      </c>
    </row>
    <row r="3" spans="1:9">
      <c r="A3" s="3204"/>
      <c r="B3" s="3205" t="s">
        <v>1082</v>
      </c>
      <c r="C3" s="3205"/>
      <c r="D3" s="1296"/>
      <c r="E3" s="1294"/>
      <c r="F3" s="1297"/>
      <c r="G3" s="1297"/>
      <c r="H3" s="1298"/>
      <c r="I3" s="1299">
        <f>ROUND(D3*E3*F3*G3*H3/10000,0)</f>
        <v>0</v>
      </c>
    </row>
    <row r="4" spans="1:9">
      <c r="A4" s="3204"/>
      <c r="B4" s="3205" t="s">
        <v>1083</v>
      </c>
      <c r="C4" s="3205"/>
      <c r="D4" s="1296"/>
      <c r="E4" s="1294"/>
      <c r="F4" s="1297"/>
      <c r="G4" s="1297"/>
      <c r="H4" s="1298"/>
      <c r="I4" s="1299">
        <f t="shared" ref="I4:I9" si="0">ROUND(D4*E4*F4*G4*H4/10000,0)</f>
        <v>0</v>
      </c>
    </row>
    <row r="5" spans="1:9">
      <c r="A5" s="3204"/>
      <c r="B5" s="3205" t="s">
        <v>1084</v>
      </c>
      <c r="C5" s="3205"/>
      <c r="D5" s="1296"/>
      <c r="E5" s="1294"/>
      <c r="F5" s="1297"/>
      <c r="G5" s="1297"/>
      <c r="H5" s="1298"/>
      <c r="I5" s="1299">
        <f t="shared" si="0"/>
        <v>0</v>
      </c>
    </row>
    <row r="6" spans="1:9">
      <c r="A6" s="3204"/>
      <c r="B6" s="3205" t="s">
        <v>1085</v>
      </c>
      <c r="C6" s="3205"/>
      <c r="D6" s="1296"/>
      <c r="E6" s="1294"/>
      <c r="F6" s="1297"/>
      <c r="G6" s="1297"/>
      <c r="H6" s="1298"/>
      <c r="I6" s="1299">
        <f t="shared" si="0"/>
        <v>0</v>
      </c>
    </row>
    <row r="7" spans="1:9">
      <c r="A7" s="3204"/>
      <c r="B7" s="3205" t="s">
        <v>1086</v>
      </c>
      <c r="C7" s="3205"/>
      <c r="D7" s="1296"/>
      <c r="E7" s="1294"/>
      <c r="F7" s="1297"/>
      <c r="G7" s="1297"/>
      <c r="H7" s="1298"/>
      <c r="I7" s="1299">
        <f t="shared" si="0"/>
        <v>0</v>
      </c>
    </row>
    <row r="8" spans="1:9">
      <c r="A8" s="3204"/>
      <c r="B8" s="3205" t="s">
        <v>1087</v>
      </c>
      <c r="C8" s="3205"/>
      <c r="D8" s="1296"/>
      <c r="E8" s="1294"/>
      <c r="F8" s="1297"/>
      <c r="G8" s="1297"/>
      <c r="H8" s="1298"/>
      <c r="I8" s="1299">
        <f t="shared" si="0"/>
        <v>0</v>
      </c>
    </row>
    <row r="9" spans="1:9">
      <c r="A9" s="3204"/>
      <c r="B9" s="3205" t="s">
        <v>1088</v>
      </c>
      <c r="C9" s="3205"/>
      <c r="D9" s="1296"/>
      <c r="E9" s="1294"/>
      <c r="F9" s="1297"/>
      <c r="G9" s="1297"/>
      <c r="H9" s="1298"/>
      <c r="I9" s="1299">
        <f t="shared" si="0"/>
        <v>0</v>
      </c>
    </row>
    <row r="10" spans="1:9">
      <c r="A10" s="3204"/>
      <c r="B10" s="3206" t="s">
        <v>1089</v>
      </c>
      <c r="C10" s="3206"/>
      <c r="D10" s="1300"/>
      <c r="E10" s="1300" t="e">
        <f>ROUND(D1*10000/D10/H9,0)</f>
        <v>#DIV/0!</v>
      </c>
      <c r="F10" s="1301"/>
      <c r="G10" s="1301"/>
      <c r="H10" s="1302"/>
      <c r="I10" s="1303">
        <f>SUM(I3:I9)</f>
        <v>0</v>
      </c>
    </row>
    <row r="11" spans="1:9" ht="15.6">
      <c r="A11" s="3204" t="s">
        <v>1090</v>
      </c>
      <c r="B11" s="3205" t="s">
        <v>1091</v>
      </c>
      <c r="C11" s="3205"/>
      <c r="D11" s="1296" t="s">
        <v>1092</v>
      </c>
      <c r="E11" s="1296" t="s">
        <v>1093</v>
      </c>
      <c r="F11" s="1297" t="s">
        <v>1094</v>
      </c>
      <c r="G11" s="1297" t="s">
        <v>1080</v>
      </c>
      <c r="H11" s="1304" t="s">
        <v>1095</v>
      </c>
      <c r="I11" s="1295" t="s">
        <v>1081</v>
      </c>
    </row>
    <row r="12" spans="1:9">
      <c r="A12" s="3204"/>
      <c r="B12" s="3205" t="s">
        <v>1096</v>
      </c>
      <c r="C12" s="3205"/>
      <c r="D12" s="1296"/>
      <c r="E12" s="1296"/>
      <c r="F12" s="1297"/>
      <c r="G12" s="1298"/>
      <c r="H12" s="1305"/>
      <c r="I12" s="1295">
        <f>ROUND(D12*E12*F12*G12/10000,0)</f>
        <v>0</v>
      </c>
    </row>
    <row r="13" spans="1:9">
      <c r="A13" s="3204"/>
      <c r="B13" s="3205" t="s">
        <v>1097</v>
      </c>
      <c r="C13" s="3205"/>
      <c r="D13" s="1296"/>
      <c r="E13" s="1296"/>
      <c r="F13" s="1297"/>
      <c r="G13" s="1298"/>
      <c r="H13" s="1305"/>
      <c r="I13" s="1295">
        <f>ROUND(D13*E13*F13*G13/10000,0)</f>
        <v>0</v>
      </c>
    </row>
    <row r="14" spans="1:9">
      <c r="A14" s="3204"/>
      <c r="B14" s="3205" t="s">
        <v>1098</v>
      </c>
      <c r="C14" s="3205"/>
      <c r="D14" s="1296"/>
      <c r="E14" s="1296"/>
      <c r="F14" s="1297"/>
      <c r="G14" s="1298"/>
      <c r="H14" s="1305"/>
      <c r="I14" s="1295">
        <f>ROUND(D14*E14*F14*G14/10000,0)</f>
        <v>0</v>
      </c>
    </row>
    <row r="15" spans="1:9">
      <c r="A15" s="3204"/>
      <c r="B15" s="3206" t="s">
        <v>1089</v>
      </c>
      <c r="C15" s="3206"/>
      <c r="D15" s="1300"/>
      <c r="E15" s="1300">
        <f>SUM(E12:E14)</f>
        <v>0</v>
      </c>
      <c r="F15" s="1301"/>
      <c r="G15" s="1298"/>
      <c r="H15" s="1305"/>
      <c r="I15" s="1306">
        <f>SUM(I12:I14)</f>
        <v>0</v>
      </c>
    </row>
    <row r="16" spans="1:9" ht="24">
      <c r="A16" s="3204" t="s">
        <v>1099</v>
      </c>
      <c r="B16" s="3205" t="s">
        <v>1100</v>
      </c>
      <c r="C16" s="3205"/>
      <c r="D16" s="1296" t="s">
        <v>1076</v>
      </c>
      <c r="E16" s="1307" t="s">
        <v>1101</v>
      </c>
      <c r="F16" s="1297" t="s">
        <v>1102</v>
      </c>
      <c r="G16" s="1298" t="s">
        <v>1080</v>
      </c>
      <c r="H16" s="1304" t="s">
        <v>1095</v>
      </c>
      <c r="I16" s="1295" t="s">
        <v>1081</v>
      </c>
    </row>
    <row r="17" spans="1:9" ht="15.6">
      <c r="A17" s="3204"/>
      <c r="B17" s="3205" t="s">
        <v>1103</v>
      </c>
      <c r="C17" s="3205"/>
      <c r="D17" s="1296"/>
      <c r="E17" s="1296"/>
      <c r="F17" s="1297"/>
      <c r="G17" s="1298"/>
      <c r="H17" s="1308"/>
      <c r="I17" s="1309">
        <f>ROUND(D17*E17*F17*G17/10000,0)</f>
        <v>0</v>
      </c>
    </row>
    <row r="18" spans="1:9" ht="15.6">
      <c r="A18" s="3204"/>
      <c r="B18" s="3205" t="s">
        <v>1104</v>
      </c>
      <c r="C18" s="3205"/>
      <c r="D18" s="1296"/>
      <c r="E18" s="1296"/>
      <c r="F18" s="1297"/>
      <c r="G18" s="1298"/>
      <c r="H18" s="1308"/>
      <c r="I18" s="1309">
        <f>ROUND(D18*E18*F18*G18/10000,0)</f>
        <v>0</v>
      </c>
    </row>
    <row r="19" spans="1:9" ht="15.6">
      <c r="A19" s="3204"/>
      <c r="B19" s="3205" t="s">
        <v>1105</v>
      </c>
      <c r="C19" s="3205"/>
      <c r="D19" s="1296"/>
      <c r="E19" s="1296"/>
      <c r="F19" s="1297"/>
      <c r="G19" s="1298"/>
      <c r="H19" s="1308"/>
      <c r="I19" s="1309">
        <f>ROUND(D19*E19*F19*G19/10000,0)</f>
        <v>0</v>
      </c>
    </row>
    <row r="20" spans="1:9">
      <c r="A20" s="3204"/>
      <c r="B20" s="3206" t="s">
        <v>1089</v>
      </c>
      <c r="C20" s="3206"/>
      <c r="D20" s="1300">
        <f>SUM(D17:D19)</f>
        <v>0</v>
      </c>
      <c r="E20" s="1300"/>
      <c r="F20" s="1301"/>
      <c r="G20" s="1298"/>
      <c r="H20" s="1305"/>
      <c r="I20" s="1306">
        <f>SUM(I17:I19)</f>
        <v>0</v>
      </c>
    </row>
    <row r="21" spans="1:9">
      <c r="A21" s="3204" t="s">
        <v>1106</v>
      </c>
      <c r="B21" s="3207"/>
      <c r="C21" s="3207"/>
      <c r="D21" s="3207"/>
      <c r="E21" s="3207"/>
      <c r="F21" s="3207"/>
      <c r="G21" s="3207"/>
      <c r="H21" s="1758">
        <v>0.1</v>
      </c>
      <c r="I21" s="1303">
        <f>ROUND(I10*H21,0)</f>
        <v>0</v>
      </c>
    </row>
    <row r="22" spans="1:9" ht="15.6">
      <c r="A22" s="3208" t="s">
        <v>1107</v>
      </c>
      <c r="B22" s="3209"/>
      <c r="C22" s="3210"/>
      <c r="D22" s="1310" t="s">
        <v>1108</v>
      </c>
      <c r="E22" s="1310" t="s">
        <v>1109</v>
      </c>
      <c r="F22" s="1311" t="s">
        <v>1110</v>
      </c>
      <c r="G22" s="1311" t="s">
        <v>1111</v>
      </c>
      <c r="H22" s="1304" t="s">
        <v>1112</v>
      </c>
      <c r="I22" s="1295" t="s">
        <v>1113</v>
      </c>
    </row>
    <row r="23" spans="1:9" ht="15" thickBot="1">
      <c r="A23" s="3211"/>
      <c r="B23" s="3212"/>
      <c r="C23" s="3213"/>
      <c r="D23" s="1312"/>
      <c r="E23" s="1312"/>
      <c r="F23" s="1312"/>
      <c r="G23" s="1313"/>
      <c r="H23" s="1314"/>
      <c r="I23" s="1315">
        <f>ROUND(E23*D23*F23*(1-G23)/10000,0)</f>
        <v>0</v>
      </c>
    </row>
    <row r="26" spans="1:9">
      <c r="A26" s="1316" t="s">
        <v>1114</v>
      </c>
      <c r="B26" s="1316"/>
      <c r="C26" s="1316"/>
      <c r="D26" s="1316"/>
      <c r="E26" s="3201">
        <f>C27-C30-C31-C32</f>
        <v>0</v>
      </c>
      <c r="F26" s="3201"/>
      <c r="G26" s="3201"/>
      <c r="H26" s="1730" t="s">
        <v>1336</v>
      </c>
    </row>
    <row r="27" spans="1:9">
      <c r="A27" s="1317">
        <v>1</v>
      </c>
      <c r="B27" s="1318" t="s">
        <v>1115</v>
      </c>
      <c r="C27" s="1318">
        <f>C28+C29</f>
        <v>0</v>
      </c>
      <c r="D27" s="1318"/>
      <c r="E27" s="3202"/>
      <c r="F27" s="3202"/>
      <c r="G27" s="3202"/>
    </row>
    <row r="28" spans="1:9">
      <c r="A28" s="1319" t="s">
        <v>1116</v>
      </c>
      <c r="B28" s="1318" t="s">
        <v>1117</v>
      </c>
      <c r="C28" s="1318"/>
      <c r="D28" s="1318"/>
      <c r="E28" s="3202"/>
      <c r="F28" s="3202"/>
      <c r="G28" s="3202"/>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03"/>
      <c r="F32" s="3203"/>
      <c r="G32" s="3203"/>
    </row>
    <row r="33" spans="1:7" hidden="1">
      <c r="A33" s="3198" t="s">
        <v>1126</v>
      </c>
      <c r="B33" s="3199"/>
      <c r="C33" s="3199"/>
      <c r="D33" s="3200"/>
      <c r="E33" s="3201"/>
      <c r="F33" s="3201"/>
      <c r="G33" s="3201"/>
    </row>
    <row r="34" spans="1:7" hidden="1">
      <c r="A34" s="1321">
        <v>1</v>
      </c>
      <c r="B34" s="1318" t="s">
        <v>1127</v>
      </c>
      <c r="C34" s="1318"/>
      <c r="D34" s="1318"/>
      <c r="E34" s="3202"/>
      <c r="F34" s="3202"/>
      <c r="G34" s="3202"/>
    </row>
    <row r="35" spans="1:7" hidden="1">
      <c r="A35" s="1321">
        <v>2</v>
      </c>
      <c r="B35" s="1318" t="s">
        <v>1128</v>
      </c>
      <c r="C35" s="1318"/>
      <c r="D35" s="1318"/>
      <c r="E35" s="3202"/>
      <c r="F35" s="3202"/>
      <c r="G35" s="3202"/>
    </row>
    <row r="36" spans="1:7" hidden="1">
      <c r="A36" s="1321">
        <v>3</v>
      </c>
      <c r="B36" s="1318" t="s">
        <v>1129</v>
      </c>
      <c r="C36" s="1318"/>
      <c r="D36" s="1318"/>
      <c r="E36" s="3202"/>
      <c r="F36" s="3202"/>
      <c r="G36" s="3202"/>
    </row>
    <row r="37" spans="1:7" hidden="1">
      <c r="A37" s="1321">
        <v>4</v>
      </c>
      <c r="B37" s="1318" t="s">
        <v>1130</v>
      </c>
      <c r="C37" s="1318"/>
      <c r="D37" s="1318"/>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1605</v>
      </c>
    </row>
    <row r="2" spans="1:1">
      <c r="A2" s="1938"/>
    </row>
    <row r="3" spans="1:1" ht="17.399999999999999">
      <c r="A3" s="1939" t="str">
        <f>项目基本情况!B5&amp;"："</f>
        <v>湖州市乌虹湖置业有限公司：</v>
      </c>
    </row>
    <row r="4" spans="1:1" ht="34.799999999999997">
      <c r="A4" s="1940" t="str">
        <f>"受贵公司委托，我公司对"&amp;项目基本情况!S1&amp;"进行了预评估。"</f>
        <v>受贵公司委托，我公司对浙江省吴兴区八里店乌山单元02-01E号地块房地产抵押价值进行了预评估。</v>
      </c>
    </row>
    <row r="5" spans="1:1" ht="17.399999999999999">
      <c r="A5" s="1941" t="s">
        <v>1606</v>
      </c>
    </row>
    <row r="6" spans="1:1" ht="17.399999999999999">
      <c r="A6" s="1942" t="s">
        <v>1607</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吴兴区八里店乌山单元02-01E号地块房地产，为湖州市乌虹湖置业有限公司所有。根据《国有土地使用证》[]，估价对象（分摊）出让国有建设用地使用权面积为8279.61平方米，建筑面积为21278.6平方米。</v>
      </c>
    </row>
    <row r="8" spans="1:1" ht="54.6">
      <c r="A8" s="1943" t="s">
        <v>1608</v>
      </c>
    </row>
    <row r="9" spans="1:1" ht="17.399999999999999">
      <c r="A9" s="1942" t="s">
        <v>1609</v>
      </c>
    </row>
    <row r="10" spans="1:1" ht="69.599999999999994">
      <c r="A10" s="1940" t="str">
        <f>"估价对象为"&amp;项目基本情况!S2&amp;IF('结果表-高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1" spans="1:1" ht="72">
      <c r="A11" s="1943" t="s">
        <v>1610</v>
      </c>
    </row>
    <row r="12" spans="1:1" ht="17.399999999999999">
      <c r="A12" s="1941" t="s">
        <v>1611</v>
      </c>
    </row>
    <row r="13" spans="1:1" ht="38.25" customHeight="1">
      <c r="A13" s="1944" t="str">
        <f>IF(项目基本情况!B8="抵押",IF(项目基本情况!B5=项目基本情况!B6,定义!C51,定义!B51),定义!D51)</f>
        <v>为估价委托人在向外贸信托办理贷款手续过程中，确定房地产抵押贷款额度提供参考依据而评估房地产抵押价值。</v>
      </c>
    </row>
    <row r="14" spans="1:1" ht="17.399999999999999">
      <c r="A14" s="1945" t="s">
        <v>1612</v>
      </c>
    </row>
    <row r="15" spans="1:1" ht="17.399999999999999">
      <c r="A15" s="1946" t="str">
        <f>TEXT(项目基本情况!D3,"yyyy年m月d日;;")&amp;IF(项目基本情况!D3=项目基本情况!B3,"（评估专业人员实地查勘之日）","")</f>
        <v>2019年8月22日（评估专业人员实地查勘之日）</v>
      </c>
    </row>
    <row r="16" spans="1:1" ht="17.399999999999999">
      <c r="A16" s="1945" t="s">
        <v>1613</v>
      </c>
    </row>
    <row r="17" spans="1:1" ht="69.599999999999994">
      <c r="A17" s="1940" t="s">
        <v>1614</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0" t="str">
        <f>IF(项目基本情况!B9="房地产市场价值","——",IF(项目基本情况!E9="——","",定义!C57))</f>
        <v/>
      </c>
    </row>
    <row r="23" spans="1:1" ht="17.399999999999999">
      <c r="A23" s="1945" t="s">
        <v>1603</v>
      </c>
    </row>
    <row r="24" spans="1:1" ht="17.399999999999999">
      <c r="A24" s="1947" t="str">
        <f>"本次评估采用的主估价方法为"&amp;'结果表-高层'!K4&amp;"和"&amp;'结果表-高层'!L4&amp;"。"</f>
        <v>本次评估采用的主估价方法为比较法和收益法。</v>
      </c>
    </row>
    <row r="25" spans="1:1" ht="17.399999999999999">
      <c r="A25" s="1947"/>
    </row>
    <row r="26" spans="1:1" ht="17.399999999999999">
      <c r="A26" s="1948" t="s">
        <v>1604</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workbookViewId="0">
      <selection activeCell="C34" sqref="C34:C3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6.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3671</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19365</v>
      </c>
      <c r="C2" s="2575" t="s">
        <v>70</v>
      </c>
      <c r="D2" s="1358" t="e">
        <f ca="1">SUMIF(INDIRECT("'"&amp;F2&amp;"'"&amp;"!A:A"),"承租人权益价值",INDIRECT("'"&amp;F2&amp;"'"&amp;"!c:c"))</f>
        <v>#REF!</v>
      </c>
      <c r="E2" s="2576" t="s">
        <v>2316</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14547</v>
      </c>
      <c r="C3" s="399" t="s">
        <v>2519</v>
      </c>
      <c r="D3" s="398">
        <f>IF(D1="",'数据-汇总表'!E3,SUMIF('数据-汇总表'!$C19:$C33,D1,'数据-汇总表'!$E19:$E33))</f>
        <v>13312.34</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22" t="s">
        <v>2521</v>
      </c>
      <c r="D4" s="3223"/>
      <c r="E4" s="3224" t="s">
        <v>2522</v>
      </c>
      <c r="F4" s="3225"/>
      <c r="G4" s="3222" t="s">
        <v>2523</v>
      </c>
      <c r="H4" s="3223"/>
      <c r="I4" s="3222" t="s">
        <v>2524</v>
      </c>
      <c r="J4" s="3223"/>
      <c r="K4" s="2585" t="s">
        <v>2525</v>
      </c>
      <c r="L4" s="1123"/>
      <c r="M4" s="1124"/>
      <c r="N4" s="1124"/>
      <c r="O4" s="1124"/>
      <c r="P4" s="3226" t="s">
        <v>2526</v>
      </c>
      <c r="Q4" s="3227"/>
      <c r="R4" s="3232" t="s">
        <v>2522</v>
      </c>
      <c r="S4" s="3233"/>
      <c r="T4" s="3232" t="s">
        <v>2523</v>
      </c>
      <c r="U4" s="3233"/>
      <c r="V4" s="3246" t="s">
        <v>2524</v>
      </c>
      <c r="W4" s="3246"/>
      <c r="X4" s="2983"/>
      <c r="Y4" s="3232" t="s">
        <v>2526</v>
      </c>
      <c r="Z4" s="3233"/>
      <c r="AA4" s="3219" t="s">
        <v>2522</v>
      </c>
      <c r="AB4" s="3219" t="s">
        <v>2523</v>
      </c>
      <c r="AC4" s="3219" t="s">
        <v>2524</v>
      </c>
    </row>
    <row r="5" spans="1:29">
      <c r="A5" s="403"/>
      <c r="B5" s="404"/>
      <c r="C5" s="3236" t="s">
        <v>3649</v>
      </c>
      <c r="D5" s="3237"/>
      <c r="E5" s="3238" t="s">
        <v>3653</v>
      </c>
      <c r="F5" s="3239"/>
      <c r="G5" s="3236" t="s">
        <v>3667</v>
      </c>
      <c r="H5" s="3237"/>
      <c r="I5" s="3236" t="s">
        <v>3668</v>
      </c>
      <c r="J5" s="3237"/>
      <c r="K5" s="2586"/>
      <c r="L5" s="1123"/>
      <c r="M5" s="1124"/>
      <c r="N5" s="1124"/>
      <c r="O5" s="1124"/>
      <c r="P5" s="3228"/>
      <c r="Q5" s="3229"/>
      <c r="R5" s="3234"/>
      <c r="S5" s="3235"/>
      <c r="T5" s="3234"/>
      <c r="U5" s="3235"/>
      <c r="V5" s="3246"/>
      <c r="W5" s="3246"/>
      <c r="X5" s="2983"/>
      <c r="Y5" s="3234"/>
      <c r="Z5" s="3235"/>
      <c r="AA5" s="3220"/>
      <c r="AB5" s="3220"/>
      <c r="AC5" s="3220"/>
    </row>
    <row r="6" spans="1:29" ht="15" thickBot="1">
      <c r="A6" s="405"/>
      <c r="B6" s="406"/>
      <c r="C6" s="3240" t="s">
        <v>2531</v>
      </c>
      <c r="D6" s="3241"/>
      <c r="E6" s="3242" t="s">
        <v>2531</v>
      </c>
      <c r="F6" s="3243"/>
      <c r="G6" s="3240" t="s">
        <v>2531</v>
      </c>
      <c r="H6" s="3241"/>
      <c r="I6" s="3240" t="s">
        <v>2531</v>
      </c>
      <c r="J6" s="3241"/>
      <c r="K6" s="2586" t="s">
        <v>2532</v>
      </c>
      <c r="L6" s="1123"/>
      <c r="M6" s="1124"/>
      <c r="N6" s="1124"/>
      <c r="O6" s="1124"/>
      <c r="P6" s="3230"/>
      <c r="Q6" s="3231"/>
      <c r="R6" s="3234"/>
      <c r="S6" s="3235"/>
      <c r="T6" s="3244"/>
      <c r="U6" s="3245"/>
      <c r="V6" s="3246"/>
      <c r="W6" s="3246"/>
      <c r="X6" s="2983"/>
      <c r="Y6" s="3244"/>
      <c r="Z6" s="3245"/>
      <c r="AA6" s="3221"/>
      <c r="AB6" s="3221"/>
      <c r="AC6" s="3221"/>
    </row>
    <row r="7" spans="1:29" s="116" customFormat="1" ht="15" thickBot="1">
      <c r="A7" s="407" t="s">
        <v>2533</v>
      </c>
      <c r="B7" s="408"/>
      <c r="C7" s="409">
        <f>'数据-取费表'!B2</f>
        <v>43699</v>
      </c>
      <c r="D7" s="410">
        <v>100</v>
      </c>
      <c r="E7" s="411">
        <v>43634</v>
      </c>
      <c r="F7" s="412">
        <f>SUMIF(58:58,YEAR(E7)&amp;"-"&amp;MONTH(E7),59:59)</f>
        <v>100</v>
      </c>
      <c r="G7" s="411">
        <v>43647</v>
      </c>
      <c r="H7" s="410">
        <f>SUMIF(58:58,YEAR(G7)&amp;"-"&amp;MONTH(G7),59:59)</f>
        <v>100</v>
      </c>
      <c r="I7" s="411">
        <v>43633</v>
      </c>
      <c r="J7" s="410">
        <f>SUMIF(58:58,YEAR(I7)&amp;"-"&amp;MONTH(I7),59:59)</f>
        <v>100</v>
      </c>
      <c r="K7" s="2587"/>
      <c r="L7" s="1125"/>
      <c r="M7" s="1126"/>
      <c r="N7" s="1126"/>
      <c r="O7" s="1126"/>
      <c r="P7" s="3247" t="s">
        <v>2534</v>
      </c>
      <c r="Q7" s="3248"/>
      <c r="R7" s="769" t="s">
        <v>17</v>
      </c>
      <c r="S7" s="770">
        <f t="shared" ref="S7:S15" si="0">F7</f>
        <v>100</v>
      </c>
      <c r="T7" s="769" t="s">
        <v>17</v>
      </c>
      <c r="U7" s="770">
        <f t="shared" ref="U7:U15" si="1">H7</f>
        <v>100</v>
      </c>
      <c r="V7" s="769" t="s">
        <v>17</v>
      </c>
      <c r="W7" s="770">
        <f t="shared" ref="W7:W15" si="2">J7</f>
        <v>100</v>
      </c>
      <c r="X7" s="771"/>
      <c r="Y7" s="3247" t="s">
        <v>2534</v>
      </c>
      <c r="Z7" s="3249"/>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47" t="s">
        <v>2537</v>
      </c>
      <c r="Q8" s="3249"/>
      <c r="R8" s="769" t="s">
        <v>17</v>
      </c>
      <c r="S8" s="770">
        <f t="shared" si="0"/>
        <v>100</v>
      </c>
      <c r="T8" s="769" t="s">
        <v>17</v>
      </c>
      <c r="U8" s="770">
        <f t="shared" si="1"/>
        <v>100</v>
      </c>
      <c r="V8" s="769" t="s">
        <v>17</v>
      </c>
      <c r="W8" s="770">
        <f t="shared" si="2"/>
        <v>100</v>
      </c>
      <c r="X8" s="771"/>
      <c r="Y8" s="3247" t="s">
        <v>2537</v>
      </c>
      <c r="Z8" s="3249"/>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50" t="s">
        <v>2540</v>
      </c>
      <c r="Q9" s="2967" t="str">
        <f t="shared" ref="Q9:Q15" si="6">B9</f>
        <v>用途</v>
      </c>
      <c r="R9" s="769" t="s">
        <v>17</v>
      </c>
      <c r="S9" s="770">
        <f t="shared" si="0"/>
        <v>100</v>
      </c>
      <c r="T9" s="769" t="s">
        <v>17</v>
      </c>
      <c r="U9" s="770">
        <f t="shared" si="1"/>
        <v>100</v>
      </c>
      <c r="V9" s="769" t="s">
        <v>17</v>
      </c>
      <c r="W9" s="770">
        <f t="shared" si="2"/>
        <v>100</v>
      </c>
      <c r="X9" s="771"/>
      <c r="Y9" s="3046" t="s">
        <v>2541</v>
      </c>
      <c r="Z9" s="2968" t="str">
        <f t="shared" ref="Z9:Z15" si="7">Q9</f>
        <v>用途</v>
      </c>
      <c r="AA9" s="772">
        <f t="shared" si="3"/>
        <v>1</v>
      </c>
      <c r="AB9" s="772">
        <f t="shared" si="4"/>
        <v>1</v>
      </c>
      <c r="AC9" s="772">
        <f t="shared" si="5"/>
        <v>1</v>
      </c>
    </row>
    <row r="10" spans="1:29" s="426" customFormat="1" ht="28.8">
      <c r="A10" s="420"/>
      <c r="B10" s="298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50"/>
      <c r="Q10" s="2967" t="str">
        <f t="shared" si="6"/>
        <v>土地使用年限（年）</v>
      </c>
      <c r="R10" s="769" t="s">
        <v>17</v>
      </c>
      <c r="S10" s="770">
        <f t="shared" si="0"/>
        <v>100</v>
      </c>
      <c r="T10" s="769" t="s">
        <v>17</v>
      </c>
      <c r="U10" s="770">
        <f t="shared" si="1"/>
        <v>100</v>
      </c>
      <c r="V10" s="769" t="s">
        <v>17</v>
      </c>
      <c r="W10" s="770">
        <f t="shared" si="2"/>
        <v>100</v>
      </c>
      <c r="X10" s="771"/>
      <c r="Y10" s="3046"/>
      <c r="Z10" s="2968" t="str">
        <f t="shared" si="7"/>
        <v>土地使用年限（年）</v>
      </c>
      <c r="AA10" s="772">
        <f t="shared" si="3"/>
        <v>1</v>
      </c>
      <c r="AB10" s="772">
        <f t="shared" si="4"/>
        <v>1</v>
      </c>
      <c r="AC10" s="772">
        <f t="shared" si="5"/>
        <v>1</v>
      </c>
    </row>
    <row r="11" spans="1:29" ht="15">
      <c r="A11" s="427"/>
      <c r="B11" s="2981" t="s">
        <v>2543</v>
      </c>
      <c r="C11" s="428">
        <v>1.8</v>
      </c>
      <c r="D11" s="135">
        <v>100</v>
      </c>
      <c r="E11" s="429">
        <v>1.5</v>
      </c>
      <c r="F11" s="424">
        <f>LOOKUP(E11,68:68,69:69)-LOOKUP(C11,68:68,69:69)+100</f>
        <v>100</v>
      </c>
      <c r="G11" s="428">
        <v>2</v>
      </c>
      <c r="H11" s="135">
        <f>LOOKUP(G11,68:68,69:69)-LOOKUP(C11,68:68,69:69)+100</f>
        <v>99</v>
      </c>
      <c r="I11" s="428">
        <v>1.87</v>
      </c>
      <c r="J11" s="135">
        <f>LOOKUP(I11,68:68,69:69)-LOOKUP(C11,68:68,69:69)+100</f>
        <v>100</v>
      </c>
      <c r="K11" s="425">
        <v>1</v>
      </c>
      <c r="L11" s="1131"/>
      <c r="M11" s="1124"/>
      <c r="N11" s="1124"/>
      <c r="O11" s="1124"/>
      <c r="P11" s="3250"/>
      <c r="Q11" s="2967" t="str">
        <f t="shared" si="6"/>
        <v>容积率</v>
      </c>
      <c r="R11" s="769" t="s">
        <v>17</v>
      </c>
      <c r="S11" s="770">
        <f t="shared" si="0"/>
        <v>100</v>
      </c>
      <c r="T11" s="769" t="s">
        <v>17</v>
      </c>
      <c r="U11" s="770">
        <f t="shared" si="1"/>
        <v>99</v>
      </c>
      <c r="V11" s="769" t="s">
        <v>17</v>
      </c>
      <c r="W11" s="770">
        <f t="shared" si="2"/>
        <v>100</v>
      </c>
      <c r="X11" s="771"/>
      <c r="Y11" s="3046"/>
      <c r="Z11" s="2968" t="str">
        <f t="shared" si="7"/>
        <v>容积率</v>
      </c>
      <c r="AA11" s="772">
        <f t="shared" si="3"/>
        <v>1</v>
      </c>
      <c r="AB11" s="772">
        <f t="shared" si="4"/>
        <v>1.0101010101010102</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50"/>
      <c r="Q12" s="2967">
        <f t="shared" si="6"/>
        <v>111</v>
      </c>
      <c r="R12" s="769" t="s">
        <v>17</v>
      </c>
      <c r="S12" s="770">
        <f t="shared" si="0"/>
        <v>100</v>
      </c>
      <c r="T12" s="769" t="s">
        <v>17</v>
      </c>
      <c r="U12" s="770">
        <f t="shared" si="1"/>
        <v>100</v>
      </c>
      <c r="V12" s="769" t="s">
        <v>17</v>
      </c>
      <c r="W12" s="770">
        <f t="shared" si="2"/>
        <v>100</v>
      </c>
      <c r="X12" s="771"/>
      <c r="Y12" s="3046"/>
      <c r="Z12" s="2968">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50"/>
      <c r="Q13" s="2967">
        <f t="shared" si="6"/>
        <v>111</v>
      </c>
      <c r="R13" s="769" t="s">
        <v>17</v>
      </c>
      <c r="S13" s="770">
        <f t="shared" si="0"/>
        <v>100</v>
      </c>
      <c r="T13" s="769" t="s">
        <v>17</v>
      </c>
      <c r="U13" s="770">
        <f t="shared" si="1"/>
        <v>100</v>
      </c>
      <c r="V13" s="769" t="s">
        <v>17</v>
      </c>
      <c r="W13" s="770">
        <f t="shared" si="2"/>
        <v>100</v>
      </c>
      <c r="X13" s="771"/>
      <c r="Y13" s="3046"/>
      <c r="Z13" s="2968">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50"/>
      <c r="Q14" s="2967">
        <f t="shared" si="6"/>
        <v>111</v>
      </c>
      <c r="R14" s="769" t="s">
        <v>17</v>
      </c>
      <c r="S14" s="770">
        <f t="shared" si="0"/>
        <v>100</v>
      </c>
      <c r="T14" s="769" t="s">
        <v>17</v>
      </c>
      <c r="U14" s="770">
        <f t="shared" si="1"/>
        <v>100</v>
      </c>
      <c r="V14" s="769" t="s">
        <v>17</v>
      </c>
      <c r="W14" s="770">
        <f t="shared" si="2"/>
        <v>100</v>
      </c>
      <c r="X14" s="771"/>
      <c r="Y14" s="3046"/>
      <c r="Z14" s="2968">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51" t="s">
        <v>2545</v>
      </c>
      <c r="Q15" s="2985" t="str">
        <f t="shared" si="6"/>
        <v>居住社区成熟度</v>
      </c>
      <c r="R15" s="773" t="s">
        <v>17</v>
      </c>
      <c r="S15" s="774">
        <f t="shared" si="0"/>
        <v>100</v>
      </c>
      <c r="T15" s="773" t="s">
        <v>17</v>
      </c>
      <c r="U15" s="774">
        <f t="shared" si="1"/>
        <v>100</v>
      </c>
      <c r="V15" s="773" t="s">
        <v>17</v>
      </c>
      <c r="W15" s="774">
        <f t="shared" si="2"/>
        <v>100</v>
      </c>
      <c r="X15" s="2983"/>
      <c r="Y15" s="3253" t="s">
        <v>2545</v>
      </c>
      <c r="Z15" s="2984" t="str">
        <f t="shared" si="7"/>
        <v>居住社区成熟度</v>
      </c>
      <c r="AA15" s="2986">
        <f t="shared" si="3"/>
        <v>1</v>
      </c>
      <c r="AB15" s="2986">
        <f t="shared" si="4"/>
        <v>1</v>
      </c>
      <c r="AC15" s="2986">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52"/>
      <c r="Q16" s="2985"/>
      <c r="R16" s="773"/>
      <c r="S16" s="774"/>
      <c r="T16" s="773"/>
      <c r="U16" s="774"/>
      <c r="V16" s="773"/>
      <c r="W16" s="774"/>
      <c r="X16" s="2983"/>
      <c r="Y16" s="3254"/>
      <c r="Z16" s="2984"/>
      <c r="AA16" s="2986">
        <v>1</v>
      </c>
      <c r="AB16" s="2986">
        <v>1</v>
      </c>
      <c r="AC16" s="2986">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52"/>
      <c r="Q17" s="2985" t="str">
        <f>B17</f>
        <v>交通便捷度</v>
      </c>
      <c r="R17" s="773" t="s">
        <v>17</v>
      </c>
      <c r="S17" s="774">
        <f>F17</f>
        <v>100</v>
      </c>
      <c r="T17" s="773" t="s">
        <v>17</v>
      </c>
      <c r="U17" s="774">
        <f>H17</f>
        <v>100</v>
      </c>
      <c r="V17" s="773" t="s">
        <v>17</v>
      </c>
      <c r="W17" s="774">
        <f>J17</f>
        <v>100</v>
      </c>
      <c r="X17" s="2983"/>
      <c r="Y17" s="3254"/>
      <c r="Z17" s="2984" t="str">
        <f>Q17</f>
        <v>交通便捷度</v>
      </c>
      <c r="AA17" s="2986">
        <f t="shared" si="3"/>
        <v>1</v>
      </c>
      <c r="AB17" s="2986">
        <f t="shared" si="4"/>
        <v>1</v>
      </c>
      <c r="AC17" s="2986">
        <f t="shared" si="5"/>
        <v>1</v>
      </c>
    </row>
    <row r="18" spans="1:29" ht="15">
      <c r="A18" s="427"/>
      <c r="B18" s="455"/>
      <c r="C18" s="446" t="s">
        <v>3682</v>
      </c>
      <c r="D18" s="449"/>
      <c r="E18" s="446" t="s">
        <v>3682</v>
      </c>
      <c r="F18" s="449"/>
      <c r="G18" s="446" t="s">
        <v>3682</v>
      </c>
      <c r="H18" s="447"/>
      <c r="I18" s="446" t="s">
        <v>3682</v>
      </c>
      <c r="J18" s="447"/>
      <c r="K18" s="2595"/>
      <c r="L18" s="1133"/>
      <c r="M18" s="1124"/>
      <c r="N18" s="1124"/>
      <c r="O18" s="1124"/>
      <c r="P18" s="3252"/>
      <c r="Q18" s="2985"/>
      <c r="R18" s="773"/>
      <c r="S18" s="774"/>
      <c r="T18" s="773"/>
      <c r="U18" s="774"/>
      <c r="V18" s="773"/>
      <c r="W18" s="774"/>
      <c r="X18" s="2983"/>
      <c r="Y18" s="3254"/>
      <c r="Z18" s="2984"/>
      <c r="AA18" s="2986">
        <v>1</v>
      </c>
      <c r="AB18" s="2986">
        <v>1</v>
      </c>
      <c r="AC18" s="2986">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52"/>
      <c r="Q19" s="2985" t="str">
        <f>B19</f>
        <v>公共配套设施</v>
      </c>
      <c r="R19" s="773" t="s">
        <v>17</v>
      </c>
      <c r="S19" s="774">
        <f>F19</f>
        <v>100</v>
      </c>
      <c r="T19" s="773" t="s">
        <v>17</v>
      </c>
      <c r="U19" s="774">
        <f>H19</f>
        <v>100</v>
      </c>
      <c r="V19" s="773" t="s">
        <v>17</v>
      </c>
      <c r="W19" s="774">
        <f>J19</f>
        <v>100</v>
      </c>
      <c r="X19" s="2983"/>
      <c r="Y19" s="3254"/>
      <c r="Z19" s="2984" t="str">
        <f>Q19</f>
        <v>公共配套设施</v>
      </c>
      <c r="AA19" s="2986">
        <f t="shared" si="3"/>
        <v>1</v>
      </c>
      <c r="AB19" s="2986">
        <f t="shared" si="4"/>
        <v>1</v>
      </c>
      <c r="AC19" s="2986">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52"/>
      <c r="Q20" s="2985"/>
      <c r="R20" s="773"/>
      <c r="S20" s="774"/>
      <c r="T20" s="773"/>
      <c r="U20" s="774"/>
      <c r="V20" s="773"/>
      <c r="W20" s="774"/>
      <c r="X20" s="2983"/>
      <c r="Y20" s="3254"/>
      <c r="Z20" s="2984"/>
      <c r="AA20" s="2986">
        <v>1</v>
      </c>
      <c r="AB20" s="2986">
        <v>1</v>
      </c>
      <c r="AC20" s="2986">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52"/>
      <c r="Q21" s="2985" t="str">
        <f>B21</f>
        <v>基础设施水平</v>
      </c>
      <c r="R21" s="773" t="s">
        <v>17</v>
      </c>
      <c r="S21" s="774">
        <f>F21</f>
        <v>100</v>
      </c>
      <c r="T21" s="773" t="s">
        <v>17</v>
      </c>
      <c r="U21" s="774">
        <f>H21</f>
        <v>100</v>
      </c>
      <c r="V21" s="773" t="s">
        <v>17</v>
      </c>
      <c r="W21" s="774">
        <f>J21</f>
        <v>100</v>
      </c>
      <c r="X21" s="2983"/>
      <c r="Y21" s="3254"/>
      <c r="Z21" s="2984" t="str">
        <f>Q21</f>
        <v>基础设施水平</v>
      </c>
      <c r="AA21" s="2986">
        <f t="shared" ref="AA21" si="8">D21/F21</f>
        <v>1</v>
      </c>
      <c r="AB21" s="2986">
        <f t="shared" ref="AB21" si="9">D21/H21</f>
        <v>1</v>
      </c>
      <c r="AC21" s="2986">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52"/>
      <c r="Q22" s="2985"/>
      <c r="R22" s="773"/>
      <c r="S22" s="774"/>
      <c r="T22" s="773"/>
      <c r="U22" s="774"/>
      <c r="V22" s="773"/>
      <c r="W22" s="774"/>
      <c r="X22" s="2983"/>
      <c r="Y22" s="3254"/>
      <c r="Z22" s="2984"/>
      <c r="AA22" s="2986">
        <v>1</v>
      </c>
      <c r="AB22" s="2986">
        <v>1</v>
      </c>
      <c r="AC22" s="2986">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52"/>
      <c r="Q23" s="2985" t="str">
        <f>B23</f>
        <v>自然及人文环境</v>
      </c>
      <c r="R23" s="773" t="s">
        <v>17</v>
      </c>
      <c r="S23" s="774">
        <f>F23</f>
        <v>100</v>
      </c>
      <c r="T23" s="773" t="s">
        <v>17</v>
      </c>
      <c r="U23" s="774">
        <f>H23</f>
        <v>100</v>
      </c>
      <c r="V23" s="773" t="s">
        <v>17</v>
      </c>
      <c r="W23" s="774">
        <f>J23</f>
        <v>100</v>
      </c>
      <c r="X23" s="2983"/>
      <c r="Y23" s="3254"/>
      <c r="Z23" s="2984" t="str">
        <f>Q23</f>
        <v>自然及人文环境</v>
      </c>
      <c r="AA23" s="2986">
        <f>D23/F23</f>
        <v>1</v>
      </c>
      <c r="AB23" s="2986">
        <f>D23/H23</f>
        <v>1</v>
      </c>
      <c r="AC23" s="2986">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52"/>
      <c r="Q24" s="2985"/>
      <c r="R24" s="773"/>
      <c r="S24" s="774"/>
      <c r="T24" s="773"/>
      <c r="U24" s="774"/>
      <c r="V24" s="773"/>
      <c r="W24" s="774"/>
      <c r="X24" s="2983"/>
      <c r="Y24" s="3254"/>
      <c r="Z24" s="2984"/>
      <c r="AA24" s="2986">
        <v>1</v>
      </c>
      <c r="AB24" s="2986">
        <v>1</v>
      </c>
      <c r="AC24" s="2986">
        <v>1</v>
      </c>
    </row>
    <row r="25" spans="1:29" ht="15">
      <c r="A25" s="427"/>
      <c r="B25" s="298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52"/>
      <c r="Q25" s="2985" t="str">
        <f t="shared" ref="Q25:Q46" si="11">B25</f>
        <v>楼层-1</v>
      </c>
      <c r="R25" s="773" t="s">
        <v>17</v>
      </c>
      <c r="S25" s="774">
        <f t="shared" ref="S25:S46" si="12">F25</f>
        <v>100</v>
      </c>
      <c r="T25" s="773" t="s">
        <v>17</v>
      </c>
      <c r="U25" s="774">
        <f t="shared" ref="U25:U46" si="13">H25</f>
        <v>100</v>
      </c>
      <c r="V25" s="773" t="s">
        <v>17</v>
      </c>
      <c r="W25" s="774">
        <f t="shared" ref="W25:W46" si="14">J25</f>
        <v>100</v>
      </c>
      <c r="X25" s="2983"/>
      <c r="Y25" s="3254"/>
      <c r="Z25" s="2984" t="str">
        <f>Q25</f>
        <v>楼层-1</v>
      </c>
      <c r="AA25" s="2986">
        <f t="shared" ref="AA25:AA46" si="15">D25/F25</f>
        <v>1</v>
      </c>
      <c r="AB25" s="2986">
        <f t="shared" ref="AB25:AB46" si="16">D25/H25</f>
        <v>1</v>
      </c>
      <c r="AC25" s="2986">
        <f t="shared" ref="AC25:AC46" si="17">D25/J25</f>
        <v>1</v>
      </c>
    </row>
    <row r="26" spans="1:29" ht="15">
      <c r="A26" s="427"/>
      <c r="B26" s="298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52"/>
      <c r="Q26" s="2985" t="str">
        <f t="shared" si="11"/>
        <v>朝向</v>
      </c>
      <c r="R26" s="773" t="s">
        <v>17</v>
      </c>
      <c r="S26" s="774">
        <f t="shared" si="12"/>
        <v>100</v>
      </c>
      <c r="T26" s="773" t="s">
        <v>17</v>
      </c>
      <c r="U26" s="774">
        <f t="shared" si="13"/>
        <v>100</v>
      </c>
      <c r="V26" s="773" t="s">
        <v>17</v>
      </c>
      <c r="W26" s="774">
        <f t="shared" si="14"/>
        <v>100</v>
      </c>
      <c r="X26" s="2983"/>
      <c r="Y26" s="3254"/>
      <c r="Z26" s="2984" t="str">
        <f>Q26</f>
        <v>朝向</v>
      </c>
      <c r="AA26" s="2986">
        <f t="shared" si="15"/>
        <v>1</v>
      </c>
      <c r="AB26" s="2986">
        <f t="shared" si="16"/>
        <v>1</v>
      </c>
      <c r="AC26" s="2986">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52"/>
      <c r="Q27" s="2967">
        <f t="shared" si="11"/>
        <v>111</v>
      </c>
      <c r="R27" s="769" t="s">
        <v>17</v>
      </c>
      <c r="S27" s="770">
        <f t="shared" si="12"/>
        <v>100</v>
      </c>
      <c r="T27" s="769" t="s">
        <v>17</v>
      </c>
      <c r="U27" s="770">
        <f t="shared" si="13"/>
        <v>100</v>
      </c>
      <c r="V27" s="769" t="s">
        <v>17</v>
      </c>
      <c r="W27" s="770">
        <f t="shared" si="14"/>
        <v>100</v>
      </c>
      <c r="X27" s="771"/>
      <c r="Y27" s="3254"/>
      <c r="Z27" s="2968">
        <f>Q27</f>
        <v>111</v>
      </c>
      <c r="AA27" s="2986">
        <f t="shared" si="15"/>
        <v>1</v>
      </c>
      <c r="AB27" s="2986">
        <f t="shared" si="16"/>
        <v>1</v>
      </c>
      <c r="AC27" s="2986">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52"/>
      <c r="Q28" s="2985">
        <f t="shared" si="11"/>
        <v>111</v>
      </c>
      <c r="R28" s="773" t="s">
        <v>17</v>
      </c>
      <c r="S28" s="774">
        <f t="shared" si="12"/>
        <v>100</v>
      </c>
      <c r="T28" s="773" t="s">
        <v>17</v>
      </c>
      <c r="U28" s="774">
        <f t="shared" si="13"/>
        <v>100</v>
      </c>
      <c r="V28" s="773" t="s">
        <v>17</v>
      </c>
      <c r="W28" s="774">
        <f t="shared" si="14"/>
        <v>100</v>
      </c>
      <c r="X28" s="2983"/>
      <c r="Y28" s="3254"/>
      <c r="Z28" s="2984">
        <f t="shared" ref="Z28:Z46" si="18">Q28</f>
        <v>111</v>
      </c>
      <c r="AA28" s="2986">
        <f t="shared" si="15"/>
        <v>1</v>
      </c>
      <c r="AB28" s="2986">
        <f t="shared" si="16"/>
        <v>1</v>
      </c>
      <c r="AC28" s="2986">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52"/>
      <c r="Q29" s="2985">
        <f t="shared" si="11"/>
        <v>111</v>
      </c>
      <c r="R29" s="773" t="s">
        <v>17</v>
      </c>
      <c r="S29" s="774">
        <f t="shared" si="12"/>
        <v>100</v>
      </c>
      <c r="T29" s="773" t="s">
        <v>17</v>
      </c>
      <c r="U29" s="774">
        <f t="shared" si="13"/>
        <v>100</v>
      </c>
      <c r="V29" s="773" t="s">
        <v>17</v>
      </c>
      <c r="W29" s="774">
        <f t="shared" si="14"/>
        <v>100</v>
      </c>
      <c r="X29" s="2983"/>
      <c r="Y29" s="3254"/>
      <c r="Z29" s="2984">
        <f t="shared" si="18"/>
        <v>111</v>
      </c>
      <c r="AA29" s="2986">
        <f t="shared" si="15"/>
        <v>1</v>
      </c>
      <c r="AB29" s="2986">
        <f t="shared" si="16"/>
        <v>1</v>
      </c>
      <c r="AC29" s="2986">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52"/>
      <c r="Q30" s="2985">
        <f t="shared" si="11"/>
        <v>111</v>
      </c>
      <c r="R30" s="773" t="s">
        <v>17</v>
      </c>
      <c r="S30" s="774">
        <f t="shared" si="12"/>
        <v>100</v>
      </c>
      <c r="T30" s="773" t="s">
        <v>17</v>
      </c>
      <c r="U30" s="774">
        <f t="shared" si="13"/>
        <v>100</v>
      </c>
      <c r="V30" s="773" t="s">
        <v>17</v>
      </c>
      <c r="W30" s="774">
        <f t="shared" si="14"/>
        <v>100</v>
      </c>
      <c r="X30" s="2983"/>
      <c r="Y30" s="3254"/>
      <c r="Z30" s="2984">
        <f t="shared" si="18"/>
        <v>111</v>
      </c>
      <c r="AA30" s="2986">
        <f t="shared" si="15"/>
        <v>1</v>
      </c>
      <c r="AB30" s="2986">
        <f t="shared" si="16"/>
        <v>1</v>
      </c>
      <c r="AC30" s="2986">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52"/>
      <c r="Q31" s="2985">
        <f t="shared" si="11"/>
        <v>111</v>
      </c>
      <c r="R31" s="773" t="s">
        <v>17</v>
      </c>
      <c r="S31" s="774">
        <f t="shared" si="12"/>
        <v>100</v>
      </c>
      <c r="T31" s="773" t="s">
        <v>17</v>
      </c>
      <c r="U31" s="774">
        <f t="shared" si="13"/>
        <v>100</v>
      </c>
      <c r="V31" s="773" t="s">
        <v>17</v>
      </c>
      <c r="W31" s="774">
        <f t="shared" si="14"/>
        <v>100</v>
      </c>
      <c r="X31" s="2983"/>
      <c r="Y31" s="3254"/>
      <c r="Z31" s="2984">
        <f t="shared" si="18"/>
        <v>111</v>
      </c>
      <c r="AA31" s="2986">
        <f t="shared" si="15"/>
        <v>1</v>
      </c>
      <c r="AB31" s="2986">
        <f t="shared" si="16"/>
        <v>1</v>
      </c>
      <c r="AC31" s="2986">
        <f t="shared" si="17"/>
        <v>1</v>
      </c>
    </row>
    <row r="32" spans="1:29" ht="15">
      <c r="A32" s="439" t="s">
        <v>2548</v>
      </c>
      <c r="B32" s="71" t="s">
        <v>2549</v>
      </c>
      <c r="C32" s="2606" t="s">
        <v>3068</v>
      </c>
      <c r="D32" s="466">
        <v>100</v>
      </c>
      <c r="E32" s="2606" t="s">
        <v>3068</v>
      </c>
      <c r="F32" s="460">
        <f>SUMIF(100:100,E32,101:101)-SUMIF(100:100,C32,101:101)+100</f>
        <v>100</v>
      </c>
      <c r="G32" s="2606" t="s">
        <v>3068</v>
      </c>
      <c r="H32" s="466">
        <f>SUMIF(100:100,G32,101:101)-SUMIF(100:100,C32,101:101)+100</f>
        <v>100</v>
      </c>
      <c r="I32" s="2606" t="s">
        <v>3068</v>
      </c>
      <c r="J32" s="434">
        <f>SUMIF(100:100,I32,101:101)-SUMIF(100:100,C32,101:101)+100</f>
        <v>100</v>
      </c>
      <c r="K32" s="425">
        <v>1.5</v>
      </c>
      <c r="L32" s="1133"/>
      <c r="M32" s="1124"/>
      <c r="N32" s="1124"/>
      <c r="O32" s="1124"/>
      <c r="P32" s="3255" t="s">
        <v>2550</v>
      </c>
      <c r="Q32" s="2985" t="str">
        <f t="shared" si="11"/>
        <v>建筑类型</v>
      </c>
      <c r="R32" s="773" t="s">
        <v>17</v>
      </c>
      <c r="S32" s="774">
        <f t="shared" si="12"/>
        <v>100</v>
      </c>
      <c r="T32" s="773" t="s">
        <v>17</v>
      </c>
      <c r="U32" s="774">
        <f t="shared" si="13"/>
        <v>100</v>
      </c>
      <c r="V32" s="773" t="s">
        <v>17</v>
      </c>
      <c r="W32" s="774">
        <f t="shared" si="14"/>
        <v>100</v>
      </c>
      <c r="X32" s="2983"/>
      <c r="Y32" s="3258" t="s">
        <v>2550</v>
      </c>
      <c r="Z32" s="2984" t="str">
        <f t="shared" si="18"/>
        <v>建筑类型</v>
      </c>
      <c r="AA32" s="2986">
        <f t="shared" si="15"/>
        <v>1</v>
      </c>
      <c r="AB32" s="2986">
        <f t="shared" si="16"/>
        <v>1</v>
      </c>
      <c r="AC32" s="2986">
        <f t="shared" si="17"/>
        <v>1</v>
      </c>
    </row>
    <row r="33" spans="1:29" s="470" customFormat="1" ht="15">
      <c r="A33" s="467"/>
      <c r="B33" s="2981" t="s">
        <v>2551</v>
      </c>
      <c r="C33" s="468">
        <f>'数据-基础表'!B13</f>
        <v>223455.24</v>
      </c>
      <c r="D33" s="135">
        <v>100</v>
      </c>
      <c r="E33" s="429">
        <v>202958.97</v>
      </c>
      <c r="F33" s="424">
        <f>LOOKUP(E33,103:103,104:104)-LOOKUP(C33,103:103,104:104)+100</f>
        <v>100</v>
      </c>
      <c r="G33" s="428">
        <v>220000</v>
      </c>
      <c r="H33" s="135">
        <f>LOOKUP(G33,103:103,104:104)-LOOKUP(C33,103:103,104:104)+100</f>
        <v>100</v>
      </c>
      <c r="I33" s="429">
        <v>233144.18</v>
      </c>
      <c r="J33" s="135">
        <f>LOOKUP(I33,103:103,104:104)-LOOKUP(C33,103:103,104:104)+100</f>
        <v>100</v>
      </c>
      <c r="K33" s="2590"/>
      <c r="L33" s="1131"/>
      <c r="M33" s="1134"/>
      <c r="N33" s="1134"/>
      <c r="O33" s="1134"/>
      <c r="P33" s="3256"/>
      <c r="Q33" s="775" t="str">
        <f t="shared" si="11"/>
        <v>项目建筑规模</v>
      </c>
      <c r="R33" s="776" t="s">
        <v>17</v>
      </c>
      <c r="S33" s="777">
        <f t="shared" si="12"/>
        <v>100</v>
      </c>
      <c r="T33" s="776" t="s">
        <v>17</v>
      </c>
      <c r="U33" s="777">
        <f t="shared" si="13"/>
        <v>100</v>
      </c>
      <c r="V33" s="776" t="s">
        <v>17</v>
      </c>
      <c r="W33" s="777">
        <f t="shared" si="14"/>
        <v>100</v>
      </c>
      <c r="X33" s="778"/>
      <c r="Y33" s="3258"/>
      <c r="Z33" s="779" t="str">
        <f t="shared" si="18"/>
        <v>项目建筑规模</v>
      </c>
      <c r="AA33" s="2986">
        <f t="shared" si="15"/>
        <v>1</v>
      </c>
      <c r="AB33" s="2986">
        <f t="shared" si="16"/>
        <v>1</v>
      </c>
      <c r="AC33" s="2986">
        <f t="shared" si="17"/>
        <v>1</v>
      </c>
    </row>
    <row r="34" spans="1:29" ht="15">
      <c r="A34" s="471"/>
      <c r="B34" s="298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56"/>
      <c r="Q34" s="2985" t="str">
        <f t="shared" si="11"/>
        <v>建筑结构</v>
      </c>
      <c r="R34" s="773" t="s">
        <v>17</v>
      </c>
      <c r="S34" s="774">
        <f t="shared" si="12"/>
        <v>100</v>
      </c>
      <c r="T34" s="773" t="s">
        <v>17</v>
      </c>
      <c r="U34" s="774">
        <f t="shared" si="13"/>
        <v>100</v>
      </c>
      <c r="V34" s="773" t="s">
        <v>17</v>
      </c>
      <c r="W34" s="774">
        <f t="shared" si="14"/>
        <v>100</v>
      </c>
      <c r="X34" s="2983"/>
      <c r="Y34" s="3258"/>
      <c r="Z34" s="2984" t="str">
        <f t="shared" si="18"/>
        <v>建筑结构</v>
      </c>
      <c r="AA34" s="2986">
        <f t="shared" si="15"/>
        <v>1</v>
      </c>
      <c r="AB34" s="2986">
        <f t="shared" si="16"/>
        <v>1</v>
      </c>
      <c r="AC34" s="2986">
        <f t="shared" si="17"/>
        <v>1</v>
      </c>
    </row>
    <row r="35" spans="1:29" ht="15">
      <c r="A35" s="471"/>
      <c r="B35" s="298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56"/>
      <c r="Q35" s="2985" t="str">
        <f t="shared" si="11"/>
        <v>建筑品质</v>
      </c>
      <c r="R35" s="773" t="s">
        <v>17</v>
      </c>
      <c r="S35" s="774">
        <f t="shared" si="12"/>
        <v>100</v>
      </c>
      <c r="T35" s="773" t="s">
        <v>17</v>
      </c>
      <c r="U35" s="774">
        <f t="shared" si="13"/>
        <v>100</v>
      </c>
      <c r="V35" s="773" t="s">
        <v>17</v>
      </c>
      <c r="W35" s="774">
        <f t="shared" si="14"/>
        <v>100</v>
      </c>
      <c r="X35" s="2983"/>
      <c r="Y35" s="3258"/>
      <c r="Z35" s="2984" t="str">
        <f t="shared" si="18"/>
        <v>建筑品质</v>
      </c>
      <c r="AA35" s="2986">
        <f t="shared" si="15"/>
        <v>1</v>
      </c>
      <c r="AB35" s="2986">
        <f t="shared" si="16"/>
        <v>1</v>
      </c>
      <c r="AC35" s="2986">
        <f t="shared" si="17"/>
        <v>1</v>
      </c>
    </row>
    <row r="36" spans="1:29" ht="15">
      <c r="A36" s="471"/>
      <c r="B36" s="298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56"/>
      <c r="Q36" s="2985" t="str">
        <f t="shared" si="11"/>
        <v>公共部分装修</v>
      </c>
      <c r="R36" s="773" t="s">
        <v>17</v>
      </c>
      <c r="S36" s="774">
        <f t="shared" si="12"/>
        <v>100</v>
      </c>
      <c r="T36" s="773" t="s">
        <v>17</v>
      </c>
      <c r="U36" s="774">
        <f t="shared" si="13"/>
        <v>100</v>
      </c>
      <c r="V36" s="773" t="s">
        <v>17</v>
      </c>
      <c r="W36" s="774">
        <f t="shared" si="14"/>
        <v>100</v>
      </c>
      <c r="X36" s="2983"/>
      <c r="Y36" s="3258"/>
      <c r="Z36" s="2984" t="str">
        <f t="shared" si="18"/>
        <v>公共部分装修</v>
      </c>
      <c r="AA36" s="2986">
        <f t="shared" si="15"/>
        <v>1</v>
      </c>
      <c r="AB36" s="2986">
        <f t="shared" si="16"/>
        <v>1</v>
      </c>
      <c r="AC36" s="2986">
        <f t="shared" si="17"/>
        <v>1</v>
      </c>
    </row>
    <row r="37" spans="1:29" s="116" customFormat="1" ht="15">
      <c r="A37" s="472"/>
      <c r="B37" s="298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56"/>
      <c r="Q37" s="2967" t="str">
        <f t="shared" si="11"/>
        <v>成新度</v>
      </c>
      <c r="R37" s="769" t="s">
        <v>17</v>
      </c>
      <c r="S37" s="770">
        <f t="shared" si="12"/>
        <v>100</v>
      </c>
      <c r="T37" s="769" t="s">
        <v>17</v>
      </c>
      <c r="U37" s="770">
        <f t="shared" si="13"/>
        <v>100</v>
      </c>
      <c r="V37" s="769" t="s">
        <v>17</v>
      </c>
      <c r="W37" s="770">
        <f t="shared" si="14"/>
        <v>100</v>
      </c>
      <c r="X37" s="771"/>
      <c r="Y37" s="3258"/>
      <c r="Z37" s="2968" t="str">
        <f t="shared" si="18"/>
        <v>成新度</v>
      </c>
      <c r="AA37" s="772">
        <f t="shared" si="15"/>
        <v>1</v>
      </c>
      <c r="AB37" s="772">
        <f t="shared" si="16"/>
        <v>1</v>
      </c>
      <c r="AC37" s="772">
        <f t="shared" si="17"/>
        <v>1</v>
      </c>
    </row>
    <row r="38" spans="1:29" ht="15">
      <c r="A38" s="471"/>
      <c r="B38" s="298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56" t="s">
        <v>2550</v>
      </c>
      <c r="Q38" s="2985" t="str">
        <f t="shared" si="11"/>
        <v>物业管理</v>
      </c>
      <c r="R38" s="773" t="s">
        <v>17</v>
      </c>
      <c r="S38" s="774">
        <f t="shared" si="12"/>
        <v>100</v>
      </c>
      <c r="T38" s="773" t="s">
        <v>17</v>
      </c>
      <c r="U38" s="774">
        <f t="shared" si="13"/>
        <v>100</v>
      </c>
      <c r="V38" s="773" t="s">
        <v>17</v>
      </c>
      <c r="W38" s="774">
        <f t="shared" si="14"/>
        <v>100</v>
      </c>
      <c r="X38" s="2983"/>
      <c r="Y38" s="3258" t="s">
        <v>2550</v>
      </c>
      <c r="Z38" s="2984" t="str">
        <f t="shared" si="18"/>
        <v>物业管理</v>
      </c>
      <c r="AA38" s="2986">
        <f t="shared" si="15"/>
        <v>1</v>
      </c>
      <c r="AB38" s="2986">
        <f t="shared" si="16"/>
        <v>1</v>
      </c>
      <c r="AC38" s="2986">
        <f t="shared" si="17"/>
        <v>1</v>
      </c>
    </row>
    <row r="39" spans="1:29" ht="15">
      <c r="A39" s="471"/>
      <c r="B39" s="298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56"/>
      <c r="Q39" s="2985" t="str">
        <f t="shared" si="11"/>
        <v>市政基础设施</v>
      </c>
      <c r="R39" s="773" t="s">
        <v>17</v>
      </c>
      <c r="S39" s="774">
        <f t="shared" si="12"/>
        <v>100</v>
      </c>
      <c r="T39" s="773" t="s">
        <v>17</v>
      </c>
      <c r="U39" s="774">
        <f t="shared" si="13"/>
        <v>100</v>
      </c>
      <c r="V39" s="773" t="s">
        <v>17</v>
      </c>
      <c r="W39" s="774">
        <f t="shared" si="14"/>
        <v>100</v>
      </c>
      <c r="X39" s="2983"/>
      <c r="Y39" s="3258"/>
      <c r="Z39" s="2984" t="str">
        <f t="shared" si="18"/>
        <v>市政基础设施</v>
      </c>
      <c r="AA39" s="2986">
        <f t="shared" si="15"/>
        <v>1</v>
      </c>
      <c r="AB39" s="2986">
        <f t="shared" si="16"/>
        <v>1</v>
      </c>
      <c r="AC39" s="2986">
        <f t="shared" si="17"/>
        <v>1</v>
      </c>
    </row>
    <row r="40" spans="1:29" ht="15">
      <c r="A40" s="471"/>
      <c r="B40" s="298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56"/>
      <c r="Q40" s="2985" t="str">
        <f t="shared" si="11"/>
        <v>房型</v>
      </c>
      <c r="R40" s="773" t="s">
        <v>17</v>
      </c>
      <c r="S40" s="774">
        <f t="shared" si="12"/>
        <v>100</v>
      </c>
      <c r="T40" s="773" t="s">
        <v>17</v>
      </c>
      <c r="U40" s="774">
        <f t="shared" si="13"/>
        <v>100</v>
      </c>
      <c r="V40" s="773" t="s">
        <v>17</v>
      </c>
      <c r="W40" s="774">
        <f t="shared" si="14"/>
        <v>100</v>
      </c>
      <c r="X40" s="2983"/>
      <c r="Y40" s="3258"/>
      <c r="Z40" s="2984" t="str">
        <f t="shared" si="18"/>
        <v>房型</v>
      </c>
      <c r="AA40" s="2986">
        <f t="shared" si="15"/>
        <v>1</v>
      </c>
      <c r="AB40" s="2986">
        <f t="shared" si="16"/>
        <v>1</v>
      </c>
      <c r="AC40" s="2986">
        <f t="shared" si="17"/>
        <v>1</v>
      </c>
    </row>
    <row r="41" spans="1:29" s="470" customFormat="1" ht="28.8">
      <c r="A41" s="467"/>
      <c r="B41" s="298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56"/>
      <c r="Q41" s="775" t="str">
        <f t="shared" si="11"/>
        <v>单套/主力户型建筑面积</v>
      </c>
      <c r="R41" s="776" t="s">
        <v>17</v>
      </c>
      <c r="S41" s="777">
        <f t="shared" si="12"/>
        <v>100</v>
      </c>
      <c r="T41" s="776" t="s">
        <v>17</v>
      </c>
      <c r="U41" s="777">
        <f t="shared" si="13"/>
        <v>100</v>
      </c>
      <c r="V41" s="776" t="s">
        <v>17</v>
      </c>
      <c r="W41" s="777">
        <f t="shared" si="14"/>
        <v>100</v>
      </c>
      <c r="X41" s="778"/>
      <c r="Y41" s="3258"/>
      <c r="Z41" s="779" t="str">
        <f t="shared" si="18"/>
        <v>单套/主力户型建筑面积</v>
      </c>
      <c r="AA41" s="2986">
        <f t="shared" si="15"/>
        <v>1</v>
      </c>
      <c r="AB41" s="2986">
        <f t="shared" si="16"/>
        <v>1</v>
      </c>
      <c r="AC41" s="2986">
        <f t="shared" si="17"/>
        <v>1</v>
      </c>
    </row>
    <row r="42" spans="1:29" ht="15">
      <c r="A42" s="471"/>
      <c r="B42" s="298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56"/>
      <c r="Q42" s="2985" t="str">
        <f t="shared" si="11"/>
        <v>内部装修</v>
      </c>
      <c r="R42" s="773" t="s">
        <v>17</v>
      </c>
      <c r="S42" s="774">
        <f t="shared" si="12"/>
        <v>100</v>
      </c>
      <c r="T42" s="773" t="s">
        <v>17</v>
      </c>
      <c r="U42" s="774">
        <f t="shared" si="13"/>
        <v>100</v>
      </c>
      <c r="V42" s="773" t="s">
        <v>17</v>
      </c>
      <c r="W42" s="774">
        <f t="shared" si="14"/>
        <v>100</v>
      </c>
      <c r="X42" s="2983"/>
      <c r="Y42" s="3258"/>
      <c r="Z42" s="2984" t="str">
        <f t="shared" si="18"/>
        <v>内部装修</v>
      </c>
      <c r="AA42" s="2986">
        <f t="shared" si="15"/>
        <v>1</v>
      </c>
      <c r="AB42" s="2986">
        <f t="shared" si="16"/>
        <v>1</v>
      </c>
      <c r="AC42" s="2986">
        <f t="shared" si="17"/>
        <v>1</v>
      </c>
    </row>
    <row r="43" spans="1:29" ht="28.8">
      <c r="A43" s="471"/>
      <c r="B43" s="298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56"/>
      <c r="Q43" s="2985" t="str">
        <f t="shared" si="11"/>
        <v>内部装修维护情况</v>
      </c>
      <c r="R43" s="773" t="s">
        <v>17</v>
      </c>
      <c r="S43" s="774">
        <f t="shared" si="12"/>
        <v>100</v>
      </c>
      <c r="T43" s="773" t="s">
        <v>17</v>
      </c>
      <c r="U43" s="774">
        <f t="shared" si="13"/>
        <v>100</v>
      </c>
      <c r="V43" s="773" t="s">
        <v>17</v>
      </c>
      <c r="W43" s="774">
        <f t="shared" si="14"/>
        <v>100</v>
      </c>
      <c r="X43" s="2983"/>
      <c r="Y43" s="3258"/>
      <c r="Z43" s="2984" t="str">
        <f t="shared" si="18"/>
        <v>内部装修维护情况</v>
      </c>
      <c r="AA43" s="2986">
        <f t="shared" si="15"/>
        <v>1</v>
      </c>
      <c r="AB43" s="2986">
        <f t="shared" si="16"/>
        <v>1</v>
      </c>
      <c r="AC43" s="2986">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56"/>
      <c r="Q44" s="2967">
        <f t="shared" si="11"/>
        <v>111</v>
      </c>
      <c r="R44" s="769" t="s">
        <v>17</v>
      </c>
      <c r="S44" s="770">
        <f t="shared" si="12"/>
        <v>100</v>
      </c>
      <c r="T44" s="769" t="s">
        <v>17</v>
      </c>
      <c r="U44" s="770">
        <f t="shared" si="13"/>
        <v>100</v>
      </c>
      <c r="V44" s="769" t="s">
        <v>17</v>
      </c>
      <c r="W44" s="770">
        <f t="shared" si="14"/>
        <v>100</v>
      </c>
      <c r="X44" s="771"/>
      <c r="Y44" s="3258"/>
      <c r="Z44" s="2968">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56"/>
      <c r="Q45" s="2985">
        <f t="shared" si="11"/>
        <v>111</v>
      </c>
      <c r="R45" s="773" t="s">
        <v>17</v>
      </c>
      <c r="S45" s="774">
        <f t="shared" si="12"/>
        <v>100</v>
      </c>
      <c r="T45" s="773" t="s">
        <v>17</v>
      </c>
      <c r="U45" s="774">
        <f t="shared" si="13"/>
        <v>100</v>
      </c>
      <c r="V45" s="773" t="s">
        <v>17</v>
      </c>
      <c r="W45" s="774">
        <f t="shared" si="14"/>
        <v>100</v>
      </c>
      <c r="X45" s="2983"/>
      <c r="Y45" s="3258"/>
      <c r="Z45" s="2984">
        <f t="shared" si="18"/>
        <v>111</v>
      </c>
      <c r="AA45" s="2986">
        <f t="shared" si="15"/>
        <v>1</v>
      </c>
      <c r="AB45" s="2986">
        <f t="shared" si="16"/>
        <v>1</v>
      </c>
      <c r="AC45" s="2986">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57"/>
      <c r="Q46" s="2985">
        <f t="shared" si="11"/>
        <v>111</v>
      </c>
      <c r="R46" s="773" t="s">
        <v>17</v>
      </c>
      <c r="S46" s="774">
        <f t="shared" si="12"/>
        <v>100</v>
      </c>
      <c r="T46" s="773" t="s">
        <v>17</v>
      </c>
      <c r="U46" s="774">
        <f t="shared" si="13"/>
        <v>100</v>
      </c>
      <c r="V46" s="773" t="s">
        <v>17</v>
      </c>
      <c r="W46" s="774">
        <f t="shared" si="14"/>
        <v>100</v>
      </c>
      <c r="X46" s="2983"/>
      <c r="Y46" s="3259"/>
      <c r="Z46" s="2984">
        <f t="shared" si="18"/>
        <v>111</v>
      </c>
      <c r="AA46" s="2986">
        <f t="shared" si="15"/>
        <v>1</v>
      </c>
      <c r="AB46" s="2986">
        <f t="shared" si="16"/>
        <v>1</v>
      </c>
      <c r="AC46" s="2986">
        <f t="shared" si="17"/>
        <v>1</v>
      </c>
    </row>
    <row r="47" spans="1:29" ht="14.4">
      <c r="A47" s="478" t="s">
        <v>2562</v>
      </c>
      <c r="B47" s="479"/>
      <c r="C47" s="1400" t="s">
        <v>1</v>
      </c>
      <c r="D47" s="1401"/>
      <c r="E47" s="1402">
        <v>14500</v>
      </c>
      <c r="F47" s="1403"/>
      <c r="G47" s="1404">
        <v>14000</v>
      </c>
      <c r="H47" s="1405"/>
      <c r="I47" s="1402">
        <v>15000</v>
      </c>
      <c r="J47" s="1405"/>
      <c r="K47" s="2609"/>
      <c r="L47" s="1136"/>
      <c r="M47" s="1137"/>
      <c r="N47" s="1124"/>
      <c r="O47" s="1137"/>
      <c r="P47" s="3260" t="str">
        <f>A47</f>
        <v>成交单价（元/平方米）</v>
      </c>
      <c r="Q47" s="3260"/>
      <c r="R47" s="3261">
        <f>E47</f>
        <v>14500</v>
      </c>
      <c r="S47" s="3261"/>
      <c r="T47" s="3261">
        <f>G47</f>
        <v>14000</v>
      </c>
      <c r="U47" s="3261"/>
      <c r="V47" s="3261">
        <f>I47</f>
        <v>15000</v>
      </c>
      <c r="W47" s="3261"/>
      <c r="X47" s="758"/>
      <c r="Y47" s="780"/>
      <c r="Z47" s="758"/>
      <c r="AA47" s="758"/>
      <c r="AB47" s="758"/>
      <c r="AC47" s="758"/>
    </row>
    <row r="48" spans="1:29" ht="15" thickBot="1">
      <c r="A48" s="485" t="s">
        <v>2563</v>
      </c>
      <c r="B48" s="486"/>
      <c r="C48" s="1406">
        <f>R49</f>
        <v>14547</v>
      </c>
      <c r="D48" s="1407"/>
      <c r="E48" s="1408">
        <f>R48</f>
        <v>14500</v>
      </c>
      <c r="F48" s="1408"/>
      <c r="G48" s="1406">
        <f>T48</f>
        <v>14141</v>
      </c>
      <c r="H48" s="1407"/>
      <c r="I48" s="1408">
        <f>V48</f>
        <v>15000</v>
      </c>
      <c r="J48" s="1407"/>
      <c r="K48" s="2610"/>
      <c r="L48" s="1136"/>
      <c r="M48" s="1137"/>
      <c r="N48" s="1137"/>
      <c r="O48" s="1137"/>
      <c r="P48" s="3260" t="str">
        <f>A48</f>
        <v>比较价值（元/平方米）</v>
      </c>
      <c r="Q48" s="3260"/>
      <c r="R48" s="3261">
        <f>IF(F1="售价",ROUND(PRODUCT(R47,AA7:AA46),0),ROUND(PRODUCT(R47,AA7:AA46),1))</f>
        <v>14500</v>
      </c>
      <c r="S48" s="3261"/>
      <c r="T48" s="3261">
        <f>IF(F1="售价",ROUND(PRODUCT(T47,AB7:AB46),0),ROUND(PRODUCT(T47,AB7:AB46),1))</f>
        <v>14141</v>
      </c>
      <c r="U48" s="3261"/>
      <c r="V48" s="3261">
        <f>IF(F1="售价",ROUND(PRODUCT(V47,AC7:AC46),0),ROUND(PRODUCT(V47,AC7:AC46),1))</f>
        <v>15000</v>
      </c>
      <c r="W48" s="3261"/>
      <c r="X48" s="758"/>
      <c r="Y48" s="758"/>
      <c r="Z48" s="758"/>
      <c r="AA48" s="758"/>
      <c r="AB48" s="758"/>
      <c r="AC48" s="758"/>
    </row>
    <row r="49" spans="1:29" ht="15" thickBot="1">
      <c r="A49" s="491" t="s">
        <v>2564</v>
      </c>
      <c r="B49" s="492"/>
      <c r="C49" s="1409">
        <f>R49</f>
        <v>14547</v>
      </c>
      <c r="D49" s="1410"/>
      <c r="E49" s="1410"/>
      <c r="F49" s="1410"/>
      <c r="G49" s="1410"/>
      <c r="H49" s="1410"/>
      <c r="I49" s="1410"/>
      <c r="J49" s="1410"/>
      <c r="K49" s="2611"/>
      <c r="L49" s="1136"/>
      <c r="M49" s="1137"/>
      <c r="N49" s="1137"/>
      <c r="O49" s="1137"/>
      <c r="P49" s="3262" t="str">
        <f>A49</f>
        <v>估价对象XX用房的比较价值（楼面单价，元/平方米）</v>
      </c>
      <c r="Q49" s="3263"/>
      <c r="R49" s="3264">
        <f>IF(F1="售价",ROUND(AVERAGE(R48:V48),0),ROUND(AVERAGE(R48:V48),1))</f>
        <v>14547</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1.0071428571428509E-2</v>
      </c>
      <c r="H52" s="499" t="str">
        <f>IF(OR(G52&gt;=0.3,G52&lt;=-0.3),"超过30%","")</f>
        <v/>
      </c>
      <c r="I52" s="498">
        <f>IF(I47&lt;I48,I48/I47-1,I47/I48-1)</f>
        <v>0</v>
      </c>
      <c r="J52" s="499" t="str">
        <f>IF(OR(I52&gt;=0.3,I52&lt;=-0.3),"超过30%","")</f>
        <v/>
      </c>
      <c r="K52" s="1098"/>
      <c r="L52" s="1099"/>
      <c r="M52" s="1137"/>
      <c r="N52" s="1137"/>
      <c r="O52" s="1137"/>
    </row>
    <row r="53" spans="1:29" ht="13.5" customHeight="1">
      <c r="A53" s="1137"/>
      <c r="B53" s="1137"/>
      <c r="C53" s="496" t="s">
        <v>2566</v>
      </c>
      <c r="D53" s="500"/>
      <c r="E53" s="498">
        <f>IF(E48&lt;G48,G48/E48-1,E48/G48-1)</f>
        <v>2.5387172052895757E-2</v>
      </c>
      <c r="F53" s="499" t="str">
        <f>IF(OR(E53&gt;=0.2,E53&lt;=-0.2),"超过20%","")</f>
        <v/>
      </c>
      <c r="G53" s="498">
        <f>IF(G48&lt;I48,I48/G48-1,G48/I48-1)</f>
        <v>6.0745350399547426E-2</v>
      </c>
      <c r="H53" s="499" t="str">
        <f>IF(OR(G53&gt;=0.2,G53&lt;=-0.2),"超过20%","")</f>
        <v/>
      </c>
      <c r="I53" s="498">
        <f>IF(I48&lt;E48,E48/I48-1,I48/E48-1)</f>
        <v>3.4482758620689724E-2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3.5714285714285809E-2</v>
      </c>
      <c r="F54" s="499" t="str">
        <f>IF(OR(E54&gt;=0.3,E54&lt;=-0.3),"超过30%","")</f>
        <v/>
      </c>
      <c r="G54" s="498">
        <f>IF(G47&lt;I47,I47/G47-1,G47/I47-1)</f>
        <v>7.1428571428571397E-2</v>
      </c>
      <c r="H54" s="499" t="str">
        <f>IF(OR(G54&gt;=0.3,G54&lt;=-0.3),"超过30%","")</f>
        <v/>
      </c>
      <c r="I54" s="498">
        <f>IF(I47&lt;E47,E47/I47-1,I47/E47-1)</f>
        <v>3.4482758620689724E-2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2533</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3684</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3692</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3691</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85" zoomScaleNormal="85" workbookViewId="0">
      <selection activeCell="M46" sqref="M4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3669</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13011</v>
      </c>
      <c r="C2" s="2575" t="s">
        <v>70</v>
      </c>
      <c r="D2" s="1358" t="e">
        <f ca="1">SUMIF(INDIRECT("'"&amp;F2&amp;"'"&amp;"!A:A"),"承租人权益价值",INDIRECT("'"&amp;F2&amp;"'"&amp;"!c:c"))</f>
        <v>#REF!</v>
      </c>
      <c r="E2" s="2576" t="s">
        <v>2518</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16333</v>
      </c>
      <c r="C3" s="399" t="s">
        <v>2519</v>
      </c>
      <c r="D3" s="398">
        <f>IF(D1="",'数据-汇总表'!E3,SUMIF('数据-汇总表'!$C19:$C33,D1,'数据-汇总表'!$E19:$E33))</f>
        <v>7966.26</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22" t="s">
        <v>2521</v>
      </c>
      <c r="D4" s="3223"/>
      <c r="E4" s="3224" t="s">
        <v>2522</v>
      </c>
      <c r="F4" s="3225"/>
      <c r="G4" s="3222" t="s">
        <v>2523</v>
      </c>
      <c r="H4" s="3223"/>
      <c r="I4" s="3222" t="s">
        <v>2524</v>
      </c>
      <c r="J4" s="3223"/>
      <c r="K4" s="2585" t="s">
        <v>2525</v>
      </c>
      <c r="L4" s="1123"/>
      <c r="M4" s="1124"/>
      <c r="N4" s="1124"/>
      <c r="O4" s="1124"/>
      <c r="P4" s="3226" t="s">
        <v>2526</v>
      </c>
      <c r="Q4" s="3227"/>
      <c r="R4" s="3232" t="s">
        <v>2522</v>
      </c>
      <c r="S4" s="3233"/>
      <c r="T4" s="3232" t="s">
        <v>2523</v>
      </c>
      <c r="U4" s="3233"/>
      <c r="V4" s="3246" t="s">
        <v>2524</v>
      </c>
      <c r="W4" s="3246"/>
      <c r="X4" s="1806"/>
      <c r="Y4" s="3232" t="s">
        <v>2526</v>
      </c>
      <c r="Z4" s="3233"/>
      <c r="AA4" s="3219" t="s">
        <v>2522</v>
      </c>
      <c r="AB4" s="3219" t="s">
        <v>2523</v>
      </c>
      <c r="AC4" s="3219" t="s">
        <v>2524</v>
      </c>
    </row>
    <row r="5" spans="1:29">
      <c r="A5" s="403"/>
      <c r="B5" s="404"/>
      <c r="C5" s="3236" t="s">
        <v>3649</v>
      </c>
      <c r="D5" s="3237"/>
      <c r="E5" s="3238" t="s">
        <v>3653</v>
      </c>
      <c r="F5" s="3239"/>
      <c r="G5" s="3236" t="s">
        <v>3654</v>
      </c>
      <c r="H5" s="3237"/>
      <c r="I5" s="3236" t="s">
        <v>3655</v>
      </c>
      <c r="J5" s="3237"/>
      <c r="K5" s="2586"/>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2586"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v>43678</v>
      </c>
      <c r="F7" s="412">
        <f>SUMIF(58:58,YEAR(E7)&amp;"-"&amp;MONTH(E7),59:59)</f>
        <v>100</v>
      </c>
      <c r="G7" s="411">
        <v>43678</v>
      </c>
      <c r="H7" s="410">
        <f>SUMIF(58:58,YEAR(G7)&amp;"-"&amp;MONTH(G7),59:59)</f>
        <v>100</v>
      </c>
      <c r="I7" s="411">
        <v>43678</v>
      </c>
      <c r="J7" s="410">
        <f>SUMIF(58:58,YEAR(I7)&amp;"-"&amp;MONTH(I7),59:59)</f>
        <v>100</v>
      </c>
      <c r="K7" s="2587"/>
      <c r="L7" s="1125"/>
      <c r="M7" s="1126"/>
      <c r="N7" s="1126"/>
      <c r="O7" s="1126"/>
      <c r="P7" s="3247" t="s">
        <v>2534</v>
      </c>
      <c r="Q7" s="3248"/>
      <c r="R7" s="769" t="s">
        <v>23</v>
      </c>
      <c r="S7" s="770">
        <f t="shared" ref="S7:S15" si="0">F7</f>
        <v>100</v>
      </c>
      <c r="T7" s="769" t="s">
        <v>23</v>
      </c>
      <c r="U7" s="770">
        <f t="shared" ref="U7:U15" si="1">H7</f>
        <v>100</v>
      </c>
      <c r="V7" s="769" t="s">
        <v>23</v>
      </c>
      <c r="W7" s="770">
        <f t="shared" ref="W7:W15" si="2">J7</f>
        <v>100</v>
      </c>
      <c r="X7" s="771"/>
      <c r="Y7" s="3247" t="s">
        <v>2534</v>
      </c>
      <c r="Z7" s="3249"/>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47" t="s">
        <v>2537</v>
      </c>
      <c r="Q8" s="3249"/>
      <c r="R8" s="769" t="s">
        <v>23</v>
      </c>
      <c r="S8" s="770">
        <f t="shared" si="0"/>
        <v>100</v>
      </c>
      <c r="T8" s="769" t="s">
        <v>23</v>
      </c>
      <c r="U8" s="770">
        <f t="shared" si="1"/>
        <v>100</v>
      </c>
      <c r="V8" s="769" t="s">
        <v>23</v>
      </c>
      <c r="W8" s="770">
        <f t="shared" si="2"/>
        <v>100</v>
      </c>
      <c r="X8" s="771"/>
      <c r="Y8" s="3247" t="s">
        <v>2537</v>
      </c>
      <c r="Z8" s="3249"/>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v>1.8</v>
      </c>
      <c r="D11" s="135">
        <v>100</v>
      </c>
      <c r="E11" s="429">
        <v>1.5</v>
      </c>
      <c r="F11" s="424">
        <f>LOOKUP(E11,68:68,69:69)-LOOKUP(C11,68:68,69:69)+100</f>
        <v>100</v>
      </c>
      <c r="G11" s="428">
        <v>1.1499999999999999</v>
      </c>
      <c r="H11" s="135">
        <f>LOOKUP(G11,68:68,69:69)-LOOKUP(C11,68:68,69:69)+100</f>
        <v>100</v>
      </c>
      <c r="I11" s="428">
        <v>1.5</v>
      </c>
      <c r="J11" s="135">
        <f>LOOKUP(I11,68:68,69:69)-LOOKUP(C11,68:68,69:69)+100</f>
        <v>100</v>
      </c>
      <c r="K11" s="425">
        <v>1</v>
      </c>
      <c r="L11" s="1131"/>
      <c r="M11" s="1124"/>
      <c r="N11" s="1124"/>
      <c r="O11" s="1124"/>
      <c r="P11" s="3250"/>
      <c r="Q11" s="1788" t="str">
        <f t="shared" si="6"/>
        <v>容积率</v>
      </c>
      <c r="R11" s="769" t="s">
        <v>21</v>
      </c>
      <c r="S11" s="770">
        <f t="shared" si="0"/>
        <v>100</v>
      </c>
      <c r="T11" s="769" t="s">
        <v>21</v>
      </c>
      <c r="U11" s="770">
        <f t="shared" si="1"/>
        <v>100</v>
      </c>
      <c r="V11" s="769" t="s">
        <v>21</v>
      </c>
      <c r="W11" s="770">
        <f t="shared" si="2"/>
        <v>100</v>
      </c>
      <c r="X11" s="771"/>
      <c r="Y11" s="3046"/>
      <c r="Z11" s="55" t="str">
        <f t="shared" si="7"/>
        <v>容积率</v>
      </c>
      <c r="AA11" s="772">
        <f t="shared" si="3"/>
        <v>1</v>
      </c>
      <c r="AB11" s="772">
        <f t="shared" si="4"/>
        <v>1</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50"/>
      <c r="Q12" s="1788">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50"/>
      <c r="Q13" s="1788">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50"/>
      <c r="Q14" s="1788">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51" t="s">
        <v>2545</v>
      </c>
      <c r="Q15" s="1803" t="str">
        <f t="shared" si="6"/>
        <v>居住社区成熟度</v>
      </c>
      <c r="R15" s="773" t="s">
        <v>21</v>
      </c>
      <c r="S15" s="774">
        <f t="shared" si="0"/>
        <v>100</v>
      </c>
      <c r="T15" s="773" t="s">
        <v>21</v>
      </c>
      <c r="U15" s="774">
        <f t="shared" si="1"/>
        <v>100</v>
      </c>
      <c r="V15" s="773" t="s">
        <v>21</v>
      </c>
      <c r="W15" s="774">
        <f t="shared" si="2"/>
        <v>100</v>
      </c>
      <c r="X15" s="1806"/>
      <c r="Y15" s="3253" t="s">
        <v>2545</v>
      </c>
      <c r="Z15" s="1807" t="str">
        <f t="shared" si="7"/>
        <v>居住社区成熟度</v>
      </c>
      <c r="AA15" s="1804">
        <f t="shared" si="3"/>
        <v>1</v>
      </c>
      <c r="AB15" s="1804">
        <f t="shared" si="4"/>
        <v>1</v>
      </c>
      <c r="AC15" s="1804">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52"/>
      <c r="Q16" s="1803"/>
      <c r="R16" s="773"/>
      <c r="S16" s="774"/>
      <c r="T16" s="773"/>
      <c r="U16" s="774"/>
      <c r="V16" s="773"/>
      <c r="W16" s="774"/>
      <c r="X16" s="1806"/>
      <c r="Y16" s="3254"/>
      <c r="Z16" s="1807"/>
      <c r="AA16" s="1804">
        <v>1</v>
      </c>
      <c r="AB16" s="1804">
        <v>1</v>
      </c>
      <c r="AC16" s="1804">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52"/>
      <c r="Q17" s="1803" t="str">
        <f>B17</f>
        <v>交通便捷度</v>
      </c>
      <c r="R17" s="773" t="s">
        <v>21</v>
      </c>
      <c r="S17" s="774">
        <f>F17</f>
        <v>100</v>
      </c>
      <c r="T17" s="773" t="s">
        <v>21</v>
      </c>
      <c r="U17" s="774">
        <f>H17</f>
        <v>100</v>
      </c>
      <c r="V17" s="773" t="s">
        <v>21</v>
      </c>
      <c r="W17" s="774">
        <f>J17</f>
        <v>100</v>
      </c>
      <c r="X17" s="1806"/>
      <c r="Y17" s="3254"/>
      <c r="Z17" s="1807" t="str">
        <f>Q17</f>
        <v>交通便捷度</v>
      </c>
      <c r="AA17" s="1804">
        <f t="shared" si="3"/>
        <v>1</v>
      </c>
      <c r="AB17" s="1804">
        <f t="shared" si="4"/>
        <v>1</v>
      </c>
      <c r="AC17" s="1804">
        <f t="shared" si="5"/>
        <v>1</v>
      </c>
    </row>
    <row r="18" spans="1:29" ht="15">
      <c r="A18" s="427"/>
      <c r="B18" s="455"/>
      <c r="C18" s="2597" t="s">
        <v>3682</v>
      </c>
      <c r="D18" s="449"/>
      <c r="E18" s="446" t="s">
        <v>3682</v>
      </c>
      <c r="F18" s="449"/>
      <c r="G18" s="446" t="s">
        <v>3682</v>
      </c>
      <c r="H18" s="447"/>
      <c r="I18" s="446" t="s">
        <v>3682</v>
      </c>
      <c r="J18" s="447"/>
      <c r="K18" s="2595"/>
      <c r="L18" s="1133"/>
      <c r="M18" s="1124"/>
      <c r="N18" s="1124"/>
      <c r="O18" s="1124"/>
      <c r="P18" s="3252"/>
      <c r="Q18" s="1803"/>
      <c r="R18" s="773"/>
      <c r="S18" s="774"/>
      <c r="T18" s="773"/>
      <c r="U18" s="774"/>
      <c r="V18" s="773"/>
      <c r="W18" s="774"/>
      <c r="X18" s="1806"/>
      <c r="Y18" s="3254"/>
      <c r="Z18" s="1807"/>
      <c r="AA18" s="1804">
        <v>1</v>
      </c>
      <c r="AB18" s="1804">
        <v>1</v>
      </c>
      <c r="AC18" s="1804">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52"/>
      <c r="Q19" s="1803" t="str">
        <f>B19</f>
        <v>公共配套设施</v>
      </c>
      <c r="R19" s="773" t="s">
        <v>21</v>
      </c>
      <c r="S19" s="774">
        <f>F19</f>
        <v>100</v>
      </c>
      <c r="T19" s="773" t="s">
        <v>21</v>
      </c>
      <c r="U19" s="774">
        <f>H19</f>
        <v>100</v>
      </c>
      <c r="V19" s="773" t="s">
        <v>21</v>
      </c>
      <c r="W19" s="774">
        <f>J19</f>
        <v>100</v>
      </c>
      <c r="X19" s="1806"/>
      <c r="Y19" s="3254"/>
      <c r="Z19" s="1807" t="str">
        <f>Q19</f>
        <v>公共配套设施</v>
      </c>
      <c r="AA19" s="1804">
        <f t="shared" si="3"/>
        <v>1</v>
      </c>
      <c r="AB19" s="1804">
        <f t="shared" si="4"/>
        <v>1</v>
      </c>
      <c r="AC19" s="1804">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52"/>
      <c r="Q20" s="1803"/>
      <c r="R20" s="773"/>
      <c r="S20" s="774"/>
      <c r="T20" s="773"/>
      <c r="U20" s="774"/>
      <c r="V20" s="773"/>
      <c r="W20" s="774"/>
      <c r="X20" s="1806"/>
      <c r="Y20" s="3254"/>
      <c r="Z20" s="1807"/>
      <c r="AA20" s="1804">
        <v>1</v>
      </c>
      <c r="AB20" s="1804">
        <v>1</v>
      </c>
      <c r="AC20" s="1804">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52"/>
      <c r="Q22" s="1803"/>
      <c r="R22" s="773"/>
      <c r="S22" s="774"/>
      <c r="T22" s="773"/>
      <c r="U22" s="774"/>
      <c r="V22" s="773"/>
      <c r="W22" s="774"/>
      <c r="X22" s="1806"/>
      <c r="Y22" s="3254"/>
      <c r="Z22" s="1807"/>
      <c r="AA22" s="1804">
        <v>1</v>
      </c>
      <c r="AB22" s="1804">
        <v>1</v>
      </c>
      <c r="AC22" s="1804">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52"/>
      <c r="Q23" s="1803" t="str">
        <f>B23</f>
        <v>自然及人文环境</v>
      </c>
      <c r="R23" s="773" t="s">
        <v>21</v>
      </c>
      <c r="S23" s="774">
        <f>F23</f>
        <v>100</v>
      </c>
      <c r="T23" s="773" t="s">
        <v>21</v>
      </c>
      <c r="U23" s="774">
        <f>H23</f>
        <v>100</v>
      </c>
      <c r="V23" s="773" t="s">
        <v>21</v>
      </c>
      <c r="W23" s="774">
        <f>J23</f>
        <v>100</v>
      </c>
      <c r="X23" s="1806"/>
      <c r="Y23" s="3254"/>
      <c r="Z23" s="1807" t="str">
        <f>Q23</f>
        <v>自然及人文环境</v>
      </c>
      <c r="AA23" s="1804">
        <f>D23/F23</f>
        <v>1</v>
      </c>
      <c r="AB23" s="1804">
        <f>D23/H23</f>
        <v>1</v>
      </c>
      <c r="AC23" s="1804">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52"/>
      <c r="Q24" s="1803"/>
      <c r="R24" s="773"/>
      <c r="S24" s="774"/>
      <c r="T24" s="773"/>
      <c r="U24" s="774"/>
      <c r="V24" s="773"/>
      <c r="W24" s="774"/>
      <c r="X24" s="1806"/>
      <c r="Y24" s="3254"/>
      <c r="Z24" s="1807"/>
      <c r="AA24" s="1804">
        <v>1</v>
      </c>
      <c r="AB24" s="1804">
        <v>1</v>
      </c>
      <c r="AC24" s="1804">
        <v>1</v>
      </c>
    </row>
    <row r="25" spans="1:29" ht="15">
      <c r="A25" s="427"/>
      <c r="B25" s="42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52"/>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54"/>
      <c r="Z25" s="1807" t="str">
        <f>Q25</f>
        <v>楼层-1</v>
      </c>
      <c r="AA25" s="1804">
        <f t="shared" ref="AA25:AA46" si="15">D25/F25</f>
        <v>1</v>
      </c>
      <c r="AB25" s="1804">
        <f t="shared" ref="AB25:AB46" si="16">D25/H25</f>
        <v>1</v>
      </c>
      <c r="AC25" s="1804">
        <f t="shared" ref="AC25:AC46" si="17">D25/J25</f>
        <v>1</v>
      </c>
    </row>
    <row r="26" spans="1:29" ht="15">
      <c r="A26" s="427"/>
      <c r="B26" s="42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52"/>
      <c r="Q26" s="1803" t="str">
        <f t="shared" si="11"/>
        <v>朝向</v>
      </c>
      <c r="R26" s="773" t="s">
        <v>21</v>
      </c>
      <c r="S26" s="774">
        <f t="shared" si="12"/>
        <v>100</v>
      </c>
      <c r="T26" s="773" t="s">
        <v>21</v>
      </c>
      <c r="U26" s="774">
        <f t="shared" si="13"/>
        <v>100</v>
      </c>
      <c r="V26" s="773" t="s">
        <v>21</v>
      </c>
      <c r="W26" s="774">
        <f t="shared" si="14"/>
        <v>100</v>
      </c>
      <c r="X26" s="1806"/>
      <c r="Y26" s="3254"/>
      <c r="Z26" s="1807" t="str">
        <f>Q26</f>
        <v>朝向</v>
      </c>
      <c r="AA26" s="1804">
        <f t="shared" si="15"/>
        <v>1</v>
      </c>
      <c r="AB26" s="1804">
        <f t="shared" si="16"/>
        <v>1</v>
      </c>
      <c r="AC26" s="1804">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52"/>
      <c r="Q27" s="1788">
        <f t="shared" si="11"/>
        <v>111</v>
      </c>
      <c r="R27" s="769" t="s">
        <v>21</v>
      </c>
      <c r="S27" s="770">
        <f t="shared" si="12"/>
        <v>100</v>
      </c>
      <c r="T27" s="769" t="s">
        <v>21</v>
      </c>
      <c r="U27" s="770">
        <f t="shared" si="13"/>
        <v>100</v>
      </c>
      <c r="V27" s="769" t="s">
        <v>21</v>
      </c>
      <c r="W27" s="770">
        <f t="shared" si="14"/>
        <v>100</v>
      </c>
      <c r="X27" s="771"/>
      <c r="Y27" s="3254"/>
      <c r="Z27" s="55">
        <f>Q27</f>
        <v>111</v>
      </c>
      <c r="AA27" s="1804">
        <f t="shared" si="15"/>
        <v>1</v>
      </c>
      <c r="AB27" s="1804">
        <f t="shared" si="16"/>
        <v>1</v>
      </c>
      <c r="AC27" s="1804">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52"/>
      <c r="Q28" s="1803">
        <f t="shared" si="11"/>
        <v>111</v>
      </c>
      <c r="R28" s="773" t="s">
        <v>21</v>
      </c>
      <c r="S28" s="774">
        <f t="shared" si="12"/>
        <v>100</v>
      </c>
      <c r="T28" s="773" t="s">
        <v>21</v>
      </c>
      <c r="U28" s="774">
        <f t="shared" si="13"/>
        <v>100</v>
      </c>
      <c r="V28" s="773" t="s">
        <v>21</v>
      </c>
      <c r="W28" s="774">
        <f t="shared" si="14"/>
        <v>100</v>
      </c>
      <c r="X28" s="1806"/>
      <c r="Y28" s="3254"/>
      <c r="Z28" s="1807">
        <f t="shared" ref="Z28:Z46" si="18">Q28</f>
        <v>111</v>
      </c>
      <c r="AA28" s="1804">
        <f t="shared" si="15"/>
        <v>1</v>
      </c>
      <c r="AB28" s="1804">
        <f t="shared" si="16"/>
        <v>1</v>
      </c>
      <c r="AC28" s="1804">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52"/>
      <c r="Q29" s="1803">
        <f t="shared" si="11"/>
        <v>111</v>
      </c>
      <c r="R29" s="773" t="s">
        <v>21</v>
      </c>
      <c r="S29" s="774">
        <f t="shared" si="12"/>
        <v>100</v>
      </c>
      <c r="T29" s="773" t="s">
        <v>21</v>
      </c>
      <c r="U29" s="774">
        <f t="shared" si="13"/>
        <v>100</v>
      </c>
      <c r="V29" s="773" t="s">
        <v>21</v>
      </c>
      <c r="W29" s="774">
        <f t="shared" si="14"/>
        <v>100</v>
      </c>
      <c r="X29" s="1806"/>
      <c r="Y29" s="3254"/>
      <c r="Z29" s="1807">
        <f t="shared" si="18"/>
        <v>111</v>
      </c>
      <c r="AA29" s="1804">
        <f t="shared" si="15"/>
        <v>1</v>
      </c>
      <c r="AB29" s="1804">
        <f t="shared" si="16"/>
        <v>1</v>
      </c>
      <c r="AC29" s="1804">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52"/>
      <c r="Q30" s="1803">
        <f t="shared" si="11"/>
        <v>111</v>
      </c>
      <c r="R30" s="773" t="s">
        <v>21</v>
      </c>
      <c r="S30" s="774">
        <f t="shared" si="12"/>
        <v>100</v>
      </c>
      <c r="T30" s="773" t="s">
        <v>21</v>
      </c>
      <c r="U30" s="774">
        <f t="shared" si="13"/>
        <v>100</v>
      </c>
      <c r="V30" s="773" t="s">
        <v>21</v>
      </c>
      <c r="W30" s="774">
        <f t="shared" si="14"/>
        <v>100</v>
      </c>
      <c r="X30" s="1806"/>
      <c r="Y30" s="3254"/>
      <c r="Z30" s="1807">
        <f t="shared" si="18"/>
        <v>111</v>
      </c>
      <c r="AA30" s="1804">
        <f t="shared" si="15"/>
        <v>1</v>
      </c>
      <c r="AB30" s="1804">
        <f t="shared" si="16"/>
        <v>1</v>
      </c>
      <c r="AC30" s="1804">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52"/>
      <c r="Q31" s="1803">
        <f t="shared" si="11"/>
        <v>111</v>
      </c>
      <c r="R31" s="773" t="s">
        <v>21</v>
      </c>
      <c r="S31" s="774">
        <f t="shared" si="12"/>
        <v>100</v>
      </c>
      <c r="T31" s="773" t="s">
        <v>21</v>
      </c>
      <c r="U31" s="774">
        <f t="shared" si="13"/>
        <v>100</v>
      </c>
      <c r="V31" s="773" t="s">
        <v>21</v>
      </c>
      <c r="W31" s="774">
        <f t="shared" si="14"/>
        <v>100</v>
      </c>
      <c r="X31" s="1806"/>
      <c r="Y31" s="3254"/>
      <c r="Z31" s="1807">
        <f t="shared" si="18"/>
        <v>111</v>
      </c>
      <c r="AA31" s="1804">
        <f t="shared" si="15"/>
        <v>1</v>
      </c>
      <c r="AB31" s="1804">
        <f t="shared" si="16"/>
        <v>1</v>
      </c>
      <c r="AC31" s="1804">
        <f t="shared" si="17"/>
        <v>1</v>
      </c>
    </row>
    <row r="32" spans="1:29" ht="15">
      <c r="A32" s="439" t="s">
        <v>2548</v>
      </c>
      <c r="B32" s="71" t="s">
        <v>2549</v>
      </c>
      <c r="C32" s="2606" t="s">
        <v>3065</v>
      </c>
      <c r="D32" s="466">
        <v>100</v>
      </c>
      <c r="E32" s="2606" t="s">
        <v>3065</v>
      </c>
      <c r="F32" s="460">
        <f>SUMIF(100:100,E32,101:101)-SUMIF(100:100,C32,101:101)+100</f>
        <v>100</v>
      </c>
      <c r="G32" s="2606" t="s">
        <v>3065</v>
      </c>
      <c r="H32" s="466">
        <f>SUMIF(100:100,G32,101:101)-SUMIF(100:100,C32,101:101)+100</f>
        <v>100</v>
      </c>
      <c r="I32" s="2607" t="s">
        <v>3065</v>
      </c>
      <c r="J32" s="434">
        <f>SUMIF(100:100,I32,101:101)-SUMIF(100:100,C32,101:101)+100</f>
        <v>100</v>
      </c>
      <c r="K32" s="425">
        <v>1.5</v>
      </c>
      <c r="L32" s="1133"/>
      <c r="M32" s="1124"/>
      <c r="N32" s="1124"/>
      <c r="O32" s="1124"/>
      <c r="P32" s="3255" t="s">
        <v>2550</v>
      </c>
      <c r="Q32" s="1803" t="str">
        <f t="shared" si="11"/>
        <v>建筑类型</v>
      </c>
      <c r="R32" s="773" t="s">
        <v>21</v>
      </c>
      <c r="S32" s="774">
        <f t="shared" si="12"/>
        <v>100</v>
      </c>
      <c r="T32" s="773" t="s">
        <v>21</v>
      </c>
      <c r="U32" s="774">
        <f t="shared" si="13"/>
        <v>100</v>
      </c>
      <c r="V32" s="773" t="s">
        <v>21</v>
      </c>
      <c r="W32" s="774">
        <f t="shared" si="14"/>
        <v>100</v>
      </c>
      <c r="X32" s="1806"/>
      <c r="Y32" s="3258" t="s">
        <v>2550</v>
      </c>
      <c r="Z32" s="1807" t="str">
        <f t="shared" si="18"/>
        <v>建筑类型</v>
      </c>
      <c r="AA32" s="1804">
        <f t="shared" si="15"/>
        <v>1</v>
      </c>
      <c r="AB32" s="1804">
        <f t="shared" si="16"/>
        <v>1</v>
      </c>
      <c r="AC32" s="1804">
        <f t="shared" si="17"/>
        <v>1</v>
      </c>
    </row>
    <row r="33" spans="1:29" s="470" customFormat="1" ht="15">
      <c r="A33" s="467"/>
      <c r="B33" s="421" t="s">
        <v>2551</v>
      </c>
      <c r="C33" s="468">
        <f>'数据-基础表'!B13</f>
        <v>223455.24</v>
      </c>
      <c r="D33" s="135">
        <v>100</v>
      </c>
      <c r="E33" s="429">
        <v>202958.97</v>
      </c>
      <c r="F33" s="424">
        <f>LOOKUP(E33,103:103,104:104)-LOOKUP(C33,103:103,104:104)+100</f>
        <v>100</v>
      </c>
      <c r="G33" s="428">
        <v>179000</v>
      </c>
      <c r="H33" s="135">
        <f>LOOKUP(G33,103:103,104:104)-LOOKUP(C33,103:103,104:104)+100</f>
        <v>99</v>
      </c>
      <c r="I33" s="429">
        <v>121559.05</v>
      </c>
      <c r="J33" s="135">
        <f>LOOKUP(I33,103:103,104:104)-LOOKUP(C33,103:103,104:104)+100</f>
        <v>98</v>
      </c>
      <c r="K33" s="2590"/>
      <c r="L33" s="1131"/>
      <c r="M33" s="1134"/>
      <c r="N33" s="1134"/>
      <c r="O33" s="1134"/>
      <c r="P33" s="3256"/>
      <c r="Q33" s="775" t="str">
        <f t="shared" si="11"/>
        <v>项目建筑规模</v>
      </c>
      <c r="R33" s="776" t="s">
        <v>21</v>
      </c>
      <c r="S33" s="777">
        <f t="shared" si="12"/>
        <v>100</v>
      </c>
      <c r="T33" s="776" t="s">
        <v>21</v>
      </c>
      <c r="U33" s="777">
        <f t="shared" si="13"/>
        <v>99</v>
      </c>
      <c r="V33" s="776" t="s">
        <v>21</v>
      </c>
      <c r="W33" s="777">
        <f t="shared" si="14"/>
        <v>98</v>
      </c>
      <c r="X33" s="778"/>
      <c r="Y33" s="3258"/>
      <c r="Z33" s="779" t="str">
        <f t="shared" si="18"/>
        <v>项目建筑规模</v>
      </c>
      <c r="AA33" s="1804">
        <f t="shared" si="15"/>
        <v>1</v>
      </c>
      <c r="AB33" s="1804">
        <f t="shared" si="16"/>
        <v>1.0101010101010102</v>
      </c>
      <c r="AC33" s="1804">
        <f t="shared" si="17"/>
        <v>1.0204081632653061</v>
      </c>
    </row>
    <row r="34" spans="1:29" ht="15">
      <c r="A34" s="471"/>
      <c r="B34" s="42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56"/>
      <c r="Q34" s="1803" t="str">
        <f t="shared" si="11"/>
        <v>建筑结构</v>
      </c>
      <c r="R34" s="773" t="s">
        <v>21</v>
      </c>
      <c r="S34" s="774">
        <f t="shared" si="12"/>
        <v>100</v>
      </c>
      <c r="T34" s="773" t="s">
        <v>21</v>
      </c>
      <c r="U34" s="774">
        <f t="shared" si="13"/>
        <v>100</v>
      </c>
      <c r="V34" s="773" t="s">
        <v>21</v>
      </c>
      <c r="W34" s="774">
        <f t="shared" si="14"/>
        <v>100</v>
      </c>
      <c r="X34" s="1806"/>
      <c r="Y34" s="3258"/>
      <c r="Z34" s="1807" t="str">
        <f t="shared" si="18"/>
        <v>建筑结构</v>
      </c>
      <c r="AA34" s="1804">
        <f t="shared" si="15"/>
        <v>1</v>
      </c>
      <c r="AB34" s="1804">
        <f t="shared" si="16"/>
        <v>1</v>
      </c>
      <c r="AC34" s="1804">
        <f t="shared" si="17"/>
        <v>1</v>
      </c>
    </row>
    <row r="35" spans="1:29" ht="15">
      <c r="A35" s="471"/>
      <c r="B35" s="42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56"/>
      <c r="Q35" s="1803" t="str">
        <f t="shared" si="11"/>
        <v>建筑品质</v>
      </c>
      <c r="R35" s="773" t="s">
        <v>21</v>
      </c>
      <c r="S35" s="774">
        <f t="shared" si="12"/>
        <v>100</v>
      </c>
      <c r="T35" s="773" t="s">
        <v>21</v>
      </c>
      <c r="U35" s="774">
        <f t="shared" si="13"/>
        <v>100</v>
      </c>
      <c r="V35" s="773" t="s">
        <v>21</v>
      </c>
      <c r="W35" s="774">
        <f t="shared" si="14"/>
        <v>100</v>
      </c>
      <c r="X35" s="1806"/>
      <c r="Y35" s="3258"/>
      <c r="Z35" s="1807" t="str">
        <f t="shared" si="18"/>
        <v>建筑品质</v>
      </c>
      <c r="AA35" s="1804">
        <f t="shared" si="15"/>
        <v>1</v>
      </c>
      <c r="AB35" s="1804">
        <f t="shared" si="16"/>
        <v>1</v>
      </c>
      <c r="AC35" s="1804">
        <f t="shared" si="17"/>
        <v>1</v>
      </c>
    </row>
    <row r="36" spans="1:29" ht="15">
      <c r="A36" s="471"/>
      <c r="B36" s="42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56"/>
      <c r="Q36" s="1803" t="str">
        <f t="shared" si="11"/>
        <v>公共部分装修</v>
      </c>
      <c r="R36" s="773" t="s">
        <v>21</v>
      </c>
      <c r="S36" s="774">
        <f t="shared" si="12"/>
        <v>100</v>
      </c>
      <c r="T36" s="773" t="s">
        <v>21</v>
      </c>
      <c r="U36" s="774">
        <f t="shared" si="13"/>
        <v>100</v>
      </c>
      <c r="V36" s="773" t="s">
        <v>21</v>
      </c>
      <c r="W36" s="774">
        <f t="shared" si="14"/>
        <v>100</v>
      </c>
      <c r="X36" s="1806"/>
      <c r="Y36" s="3258"/>
      <c r="Z36" s="1807" t="str">
        <f t="shared" si="18"/>
        <v>公共部分装修</v>
      </c>
      <c r="AA36" s="1804">
        <f t="shared" si="15"/>
        <v>1</v>
      </c>
      <c r="AB36" s="1804">
        <f t="shared" si="16"/>
        <v>1</v>
      </c>
      <c r="AC36" s="1804">
        <f t="shared" si="17"/>
        <v>1</v>
      </c>
    </row>
    <row r="37" spans="1:29" s="116" customFormat="1" ht="15">
      <c r="A37" s="472"/>
      <c r="B37" s="42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56"/>
      <c r="Q37" s="1788" t="str">
        <f t="shared" si="11"/>
        <v>成新度</v>
      </c>
      <c r="R37" s="769" t="s">
        <v>21</v>
      </c>
      <c r="S37" s="770">
        <f t="shared" si="12"/>
        <v>100</v>
      </c>
      <c r="T37" s="769" t="s">
        <v>21</v>
      </c>
      <c r="U37" s="770">
        <f t="shared" si="13"/>
        <v>100</v>
      </c>
      <c r="V37" s="769" t="s">
        <v>21</v>
      </c>
      <c r="W37" s="770">
        <f t="shared" si="14"/>
        <v>100</v>
      </c>
      <c r="X37" s="771"/>
      <c r="Y37" s="3258"/>
      <c r="Z37" s="55" t="str">
        <f t="shared" si="18"/>
        <v>成新度</v>
      </c>
      <c r="AA37" s="772">
        <f t="shared" si="15"/>
        <v>1</v>
      </c>
      <c r="AB37" s="772">
        <f t="shared" si="16"/>
        <v>1</v>
      </c>
      <c r="AC37" s="772">
        <f t="shared" si="17"/>
        <v>1</v>
      </c>
    </row>
    <row r="38" spans="1:29" ht="15">
      <c r="A38" s="471"/>
      <c r="B38" s="42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56" t="s">
        <v>2550</v>
      </c>
      <c r="Q38" s="1803" t="str">
        <f t="shared" si="11"/>
        <v>物业管理</v>
      </c>
      <c r="R38" s="773" t="s">
        <v>21</v>
      </c>
      <c r="S38" s="774">
        <f t="shared" si="12"/>
        <v>100</v>
      </c>
      <c r="T38" s="773" t="s">
        <v>21</v>
      </c>
      <c r="U38" s="774">
        <f t="shared" si="13"/>
        <v>100</v>
      </c>
      <c r="V38" s="773" t="s">
        <v>21</v>
      </c>
      <c r="W38" s="774">
        <f t="shared" si="14"/>
        <v>100</v>
      </c>
      <c r="X38" s="1806"/>
      <c r="Y38" s="3258" t="s">
        <v>2550</v>
      </c>
      <c r="Z38" s="1807" t="str">
        <f t="shared" si="18"/>
        <v>物业管理</v>
      </c>
      <c r="AA38" s="1804">
        <f t="shared" si="15"/>
        <v>1</v>
      </c>
      <c r="AB38" s="1804">
        <f t="shared" si="16"/>
        <v>1</v>
      </c>
      <c r="AC38" s="1804">
        <f t="shared" si="17"/>
        <v>1</v>
      </c>
    </row>
    <row r="39" spans="1:29" ht="15">
      <c r="A39" s="471"/>
      <c r="B39" s="42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56"/>
      <c r="Q39" s="1803" t="str">
        <f t="shared" si="11"/>
        <v>市政基础设施</v>
      </c>
      <c r="R39" s="773" t="s">
        <v>21</v>
      </c>
      <c r="S39" s="774">
        <f t="shared" si="12"/>
        <v>100</v>
      </c>
      <c r="T39" s="773" t="s">
        <v>21</v>
      </c>
      <c r="U39" s="774">
        <f t="shared" si="13"/>
        <v>100</v>
      </c>
      <c r="V39" s="773" t="s">
        <v>21</v>
      </c>
      <c r="W39" s="774">
        <f t="shared" si="14"/>
        <v>100</v>
      </c>
      <c r="X39" s="1806"/>
      <c r="Y39" s="3258"/>
      <c r="Z39" s="1807" t="str">
        <f t="shared" si="18"/>
        <v>市政基础设施</v>
      </c>
      <c r="AA39" s="1804">
        <f t="shared" si="15"/>
        <v>1</v>
      </c>
      <c r="AB39" s="1804">
        <f t="shared" si="16"/>
        <v>1</v>
      </c>
      <c r="AC39" s="1804">
        <f t="shared" si="17"/>
        <v>1</v>
      </c>
    </row>
    <row r="40" spans="1:29" ht="15">
      <c r="A40" s="471"/>
      <c r="B40" s="42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56"/>
      <c r="Q40" s="1803" t="str">
        <f t="shared" si="11"/>
        <v>房型</v>
      </c>
      <c r="R40" s="773" t="s">
        <v>21</v>
      </c>
      <c r="S40" s="774">
        <f t="shared" si="12"/>
        <v>100</v>
      </c>
      <c r="T40" s="773" t="s">
        <v>21</v>
      </c>
      <c r="U40" s="774">
        <f t="shared" si="13"/>
        <v>100</v>
      </c>
      <c r="V40" s="773" t="s">
        <v>21</v>
      </c>
      <c r="W40" s="774">
        <f t="shared" si="14"/>
        <v>100</v>
      </c>
      <c r="X40" s="1806"/>
      <c r="Y40" s="3258"/>
      <c r="Z40" s="1807" t="str">
        <f t="shared" si="18"/>
        <v>房型</v>
      </c>
      <c r="AA40" s="1804">
        <f t="shared" si="15"/>
        <v>1</v>
      </c>
      <c r="AB40" s="1804">
        <f t="shared" si="16"/>
        <v>1</v>
      </c>
      <c r="AC40" s="1804">
        <f t="shared" si="17"/>
        <v>1</v>
      </c>
    </row>
    <row r="41" spans="1:29" s="470" customFormat="1" ht="28.8">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4">
        <f t="shared" si="15"/>
        <v>1</v>
      </c>
      <c r="AB41" s="1804">
        <f t="shared" si="16"/>
        <v>1</v>
      </c>
      <c r="AC41" s="1804">
        <f t="shared" si="17"/>
        <v>1</v>
      </c>
    </row>
    <row r="42" spans="1:29" ht="15">
      <c r="A42" s="471"/>
      <c r="B42" s="42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56"/>
      <c r="Q42" s="1803" t="str">
        <f t="shared" si="11"/>
        <v>内部装修</v>
      </c>
      <c r="R42" s="773" t="s">
        <v>21</v>
      </c>
      <c r="S42" s="774">
        <f t="shared" si="12"/>
        <v>100</v>
      </c>
      <c r="T42" s="773" t="s">
        <v>21</v>
      </c>
      <c r="U42" s="774">
        <f t="shared" si="13"/>
        <v>100</v>
      </c>
      <c r="V42" s="773" t="s">
        <v>21</v>
      </c>
      <c r="W42" s="774">
        <f t="shared" si="14"/>
        <v>100</v>
      </c>
      <c r="X42" s="1806"/>
      <c r="Y42" s="3258"/>
      <c r="Z42" s="1807" t="str">
        <f t="shared" si="18"/>
        <v>内部装修</v>
      </c>
      <c r="AA42" s="1804">
        <f t="shared" si="15"/>
        <v>1</v>
      </c>
      <c r="AB42" s="1804">
        <f t="shared" si="16"/>
        <v>1</v>
      </c>
      <c r="AC42" s="1804">
        <f t="shared" si="17"/>
        <v>1</v>
      </c>
    </row>
    <row r="43" spans="1:29" ht="28.8">
      <c r="A43" s="471"/>
      <c r="B43" s="42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56"/>
      <c r="Q43" s="1803" t="str">
        <f t="shared" si="11"/>
        <v>内部装修维护情况</v>
      </c>
      <c r="R43" s="773" t="s">
        <v>21</v>
      </c>
      <c r="S43" s="774">
        <f t="shared" si="12"/>
        <v>100</v>
      </c>
      <c r="T43" s="773" t="s">
        <v>21</v>
      </c>
      <c r="U43" s="774">
        <f t="shared" si="13"/>
        <v>100</v>
      </c>
      <c r="V43" s="773" t="s">
        <v>21</v>
      </c>
      <c r="W43" s="774">
        <f t="shared" si="14"/>
        <v>100</v>
      </c>
      <c r="X43" s="1806"/>
      <c r="Y43" s="3258"/>
      <c r="Z43" s="1807" t="str">
        <f t="shared" si="18"/>
        <v>内部装修维护情况</v>
      </c>
      <c r="AA43" s="1804">
        <f t="shared" si="15"/>
        <v>1</v>
      </c>
      <c r="AB43" s="1804">
        <f t="shared" si="16"/>
        <v>1</v>
      </c>
      <c r="AC43" s="1804">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56"/>
      <c r="Q44" s="1788">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56"/>
      <c r="Q45" s="1803">
        <f t="shared" si="11"/>
        <v>111</v>
      </c>
      <c r="R45" s="773" t="s">
        <v>21</v>
      </c>
      <c r="S45" s="774">
        <f t="shared" si="12"/>
        <v>100</v>
      </c>
      <c r="T45" s="773" t="s">
        <v>21</v>
      </c>
      <c r="U45" s="774">
        <f t="shared" si="13"/>
        <v>100</v>
      </c>
      <c r="V45" s="773" t="s">
        <v>21</v>
      </c>
      <c r="W45" s="774">
        <f t="shared" si="14"/>
        <v>100</v>
      </c>
      <c r="X45" s="1806"/>
      <c r="Y45" s="3258"/>
      <c r="Z45" s="1807">
        <f t="shared" si="18"/>
        <v>111</v>
      </c>
      <c r="AA45" s="1804">
        <f t="shared" si="15"/>
        <v>1</v>
      </c>
      <c r="AB45" s="1804">
        <f t="shared" si="16"/>
        <v>1</v>
      </c>
      <c r="AC45" s="1804">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57"/>
      <c r="Q46" s="1803">
        <f t="shared" si="11"/>
        <v>111</v>
      </c>
      <c r="R46" s="773" t="s">
        <v>20</v>
      </c>
      <c r="S46" s="774">
        <f t="shared" si="12"/>
        <v>100</v>
      </c>
      <c r="T46" s="773" t="s">
        <v>20</v>
      </c>
      <c r="U46" s="774">
        <f t="shared" si="13"/>
        <v>100</v>
      </c>
      <c r="V46" s="773" t="s">
        <v>20</v>
      </c>
      <c r="W46" s="774">
        <f t="shared" si="14"/>
        <v>100</v>
      </c>
      <c r="X46" s="1806"/>
      <c r="Y46" s="3259"/>
      <c r="Z46" s="1807">
        <f t="shared" si="18"/>
        <v>111</v>
      </c>
      <c r="AA46" s="1804">
        <f t="shared" si="15"/>
        <v>1</v>
      </c>
      <c r="AB46" s="1804">
        <f t="shared" si="16"/>
        <v>1</v>
      </c>
      <c r="AC46" s="1804">
        <f t="shared" si="17"/>
        <v>1</v>
      </c>
    </row>
    <row r="47" spans="1:29" ht="14.4">
      <c r="A47" s="478" t="s">
        <v>2562</v>
      </c>
      <c r="B47" s="479"/>
      <c r="C47" s="1400" t="s">
        <v>19</v>
      </c>
      <c r="D47" s="1401"/>
      <c r="E47" s="1402">
        <v>16000</v>
      </c>
      <c r="F47" s="1403"/>
      <c r="G47" s="1404">
        <v>16000</v>
      </c>
      <c r="H47" s="1405"/>
      <c r="I47" s="1402">
        <v>16500</v>
      </c>
      <c r="J47" s="1405"/>
      <c r="K47" s="2609"/>
      <c r="L47" s="1136"/>
      <c r="M47" s="1137"/>
      <c r="N47" s="1124"/>
      <c r="O47" s="1137"/>
      <c r="P47" s="3260" t="str">
        <f>A47</f>
        <v>成交单价（元/平方米）</v>
      </c>
      <c r="Q47" s="3260"/>
      <c r="R47" s="3261">
        <f>E47</f>
        <v>16000</v>
      </c>
      <c r="S47" s="3261"/>
      <c r="T47" s="3261">
        <f>G47</f>
        <v>16000</v>
      </c>
      <c r="U47" s="3261"/>
      <c r="V47" s="3261">
        <f>I47</f>
        <v>16500</v>
      </c>
      <c r="W47" s="3261"/>
      <c r="X47" s="758"/>
      <c r="Y47" s="780"/>
      <c r="Z47" s="758"/>
      <c r="AA47" s="758"/>
      <c r="AB47" s="758"/>
      <c r="AC47" s="758"/>
    </row>
    <row r="48" spans="1:29" ht="15" thickBot="1">
      <c r="A48" s="485" t="s">
        <v>2563</v>
      </c>
      <c r="B48" s="486"/>
      <c r="C48" s="1406">
        <f>R49</f>
        <v>16333</v>
      </c>
      <c r="D48" s="1407"/>
      <c r="E48" s="1408">
        <f>R48</f>
        <v>16000</v>
      </c>
      <c r="F48" s="1408"/>
      <c r="G48" s="1406">
        <f>T48</f>
        <v>16162</v>
      </c>
      <c r="H48" s="1407"/>
      <c r="I48" s="1408">
        <f>V48</f>
        <v>16837</v>
      </c>
      <c r="J48" s="1407"/>
      <c r="K48" s="2610"/>
      <c r="L48" s="1136"/>
      <c r="M48" s="1137"/>
      <c r="N48" s="1137"/>
      <c r="O48" s="1137"/>
      <c r="P48" s="3260" t="str">
        <f>A48</f>
        <v>比较价值（元/平方米）</v>
      </c>
      <c r="Q48" s="3260"/>
      <c r="R48" s="3261">
        <f>IF(F1="售价",ROUND(PRODUCT(R47,AA7:AA46),0),ROUND(PRODUCT(R47,AA7:AA46),1))</f>
        <v>16000</v>
      </c>
      <c r="S48" s="3261"/>
      <c r="T48" s="3261">
        <f>IF(F1="售价",ROUND(PRODUCT(T47,AB7:AB46),0),ROUND(PRODUCT(T47,AB7:AB46),1))</f>
        <v>16162</v>
      </c>
      <c r="U48" s="3261"/>
      <c r="V48" s="3261">
        <f>IF(F1="售价",ROUND(PRODUCT(V47,AC7:AC46),0),ROUND(PRODUCT(V47,AC7:AC46),1))</f>
        <v>16837</v>
      </c>
      <c r="W48" s="3261"/>
      <c r="X48" s="758"/>
      <c r="Y48" s="758"/>
      <c r="Z48" s="758"/>
      <c r="AA48" s="758"/>
      <c r="AB48" s="758"/>
      <c r="AC48" s="758"/>
    </row>
    <row r="49" spans="1:29" ht="15" thickBot="1">
      <c r="A49" s="491" t="s">
        <v>2564</v>
      </c>
      <c r="B49" s="492"/>
      <c r="C49" s="1409">
        <f>R49</f>
        <v>16333</v>
      </c>
      <c r="D49" s="1410"/>
      <c r="E49" s="1410"/>
      <c r="F49" s="1410"/>
      <c r="G49" s="1410"/>
      <c r="H49" s="1410"/>
      <c r="I49" s="1410"/>
      <c r="J49" s="1410"/>
      <c r="K49" s="2611"/>
      <c r="L49" s="1136"/>
      <c r="M49" s="1137"/>
      <c r="N49" s="1137"/>
      <c r="O49" s="1137"/>
      <c r="P49" s="3262" t="str">
        <f>A49</f>
        <v>估价对象XX用房的比较价值（楼面单价，元/平方米）</v>
      </c>
      <c r="Q49" s="3263"/>
      <c r="R49" s="3264">
        <f>IF(F1="售价",ROUND(AVERAGE(R48:V48),0),ROUND(AVERAGE(R48:V48),1))</f>
        <v>16333</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1.012499999999994E-2</v>
      </c>
      <c r="H52" s="499" t="str">
        <f>IF(OR(G52&gt;=0.3,G52&lt;=-0.3),"超过30%","")</f>
        <v/>
      </c>
      <c r="I52" s="498">
        <f>IF(I47&lt;I48,I48/I47-1,I47/I48-1)</f>
        <v>2.0424242424242456E-2</v>
      </c>
      <c r="J52" s="499" t="str">
        <f>IF(OR(I52&gt;=0.3,I52&lt;=-0.3),"超过30%","")</f>
        <v/>
      </c>
      <c r="K52" s="1098"/>
      <c r="L52" s="1099"/>
      <c r="M52" s="1137"/>
      <c r="N52" s="1137"/>
      <c r="O52" s="1137"/>
    </row>
    <row r="53" spans="1:29" ht="13.5" customHeight="1">
      <c r="A53" s="1137"/>
      <c r="B53" s="1137"/>
      <c r="C53" s="496" t="s">
        <v>2566</v>
      </c>
      <c r="D53" s="500"/>
      <c r="E53" s="498">
        <f>IF(E48&lt;G48,G48/E48-1,E48/G48-1)</f>
        <v>1.012499999999994E-2</v>
      </c>
      <c r="F53" s="499" t="str">
        <f>IF(OR(E53&gt;=0.2,E53&lt;=-0.2),"超过20%","")</f>
        <v/>
      </c>
      <c r="G53" s="498">
        <f>IF(G48&lt;I48,I48/G48-1,G48/I48-1)</f>
        <v>4.1764633089964143E-2</v>
      </c>
      <c r="H53" s="499" t="str">
        <f>IF(OR(G53&gt;=0.2,G53&lt;=-0.2),"超过20%","")</f>
        <v/>
      </c>
      <c r="I53" s="498">
        <f>IF(I48&lt;E48,E48/I48-1,I48/E48-1)</f>
        <v>5.2312499999999984E-2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0</v>
      </c>
      <c r="F54" s="499" t="str">
        <f>IF(OR(E54&gt;=0.3,E54&lt;=-0.3),"超过30%","")</f>
        <v/>
      </c>
      <c r="G54" s="498">
        <f>IF(G47&lt;I47,I47/G47-1,G47/I47-1)</f>
        <v>3.125E-2</v>
      </c>
      <c r="H54" s="499" t="str">
        <f>IF(OR(G54&gt;=0.3,G54&lt;=-0.3),"超过30%","")</f>
        <v/>
      </c>
      <c r="I54" s="498">
        <f>IF(I47&lt;E47,E47/I47-1,I47/E47-1)</f>
        <v>3.125E-2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2569</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2571</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3695</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3694</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3693</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2627</v>
      </c>
      <c r="C1" s="1627" t="s">
        <v>2515</v>
      </c>
      <c r="D1" s="1614"/>
      <c r="E1" s="2645"/>
      <c r="F1" s="2573"/>
      <c r="G1" s="1624" t="s">
        <v>2628</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7" customFormat="1" ht="28.5" customHeight="1" thickTop="1">
      <c r="A2" s="1610" t="s">
        <v>2315</v>
      </c>
      <c r="B2" s="1411" t="e">
        <f ca="1">IF(C2="——",ROUND(C49*D3/10000,0),ROUND(C49*D3/10000,0)-D2)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2317</v>
      </c>
      <c r="B3" s="608" t="e">
        <f ca="1">IF(C2="——",C49,ROUND(B2*10000/D3,0))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46"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46"/>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46"/>
      <c r="AC6" s="3221"/>
    </row>
    <row r="7" spans="1:29" s="116" customFormat="1" ht="15" thickBot="1">
      <c r="A7" s="407" t="s">
        <v>2533</v>
      </c>
      <c r="B7" s="408"/>
      <c r="C7" s="409">
        <f>'数据-取费表'!B2</f>
        <v>43699</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6" si="3">D8/F8</f>
        <v>#DIV/0!</v>
      </c>
      <c r="AB8" s="772" t="e">
        <f t="shared" ref="AB8:AB46" si="4">D8/H8</f>
        <v>#DIV/0!</v>
      </c>
      <c r="AC8" s="772" t="e">
        <f t="shared" ref="AC8:AC46" si="5">D8/J8</f>
        <v>#DIV/0!</v>
      </c>
    </row>
    <row r="9" spans="1:29" s="116" customFormat="1" ht="14.4">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1"/>
      <c r="M11" s="1124"/>
      <c r="N11" s="1124"/>
      <c r="O11" s="1124"/>
      <c r="P11" s="325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25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5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5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15">
      <c r="A15" s="439" t="s">
        <v>2544</v>
      </c>
      <c r="B15" s="69" t="s">
        <v>2638</v>
      </c>
      <c r="C15" s="2592"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51" t="s">
        <v>2545</v>
      </c>
      <c r="Q15" s="1803" t="str">
        <f t="shared" si="6"/>
        <v>商业繁华度</v>
      </c>
      <c r="R15" s="773" t="s">
        <v>17</v>
      </c>
      <c r="S15" s="774">
        <f t="shared" si="0"/>
        <v>100</v>
      </c>
      <c r="T15" s="773" t="s">
        <v>17</v>
      </c>
      <c r="U15" s="774">
        <f t="shared" si="1"/>
        <v>100</v>
      </c>
      <c r="V15" s="773" t="s">
        <v>17</v>
      </c>
      <c r="W15" s="774">
        <f t="shared" si="2"/>
        <v>100</v>
      </c>
      <c r="X15" s="1806"/>
      <c r="Y15" s="3253" t="s">
        <v>2545</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24"/>
      <c r="P16" s="3252"/>
      <c r="Q16" s="1803"/>
      <c r="R16" s="773"/>
      <c r="S16" s="774"/>
      <c r="T16" s="773"/>
      <c r="U16" s="774"/>
      <c r="V16" s="773"/>
      <c r="W16" s="774"/>
      <c r="X16" s="1806"/>
      <c r="Y16" s="3254"/>
      <c r="Z16" s="1807"/>
      <c r="AA16" s="1804">
        <v>1</v>
      </c>
      <c r="AB16" s="1804">
        <v>1</v>
      </c>
      <c r="AC16" s="1804">
        <v>1</v>
      </c>
    </row>
    <row r="17" spans="1:29" ht="15">
      <c r="A17" s="427"/>
      <c r="B17" s="450" t="s">
        <v>2085</v>
      </c>
      <c r="C17" s="2596"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24"/>
      <c r="P18" s="3252"/>
      <c r="Q18" s="1803"/>
      <c r="R18" s="773"/>
      <c r="S18" s="774"/>
      <c r="T18" s="773"/>
      <c r="U18" s="774"/>
      <c r="V18" s="773"/>
      <c r="W18" s="774"/>
      <c r="X18" s="1806"/>
      <c r="Y18" s="3254"/>
      <c r="Z18" s="1807"/>
      <c r="AA18" s="1804">
        <v>1</v>
      </c>
      <c r="AB18" s="1804">
        <v>1</v>
      </c>
      <c r="AC18" s="1804">
        <v>1</v>
      </c>
    </row>
    <row r="19" spans="1:29" ht="15">
      <c r="A19" s="427"/>
      <c r="B19" s="450" t="s">
        <v>2639</v>
      </c>
      <c r="C19" s="2596"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24"/>
      <c r="P20" s="3252"/>
      <c r="Q20" s="1803"/>
      <c r="R20" s="773"/>
      <c r="S20" s="774"/>
      <c r="T20" s="773"/>
      <c r="U20" s="774"/>
      <c r="V20" s="773"/>
      <c r="W20" s="774"/>
      <c r="X20" s="1806"/>
      <c r="Y20" s="3254"/>
      <c r="Z20" s="1807"/>
      <c r="AA20" s="1804">
        <v>1</v>
      </c>
      <c r="AB20" s="1804">
        <v>1</v>
      </c>
      <c r="AC20" s="1804">
        <v>1</v>
      </c>
    </row>
    <row r="21" spans="1:29" ht="15">
      <c r="A21" s="427"/>
      <c r="B21" s="1377" t="s">
        <v>2640</v>
      </c>
      <c r="C21" s="2596"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24"/>
      <c r="P22" s="3252"/>
      <c r="Q22" s="1803"/>
      <c r="R22" s="773"/>
      <c r="S22" s="774"/>
      <c r="T22" s="773"/>
      <c r="U22" s="774"/>
      <c r="V22" s="773"/>
      <c r="W22" s="774"/>
      <c r="X22" s="1806"/>
      <c r="Y22" s="3254"/>
      <c r="Z22" s="1807"/>
      <c r="AA22" s="1804">
        <v>1</v>
      </c>
      <c r="AB22" s="1804">
        <v>1</v>
      </c>
      <c r="AC22" s="1804">
        <v>1</v>
      </c>
    </row>
    <row r="23" spans="1:29" ht="15">
      <c r="A23" s="427"/>
      <c r="B23" s="450" t="s">
        <v>2090</v>
      </c>
      <c r="C23" s="2652"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52"/>
      <c r="Q23" s="1803" t="str">
        <f>B23</f>
        <v>自然及人文环境</v>
      </c>
      <c r="R23" s="773" t="s">
        <v>17</v>
      </c>
      <c r="S23" s="774">
        <f>F23</f>
        <v>100</v>
      </c>
      <c r="T23" s="773" t="s">
        <v>17</v>
      </c>
      <c r="U23" s="774">
        <f>H23</f>
        <v>100</v>
      </c>
      <c r="V23" s="773" t="s">
        <v>17</v>
      </c>
      <c r="W23" s="774">
        <f>J23</f>
        <v>100</v>
      </c>
      <c r="X23" s="1806"/>
      <c r="Y23" s="3254"/>
      <c r="Z23" s="1807" t="str">
        <f>Q23</f>
        <v>自然及人文环境</v>
      </c>
      <c r="AA23" s="1804">
        <f t="shared" si="3"/>
        <v>1</v>
      </c>
      <c r="AB23" s="1804">
        <f t="shared" si="4"/>
        <v>1</v>
      </c>
      <c r="AC23" s="1804">
        <f t="shared" si="5"/>
        <v>1</v>
      </c>
    </row>
    <row r="24" spans="1:29" ht="15">
      <c r="A24" s="427"/>
      <c r="B24" s="455"/>
      <c r="C24" s="446"/>
      <c r="D24" s="447"/>
      <c r="E24" s="2594"/>
      <c r="F24" s="448"/>
      <c r="G24" s="2593"/>
      <c r="H24" s="447"/>
      <c r="I24" s="2594"/>
      <c r="J24" s="447"/>
      <c r="K24" s="614"/>
      <c r="L24" s="1133"/>
      <c r="M24" s="1124"/>
      <c r="N24" s="1124"/>
      <c r="O24" s="1124"/>
      <c r="P24" s="3252"/>
      <c r="Q24" s="1803"/>
      <c r="R24" s="773"/>
      <c r="S24" s="774"/>
      <c r="T24" s="773"/>
      <c r="U24" s="774"/>
      <c r="V24" s="773"/>
      <c r="W24" s="774"/>
      <c r="X24" s="1806"/>
      <c r="Y24" s="3254"/>
      <c r="Z24" s="1807"/>
      <c r="AA24" s="1804">
        <v>1</v>
      </c>
      <c r="AB24" s="1804">
        <v>1</v>
      </c>
      <c r="AC24" s="1804">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52"/>
      <c r="Q25" s="1803" t="str">
        <f t="shared" ref="Q25:Q46" si="11">B25</f>
        <v>临街状况</v>
      </c>
      <c r="R25" s="773" t="s">
        <v>17</v>
      </c>
      <c r="S25" s="774">
        <f>F25</f>
        <v>100</v>
      </c>
      <c r="T25" s="773" t="s">
        <v>17</v>
      </c>
      <c r="U25" s="774">
        <f>H25</f>
        <v>100</v>
      </c>
      <c r="V25" s="773" t="s">
        <v>17</v>
      </c>
      <c r="W25" s="774">
        <f>J25</f>
        <v>100</v>
      </c>
      <c r="X25" s="1806"/>
      <c r="Y25" s="3254"/>
      <c r="Z25" s="1807" t="str">
        <f>Q25</f>
        <v>临街状况</v>
      </c>
      <c r="AA25" s="1804">
        <f t="shared" si="3"/>
        <v>1</v>
      </c>
      <c r="AB25" s="1804">
        <f t="shared" si="4"/>
        <v>1</v>
      </c>
      <c r="AC25" s="1804">
        <f t="shared" si="5"/>
        <v>1</v>
      </c>
    </row>
    <row r="26" spans="1:29" ht="15">
      <c r="A26" s="427"/>
      <c r="B26" s="1379" t="s">
        <v>2642</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52"/>
      <c r="Q26" s="1803" t="str">
        <f t="shared" si="11"/>
        <v>平面位置/可视性</v>
      </c>
      <c r="R26" s="773" t="s">
        <v>17</v>
      </c>
      <c r="S26" s="774">
        <f>F26</f>
        <v>100</v>
      </c>
      <c r="T26" s="773" t="s">
        <v>17</v>
      </c>
      <c r="U26" s="774">
        <f>H26</f>
        <v>100</v>
      </c>
      <c r="V26" s="773" t="s">
        <v>17</v>
      </c>
      <c r="W26" s="774">
        <f>J26</f>
        <v>100</v>
      </c>
      <c r="X26" s="1806"/>
      <c r="Y26" s="3254"/>
      <c r="Z26" s="1807" t="str">
        <f>Q26</f>
        <v>平面位置/可视性</v>
      </c>
      <c r="AA26" s="1804">
        <f t="shared" si="3"/>
        <v>1</v>
      </c>
      <c r="AB26" s="1804">
        <f t="shared" si="4"/>
        <v>1</v>
      </c>
      <c r="AC26" s="1804">
        <f t="shared" si="5"/>
        <v>1</v>
      </c>
    </row>
    <row r="27" spans="1:29" s="116" customFormat="1" ht="15">
      <c r="A27" s="430"/>
      <c r="B27" s="450" t="s">
        <v>2643</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52"/>
      <c r="Q27" s="1788" t="str">
        <f t="shared" si="11"/>
        <v>人流量</v>
      </c>
      <c r="R27" s="769" t="s">
        <v>17</v>
      </c>
      <c r="S27" s="770">
        <f>F27</f>
        <v>100</v>
      </c>
      <c r="T27" s="769" t="s">
        <v>17</v>
      </c>
      <c r="U27" s="770">
        <f>H27</f>
        <v>100</v>
      </c>
      <c r="V27" s="769" t="s">
        <v>17</v>
      </c>
      <c r="W27" s="770">
        <f>J27</f>
        <v>100</v>
      </c>
      <c r="X27" s="771"/>
      <c r="Y27" s="3254"/>
      <c r="Z27" s="55" t="str">
        <f>Q27</f>
        <v>人流量</v>
      </c>
      <c r="AA27" s="1804">
        <f>D27/F27</f>
        <v>1</v>
      </c>
      <c r="AB27" s="1804">
        <f>D27/H27</f>
        <v>1</v>
      </c>
      <c r="AC27" s="1804">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52"/>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54"/>
      <c r="Z28" s="1807" t="str">
        <f t="shared" ref="Z28:Z46" si="15">Q28</f>
        <v>楼层</v>
      </c>
      <c r="AA28" s="1804">
        <f t="shared" si="3"/>
        <v>1</v>
      </c>
      <c r="AB28" s="1804">
        <f t="shared" si="4"/>
        <v>1</v>
      </c>
      <c r="AC28" s="1804">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52"/>
      <c r="Q29" s="1803">
        <f t="shared" si="11"/>
        <v>111</v>
      </c>
      <c r="R29" s="773" t="s">
        <v>17</v>
      </c>
      <c r="S29" s="774">
        <f t="shared" si="12"/>
        <v>100</v>
      </c>
      <c r="T29" s="773" t="s">
        <v>17</v>
      </c>
      <c r="U29" s="774">
        <f t="shared" si="13"/>
        <v>100</v>
      </c>
      <c r="V29" s="773" t="s">
        <v>17</v>
      </c>
      <c r="W29" s="774">
        <f t="shared" si="14"/>
        <v>100</v>
      </c>
      <c r="X29" s="1806"/>
      <c r="Y29" s="3254"/>
      <c r="Z29" s="1807">
        <f t="shared" si="15"/>
        <v>111</v>
      </c>
      <c r="AA29" s="1804">
        <f t="shared" si="3"/>
        <v>1</v>
      </c>
      <c r="AB29" s="1804">
        <f t="shared" si="4"/>
        <v>1</v>
      </c>
      <c r="AC29" s="1804">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1804">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1804">
        <f t="shared" si="5"/>
        <v>1</v>
      </c>
    </row>
    <row r="32" spans="1:29" ht="15">
      <c r="A32" s="439" t="s">
        <v>2548</v>
      </c>
      <c r="B32" s="71" t="s">
        <v>2645</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55" t="s">
        <v>2550</v>
      </c>
      <c r="Q32" s="1803" t="str">
        <f t="shared" si="11"/>
        <v>商业类型</v>
      </c>
      <c r="R32" s="773" t="s">
        <v>17</v>
      </c>
      <c r="S32" s="774">
        <f t="shared" si="12"/>
        <v>100</v>
      </c>
      <c r="T32" s="773" t="s">
        <v>17</v>
      </c>
      <c r="U32" s="774">
        <f t="shared" si="13"/>
        <v>100</v>
      </c>
      <c r="V32" s="773" t="s">
        <v>17</v>
      </c>
      <c r="W32" s="774">
        <f t="shared" si="14"/>
        <v>100</v>
      </c>
      <c r="X32" s="1806"/>
      <c r="Y32" s="3258" t="s">
        <v>2550</v>
      </c>
      <c r="Z32" s="1807" t="str">
        <f t="shared" si="15"/>
        <v>商业类型</v>
      </c>
      <c r="AA32" s="1804">
        <f t="shared" si="3"/>
        <v>1</v>
      </c>
      <c r="AB32" s="1804">
        <f t="shared" si="4"/>
        <v>1</v>
      </c>
      <c r="AC32" s="1804">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1"/>
      <c r="M33" s="1134"/>
      <c r="N33" s="1134"/>
      <c r="O33" s="1134"/>
      <c r="P33" s="3256"/>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4" t="e">
        <f t="shared" si="3"/>
        <v>#N/A</v>
      </c>
      <c r="AB33" s="1804" t="e">
        <f t="shared" si="4"/>
        <v>#N/A</v>
      </c>
      <c r="AC33" s="1804" t="e">
        <f t="shared" si="5"/>
        <v>#N/A</v>
      </c>
    </row>
    <row r="34" spans="1:29" ht="15">
      <c r="A34" s="471"/>
      <c r="B34" s="421" t="s">
        <v>2552</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56"/>
      <c r="Q34" s="1803" t="str">
        <f t="shared" si="11"/>
        <v>建筑结构</v>
      </c>
      <c r="R34" s="773" t="s">
        <v>17</v>
      </c>
      <c r="S34" s="774">
        <f t="shared" si="12"/>
        <v>100</v>
      </c>
      <c r="T34" s="773" t="s">
        <v>17</v>
      </c>
      <c r="U34" s="774">
        <f t="shared" si="13"/>
        <v>100</v>
      </c>
      <c r="V34" s="773" t="s">
        <v>17</v>
      </c>
      <c r="W34" s="774">
        <f t="shared" si="14"/>
        <v>100</v>
      </c>
      <c r="X34" s="1806"/>
      <c r="Y34" s="3258"/>
      <c r="Z34" s="1807" t="str">
        <f t="shared" si="15"/>
        <v>建筑结构</v>
      </c>
      <c r="AA34" s="1804">
        <f t="shared" si="3"/>
        <v>1</v>
      </c>
      <c r="AB34" s="1804">
        <f t="shared" si="4"/>
        <v>1</v>
      </c>
      <c r="AC34" s="1804">
        <f t="shared" si="5"/>
        <v>1</v>
      </c>
    </row>
    <row r="35" spans="1:29" ht="15">
      <c r="A35" s="471"/>
      <c r="B35" s="421" t="s">
        <v>2646</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56"/>
      <c r="Q35" s="1803" t="str">
        <f t="shared" si="11"/>
        <v>公共部分装修</v>
      </c>
      <c r="R35" s="773" t="s">
        <v>17</v>
      </c>
      <c r="S35" s="774">
        <f t="shared" si="12"/>
        <v>100</v>
      </c>
      <c r="T35" s="773" t="s">
        <v>17</v>
      </c>
      <c r="U35" s="774">
        <f t="shared" si="13"/>
        <v>100</v>
      </c>
      <c r="V35" s="773" t="s">
        <v>17</v>
      </c>
      <c r="W35" s="774">
        <f t="shared" si="14"/>
        <v>100</v>
      </c>
      <c r="X35" s="1806"/>
      <c r="Y35" s="3258"/>
      <c r="Z35" s="1807" t="str">
        <f t="shared" si="15"/>
        <v>公共部分装修</v>
      </c>
      <c r="AA35" s="1804">
        <f t="shared" si="3"/>
        <v>1</v>
      </c>
      <c r="AB35" s="1804">
        <f t="shared" si="4"/>
        <v>1</v>
      </c>
      <c r="AC35" s="1804">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56"/>
      <c r="Q36" s="1803" t="str">
        <f t="shared" si="11"/>
        <v>成新度</v>
      </c>
      <c r="R36" s="773" t="s">
        <v>17</v>
      </c>
      <c r="S36" s="774" t="e">
        <f t="shared" si="12"/>
        <v>#N/A</v>
      </c>
      <c r="T36" s="773" t="s">
        <v>17</v>
      </c>
      <c r="U36" s="774" t="e">
        <f t="shared" si="13"/>
        <v>#N/A</v>
      </c>
      <c r="V36" s="773" t="s">
        <v>17</v>
      </c>
      <c r="W36" s="774" t="e">
        <f t="shared" si="14"/>
        <v>#N/A</v>
      </c>
      <c r="X36" s="1806"/>
      <c r="Y36" s="3258"/>
      <c r="Z36" s="1807" t="str">
        <f t="shared" si="15"/>
        <v>成新度</v>
      </c>
      <c r="AA36" s="1804" t="e">
        <f t="shared" si="3"/>
        <v>#N/A</v>
      </c>
      <c r="AB36" s="1804" t="e">
        <f t="shared" si="4"/>
        <v>#N/A</v>
      </c>
      <c r="AC36" s="1804" t="e">
        <f t="shared" si="5"/>
        <v>#N/A</v>
      </c>
    </row>
    <row r="37" spans="1:29" s="116" customFormat="1" ht="15">
      <c r="A37" s="472"/>
      <c r="B37" s="421" t="s">
        <v>2648</v>
      </c>
      <c r="C37" s="2602"/>
      <c r="D37" s="135">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56"/>
      <c r="Q37" s="1788"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2649</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56" t="s">
        <v>2550</v>
      </c>
      <c r="Q38" s="1803" t="str">
        <f t="shared" si="11"/>
        <v>业态</v>
      </c>
      <c r="R38" s="773" t="s">
        <v>17</v>
      </c>
      <c r="S38" s="774">
        <f t="shared" si="12"/>
        <v>100</v>
      </c>
      <c r="T38" s="773" t="s">
        <v>17</v>
      </c>
      <c r="U38" s="774">
        <f t="shared" si="13"/>
        <v>100</v>
      </c>
      <c r="V38" s="773" t="s">
        <v>17</v>
      </c>
      <c r="W38" s="774">
        <f t="shared" si="14"/>
        <v>100</v>
      </c>
      <c r="X38" s="1806"/>
      <c r="Y38" s="3258" t="s">
        <v>2550</v>
      </c>
      <c r="Z38" s="1807" t="str">
        <f t="shared" si="15"/>
        <v>业态</v>
      </c>
      <c r="AA38" s="1804">
        <f t="shared" si="3"/>
        <v>1</v>
      </c>
      <c r="AB38" s="1804">
        <f t="shared" si="4"/>
        <v>1</v>
      </c>
      <c r="AC38" s="1804">
        <f t="shared" si="5"/>
        <v>1</v>
      </c>
    </row>
    <row r="39" spans="1:29" ht="15">
      <c r="A39" s="471"/>
      <c r="B39" s="421" t="s">
        <v>2650</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56"/>
      <c r="Q39" s="1803" t="str">
        <f t="shared" si="11"/>
        <v>层高</v>
      </c>
      <c r="R39" s="773" t="s">
        <v>17</v>
      </c>
      <c r="S39" s="774">
        <f t="shared" si="12"/>
        <v>100</v>
      </c>
      <c r="T39" s="773" t="s">
        <v>17</v>
      </c>
      <c r="U39" s="774">
        <f t="shared" si="13"/>
        <v>100</v>
      </c>
      <c r="V39" s="773" t="s">
        <v>17</v>
      </c>
      <c r="W39" s="774">
        <f t="shared" si="14"/>
        <v>100</v>
      </c>
      <c r="X39" s="1806"/>
      <c r="Y39" s="3258"/>
      <c r="Z39" s="1807" t="str">
        <f t="shared" si="15"/>
        <v>层高</v>
      </c>
      <c r="AA39" s="1804">
        <f t="shared" si="3"/>
        <v>1</v>
      </c>
      <c r="AB39" s="1804">
        <f t="shared" si="4"/>
        <v>1</v>
      </c>
      <c r="AC39" s="1804">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56"/>
      <c r="Q40" s="1803" t="str">
        <f t="shared" si="11"/>
        <v>单套建筑面积</v>
      </c>
      <c r="R40" s="773" t="s">
        <v>17</v>
      </c>
      <c r="S40" s="774">
        <f t="shared" si="12"/>
        <v>100</v>
      </c>
      <c r="T40" s="773" t="s">
        <v>17</v>
      </c>
      <c r="U40" s="774">
        <f t="shared" si="13"/>
        <v>100</v>
      </c>
      <c r="V40" s="773" t="s">
        <v>17</v>
      </c>
      <c r="W40" s="774">
        <f t="shared" si="14"/>
        <v>100</v>
      </c>
      <c r="X40" s="1806"/>
      <c r="Y40" s="3258"/>
      <c r="Z40" s="1807" t="str">
        <f t="shared" si="15"/>
        <v>单套建筑面积</v>
      </c>
      <c r="AA40" s="1804">
        <f t="shared" si="3"/>
        <v>1</v>
      </c>
      <c r="AB40" s="1804">
        <f t="shared" si="4"/>
        <v>1</v>
      </c>
      <c r="AC40" s="1804">
        <f t="shared" si="5"/>
        <v>1</v>
      </c>
    </row>
    <row r="41" spans="1:29" s="470" customFormat="1" ht="15">
      <c r="A41" s="467"/>
      <c r="B41" s="1805"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4">
        <f t="shared" si="3"/>
        <v>1</v>
      </c>
      <c r="AB41" s="1804">
        <f t="shared" si="4"/>
        <v>1</v>
      </c>
      <c r="AC41" s="1804">
        <f t="shared" si="5"/>
        <v>1</v>
      </c>
    </row>
    <row r="42" spans="1:29" ht="15">
      <c r="A42" s="471"/>
      <c r="B42" s="421" t="s">
        <v>2653</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56"/>
      <c r="Q42" s="1803" t="str">
        <f t="shared" si="11"/>
        <v>内部装修</v>
      </c>
      <c r="R42" s="773" t="s">
        <v>17</v>
      </c>
      <c r="S42" s="774">
        <f t="shared" si="12"/>
        <v>100</v>
      </c>
      <c r="T42" s="773" t="s">
        <v>17</v>
      </c>
      <c r="U42" s="774">
        <f t="shared" si="13"/>
        <v>100</v>
      </c>
      <c r="V42" s="773" t="s">
        <v>17</v>
      </c>
      <c r="W42" s="774">
        <f t="shared" si="14"/>
        <v>100</v>
      </c>
      <c r="X42" s="1806"/>
      <c r="Y42" s="3258"/>
      <c r="Z42" s="1807" t="str">
        <f t="shared" si="15"/>
        <v>内部装修</v>
      </c>
      <c r="AA42" s="1804">
        <f t="shared" si="3"/>
        <v>1</v>
      </c>
      <c r="AB42" s="1804">
        <f t="shared" si="4"/>
        <v>1</v>
      </c>
      <c r="AC42" s="1804">
        <f t="shared" si="5"/>
        <v>1</v>
      </c>
    </row>
    <row r="43" spans="1:29" ht="28.8">
      <c r="A43" s="471"/>
      <c r="B43" s="421" t="s">
        <v>2561</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56"/>
      <c r="Q43" s="1803" t="str">
        <f t="shared" si="11"/>
        <v>内部装修维护情况</v>
      </c>
      <c r="R43" s="773" t="s">
        <v>17</v>
      </c>
      <c r="S43" s="774">
        <f t="shared" si="12"/>
        <v>100</v>
      </c>
      <c r="T43" s="773" t="s">
        <v>17</v>
      </c>
      <c r="U43" s="774">
        <f t="shared" si="13"/>
        <v>100</v>
      </c>
      <c r="V43" s="773" t="s">
        <v>17</v>
      </c>
      <c r="W43" s="774">
        <f t="shared" si="14"/>
        <v>100</v>
      </c>
      <c r="X43" s="1806"/>
      <c r="Y43" s="3258"/>
      <c r="Z43" s="1807" t="str">
        <f t="shared" si="15"/>
        <v>内部装修维护情况</v>
      </c>
      <c r="AA43" s="1804">
        <f t="shared" si="3"/>
        <v>1</v>
      </c>
      <c r="AB43" s="1804">
        <f t="shared" si="4"/>
        <v>1</v>
      </c>
      <c r="AC43" s="1804">
        <f t="shared" si="5"/>
        <v>1</v>
      </c>
    </row>
    <row r="44" spans="1:29" s="116" customFormat="1" ht="15">
      <c r="A44" s="472"/>
      <c r="B44" s="1379">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256"/>
      <c r="Q44" s="1788">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56"/>
      <c r="Q45" s="1803">
        <f t="shared" si="11"/>
        <v>111</v>
      </c>
      <c r="R45" s="773" t="s">
        <v>17</v>
      </c>
      <c r="S45" s="774">
        <f t="shared" si="12"/>
        <v>100</v>
      </c>
      <c r="T45" s="773" t="s">
        <v>17</v>
      </c>
      <c r="U45" s="774">
        <f t="shared" si="13"/>
        <v>100</v>
      </c>
      <c r="V45" s="773" t="s">
        <v>17</v>
      </c>
      <c r="W45" s="774">
        <f t="shared" si="14"/>
        <v>100</v>
      </c>
      <c r="X45" s="1806"/>
      <c r="Y45" s="3258"/>
      <c r="Z45" s="1807">
        <f t="shared" si="15"/>
        <v>111</v>
      </c>
      <c r="AA45" s="1804">
        <f t="shared" si="3"/>
        <v>1</v>
      </c>
      <c r="AB45" s="1804">
        <f t="shared" si="4"/>
        <v>1</v>
      </c>
      <c r="AC45" s="1804">
        <f t="shared" si="5"/>
        <v>1</v>
      </c>
    </row>
    <row r="46" spans="1:29" ht="15.6"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57"/>
      <c r="Q46" s="1803">
        <f t="shared" si="11"/>
        <v>111</v>
      </c>
      <c r="R46" s="773" t="s">
        <v>17</v>
      </c>
      <c r="S46" s="774">
        <f t="shared" si="12"/>
        <v>100</v>
      </c>
      <c r="T46" s="773" t="s">
        <v>17</v>
      </c>
      <c r="U46" s="774">
        <f t="shared" si="13"/>
        <v>100</v>
      </c>
      <c r="V46" s="773" t="s">
        <v>17</v>
      </c>
      <c r="W46" s="774">
        <f t="shared" si="14"/>
        <v>100</v>
      </c>
      <c r="X46" s="1806"/>
      <c r="Y46" s="3259"/>
      <c r="Z46" s="1807">
        <f t="shared" si="15"/>
        <v>111</v>
      </c>
      <c r="AA46" s="1804">
        <f t="shared" si="3"/>
        <v>1</v>
      </c>
      <c r="AB46" s="1804">
        <f t="shared" si="4"/>
        <v>1</v>
      </c>
      <c r="AC46" s="1804">
        <f t="shared" si="5"/>
        <v>1</v>
      </c>
    </row>
    <row r="47" spans="1:29" ht="14.4">
      <c r="A47" s="478" t="s">
        <v>2562</v>
      </c>
      <c r="B47" s="479"/>
      <c r="C47" s="1400" t="s">
        <v>1</v>
      </c>
      <c r="D47" s="1401"/>
      <c r="E47" s="1402"/>
      <c r="F47" s="1403"/>
      <c r="G47" s="1404"/>
      <c r="H47" s="1405"/>
      <c r="I47" s="1402"/>
      <c r="J47" s="1405"/>
      <c r="K47" s="782"/>
      <c r="L47" s="1136"/>
      <c r="M47" s="1137"/>
      <c r="N47" s="1124"/>
      <c r="O47" s="1137"/>
      <c r="P47" s="3260" t="str">
        <f>A47</f>
        <v>成交单价（元/平方米）</v>
      </c>
      <c r="Q47" s="3260"/>
      <c r="R47" s="3246">
        <f>E47</f>
        <v>0</v>
      </c>
      <c r="S47" s="3246"/>
      <c r="T47" s="3246">
        <f>G47</f>
        <v>0</v>
      </c>
      <c r="U47" s="3246"/>
      <c r="V47" s="3246">
        <f>I47</f>
        <v>0</v>
      </c>
      <c r="W47" s="3246"/>
      <c r="X47" s="758"/>
      <c r="Y47" s="780"/>
      <c r="Z47" s="758"/>
      <c r="AA47" s="758"/>
      <c r="AB47" s="758"/>
      <c r="AC47" s="758"/>
    </row>
    <row r="48" spans="1:29" ht="15" thickBot="1">
      <c r="A48" s="485" t="s">
        <v>2654</v>
      </c>
      <c r="B48" s="486"/>
      <c r="C48" s="1406" t="e">
        <f>R49</f>
        <v>#DIV/0!</v>
      </c>
      <c r="D48" s="1407"/>
      <c r="E48" s="1408" t="e">
        <f>R48</f>
        <v>#DIV/0!</v>
      </c>
      <c r="F48" s="1408"/>
      <c r="G48" s="1406" t="e">
        <f>T48</f>
        <v>#DIV/0!</v>
      </c>
      <c r="H48" s="1407"/>
      <c r="I48" s="1408" t="e">
        <f>V48</f>
        <v>#DIV/0!</v>
      </c>
      <c r="J48" s="1407"/>
      <c r="K48" s="783"/>
      <c r="L48" s="1136"/>
      <c r="M48" s="1137"/>
      <c r="N48" s="1124"/>
      <c r="O48" s="1137"/>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 thickBot="1">
      <c r="A49" s="491" t="s">
        <v>2655</v>
      </c>
      <c r="B49" s="492"/>
      <c r="C49" s="1410" t="e">
        <f>R49</f>
        <v>#DIV/0!</v>
      </c>
      <c r="D49" s="1410"/>
      <c r="E49" s="1410"/>
      <c r="F49" s="1410"/>
      <c r="G49" s="1410"/>
      <c r="H49" s="1410"/>
      <c r="I49" s="1410"/>
      <c r="J49" s="1410"/>
      <c r="K49" s="784"/>
      <c r="L49" s="1136"/>
      <c r="M49" s="1137"/>
      <c r="N49" s="1124"/>
      <c r="O49" s="1137"/>
      <c r="P49" s="3262" t="str">
        <f>A49</f>
        <v>估价对象XX用房的比较价值（楼面单价，元/平方米）</v>
      </c>
      <c r="Q49" s="3263"/>
      <c r="R49" s="3264" t="e">
        <f>IF(F1="售价",ROUND(AVERAGE(R48:V48),0),ROUND(AVERAGE(R48:V48),1))</f>
        <v>#DIV/0!</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2659</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4.4">
      <c r="A58" s="504" t="s">
        <v>2533</v>
      </c>
      <c r="B58" s="505"/>
      <c r="C58" s="1567" t="str">
        <f>YEAR(C7)&amp;"-"&amp;MONTH(C7)</f>
        <v>2019-8</v>
      </c>
      <c r="D58" s="1568">
        <f>EDATE(C58,-1)</f>
        <v>43647</v>
      </c>
      <c r="E58" s="1568">
        <f t="shared" ref="E58:N58" si="16">EDATE(D58,-1)</f>
        <v>43617</v>
      </c>
      <c r="F58" s="1568">
        <f t="shared" si="16"/>
        <v>43586</v>
      </c>
      <c r="G58" s="1568">
        <f t="shared" si="16"/>
        <v>43556</v>
      </c>
      <c r="H58" s="1568">
        <f t="shared" si="16"/>
        <v>43525</v>
      </c>
      <c r="I58" s="1568">
        <f t="shared" si="16"/>
        <v>43497</v>
      </c>
      <c r="J58" s="1568">
        <f t="shared" si="16"/>
        <v>43466</v>
      </c>
      <c r="K58" s="1568">
        <f t="shared" si="16"/>
        <v>43435</v>
      </c>
      <c r="L58" s="1568">
        <f t="shared" si="16"/>
        <v>43405</v>
      </c>
      <c r="M58" s="1568">
        <f t="shared" si="16"/>
        <v>43374</v>
      </c>
      <c r="N58" s="1568">
        <f t="shared" si="16"/>
        <v>43344</v>
      </c>
      <c r="O58" s="1568">
        <f>EDATE(N58,-1)</f>
        <v>43313</v>
      </c>
      <c r="P58" s="1563"/>
    </row>
    <row r="59" spans="1:29" s="116" customFormat="1">
      <c r="A59" s="508"/>
      <c r="B59" s="509"/>
      <c r="C59" s="1566">
        <v>100</v>
      </c>
      <c r="D59" s="511"/>
      <c r="E59" s="511"/>
      <c r="F59" s="511"/>
      <c r="G59" s="511"/>
      <c r="H59" s="511"/>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2637</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f>C9</f>
        <v>0</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c r="A68" s="533"/>
      <c r="B68" s="547"/>
      <c r="C68" s="548"/>
      <c r="D68" s="548"/>
      <c r="E68" s="548"/>
      <c r="F68" s="548"/>
      <c r="G68" s="548"/>
      <c r="H68" s="548"/>
      <c r="I68" s="548"/>
      <c r="J68" s="548"/>
      <c r="K68" s="549"/>
      <c r="L68" s="550"/>
      <c r="M68" s="551"/>
      <c r="N68" s="1145"/>
      <c r="O68" s="1145"/>
      <c r="P68" s="261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35"/>
      <c r="E73" s="535"/>
      <c r="F73" s="535"/>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 thickTop="1">
      <c r="A82" s="533"/>
      <c r="B82" s="545" t="s">
        <v>2640</v>
      </c>
      <c r="C82" s="659" t="s">
        <v>2660</v>
      </c>
      <c r="D82" s="659" t="s">
        <v>2661</v>
      </c>
      <c r="E82" s="659" t="s">
        <v>2662</v>
      </c>
      <c r="F82" s="659" t="s">
        <v>2663</v>
      </c>
      <c r="G82" s="659" t="s">
        <v>2664</v>
      </c>
      <c r="H82" s="538"/>
      <c r="I82" s="538"/>
      <c r="J82" s="538"/>
      <c r="K82" s="538"/>
      <c r="L82" s="538"/>
      <c r="M82" s="1375"/>
      <c r="N82" s="1146"/>
      <c r="O82" s="1146"/>
      <c r="P82" s="261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6" customFormat="1" ht="15" thickTop="1">
      <c r="A86" s="578"/>
      <c r="B86" s="537" t="s">
        <v>2665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6" customFormat="1" ht="14.4"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6" customFormat="1" ht="14.4" thickBot="1">
      <c r="A89" s="578"/>
      <c r="B89" s="542"/>
      <c r="C89" s="559"/>
      <c r="D89" s="535"/>
      <c r="E89" s="535"/>
      <c r="F89" s="535"/>
      <c r="G89" s="535"/>
      <c r="H89" s="535"/>
      <c r="I89" s="535"/>
      <c r="J89" s="535"/>
      <c r="K89" s="535"/>
      <c r="L89" s="535"/>
      <c r="M89" s="535"/>
      <c r="N89" s="1146"/>
      <c r="O89" s="1146"/>
      <c r="P89" s="2618"/>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4.4" thickTop="1">
      <c r="A92" s="533"/>
      <c r="B92" s="537" t="str">
        <f>B28</f>
        <v>楼层</v>
      </c>
      <c r="C92" s="553"/>
      <c r="D92" s="553"/>
      <c r="E92" s="553"/>
      <c r="F92" s="553"/>
      <c r="G92" s="553"/>
      <c r="H92" s="553"/>
      <c r="I92" s="553"/>
      <c r="J92" s="553"/>
      <c r="K92" s="553"/>
      <c r="L92" s="579"/>
      <c r="M92" s="580"/>
      <c r="N92" s="1145"/>
      <c r="O92" s="1145"/>
      <c r="P92" s="2618"/>
      <c r="Q92" s="503"/>
    </row>
    <row r="93" spans="1:17" ht="14.4" thickBot="1">
      <c r="A93" s="533"/>
      <c r="B93" s="542"/>
      <c r="C93" s="535"/>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35"/>
      <c r="E95" s="535"/>
      <c r="F95" s="535"/>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59"/>
      <c r="D97" s="535"/>
      <c r="E97" s="535"/>
      <c r="F97" s="535"/>
      <c r="G97" s="535"/>
      <c r="H97" s="535"/>
      <c r="I97" s="535"/>
      <c r="J97" s="535"/>
      <c r="K97" s="535"/>
      <c r="L97" s="535"/>
      <c r="M97" s="536"/>
      <c r="N97" s="1146"/>
      <c r="O97" s="1146"/>
      <c r="P97" s="2618"/>
      <c r="Q97" s="503"/>
    </row>
    <row r="98" spans="1:17" ht="14.4" thickTop="1">
      <c r="A98" s="533"/>
      <c r="B98" s="545">
        <f>B31</f>
        <v>111</v>
      </c>
      <c r="C98" s="553"/>
      <c r="D98" s="553"/>
      <c r="E98" s="553"/>
      <c r="F98" s="553"/>
      <c r="G98" s="586"/>
      <c r="H98" s="586"/>
      <c r="I98" s="586"/>
      <c r="J98" s="586"/>
      <c r="K98" s="587"/>
      <c r="L98" s="588"/>
      <c r="M98" s="589"/>
      <c r="N98" s="1145"/>
      <c r="O98" s="1145"/>
      <c r="P98" s="2618"/>
      <c r="Q98" s="503"/>
    </row>
    <row r="99" spans="1:17" ht="14.4" thickBot="1">
      <c r="A99" s="2624"/>
      <c r="B99" s="568"/>
      <c r="C99" s="569"/>
      <c r="D99" s="569"/>
      <c r="E99" s="569"/>
      <c r="F99" s="569"/>
      <c r="G99" s="590"/>
      <c r="H99" s="590"/>
      <c r="I99" s="590"/>
      <c r="J99" s="590"/>
      <c r="K99" s="590"/>
      <c r="L99" s="590"/>
      <c r="M99" s="591"/>
      <c r="N99" s="1146"/>
      <c r="O99" s="1146"/>
      <c r="P99" s="2618"/>
      <c r="Q99" s="503"/>
    </row>
    <row r="100" spans="1:17" ht="14.4">
      <c r="A100" s="526" t="s">
        <v>2548</v>
      </c>
      <c r="B100" s="527" t="s">
        <v>2666</v>
      </c>
      <c r="C100" s="529"/>
      <c r="D100" s="529"/>
      <c r="E100" s="529"/>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2599</v>
      </c>
      <c r="C105" s="553"/>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2601</v>
      </c>
      <c r="C107" s="553"/>
      <c r="D107" s="553"/>
      <c r="E107" s="553"/>
      <c r="F107" s="582"/>
      <c r="G107" s="582"/>
      <c r="H107" s="582"/>
      <c r="I107" s="582"/>
      <c r="J107" s="582"/>
      <c r="K107" s="583"/>
      <c r="L107" s="584"/>
      <c r="M107" s="585"/>
      <c r="N107" s="1145"/>
      <c r="O107" s="1145"/>
      <c r="P107" s="261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2603</v>
      </c>
      <c r="C112" s="553"/>
      <c r="D112" s="553"/>
      <c r="E112" s="553"/>
      <c r="F112" s="553"/>
      <c r="G112" s="553"/>
      <c r="H112" s="582"/>
      <c r="I112" s="582"/>
      <c r="J112" s="582"/>
      <c r="K112" s="583"/>
      <c r="L112" s="584"/>
      <c r="M112" s="585"/>
      <c r="N112" s="1147"/>
      <c r="O112" s="1147"/>
      <c r="P112" s="261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2667</v>
      </c>
      <c r="C114" s="553"/>
      <c r="D114" s="553"/>
      <c r="E114" s="582"/>
      <c r="F114" s="582"/>
      <c r="G114" s="582"/>
      <c r="H114" s="582"/>
      <c r="I114" s="582"/>
      <c r="J114" s="582"/>
      <c r="K114" s="583"/>
      <c r="L114" s="584"/>
      <c r="M114" s="585"/>
      <c r="N114" s="1145"/>
      <c r="O114" s="1145"/>
      <c r="P114" s="261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2668</v>
      </c>
      <c r="C116" s="553"/>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2669</v>
      </c>
      <c r="C118" s="626"/>
      <c r="D118" s="626"/>
      <c r="E118" s="626"/>
      <c r="F118" s="626"/>
      <c r="G118" s="626"/>
      <c r="H118" s="554"/>
      <c r="I118" s="554"/>
      <c r="J118" s="554"/>
      <c r="K118" s="554"/>
      <c r="L118" s="555"/>
      <c r="M118" s="556"/>
      <c r="N118" s="1145"/>
      <c r="O118" s="1145"/>
      <c r="P118" s="2618"/>
      <c r="Q118" s="503"/>
    </row>
    <row r="119" spans="1:17" ht="14.4"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2670</v>
      </c>
      <c r="C120" s="582"/>
      <c r="D120" s="582"/>
      <c r="E120" s="582"/>
      <c r="F120" s="582"/>
      <c r="G120" s="554"/>
      <c r="H120" s="554"/>
      <c r="I120" s="554"/>
      <c r="J120" s="554"/>
      <c r="K120" s="554"/>
      <c r="L120" s="555"/>
      <c r="M120" s="556"/>
      <c r="N120" s="1147"/>
      <c r="O120" s="1147"/>
      <c r="P120" s="261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2605</v>
      </c>
      <c r="C122" s="553"/>
      <c r="D122" s="553"/>
      <c r="E122" s="553"/>
      <c r="F122" s="582"/>
      <c r="G122" s="582"/>
      <c r="H122" s="582"/>
      <c r="I122" s="582"/>
      <c r="J122" s="582"/>
      <c r="K122" s="583"/>
      <c r="L122" s="584"/>
      <c r="M122" s="585"/>
      <c r="N122" s="1145"/>
      <c r="O122" s="1145"/>
      <c r="P122" s="261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35"/>
      <c r="E129" s="535"/>
      <c r="F129" s="535"/>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2671</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IF(C2="——",ROUND(C50*D3/10000,0),ROUND(C50*D3/10000,0)-D2)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IF(C2="——",C50,ROUND(B2*10000/D3,0))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73" t="s">
        <v>2636</v>
      </c>
      <c r="Q4" s="3274"/>
      <c r="R4" s="3277" t="s">
        <v>2632</v>
      </c>
      <c r="S4" s="3278"/>
      <c r="T4" s="3277" t="s">
        <v>2633</v>
      </c>
      <c r="U4" s="3278"/>
      <c r="V4" s="3279" t="s">
        <v>2634</v>
      </c>
      <c r="W4" s="3279"/>
      <c r="X4" s="2658"/>
      <c r="Y4" s="3277" t="s">
        <v>2636</v>
      </c>
      <c r="Z4" s="3278"/>
      <c r="AA4" s="3281" t="s">
        <v>2632</v>
      </c>
      <c r="AB4" s="3281" t="s">
        <v>2633</v>
      </c>
      <c r="AC4" s="3270" t="s">
        <v>2634</v>
      </c>
    </row>
    <row r="5" spans="1:29">
      <c r="A5" s="403"/>
      <c r="B5" s="404"/>
      <c r="C5" s="3265" t="s">
        <v>2527</v>
      </c>
      <c r="D5" s="3237"/>
      <c r="E5" s="3266" t="s">
        <v>2528</v>
      </c>
      <c r="F5" s="3239"/>
      <c r="G5" s="3265" t="s">
        <v>2529</v>
      </c>
      <c r="H5" s="3237"/>
      <c r="I5" s="3265" t="s">
        <v>2530</v>
      </c>
      <c r="J5" s="3237"/>
      <c r="K5" s="609"/>
      <c r="L5" s="1123"/>
      <c r="M5" s="1124"/>
      <c r="N5" s="1124"/>
      <c r="O5" s="1124"/>
      <c r="P5" s="3275"/>
      <c r="Q5" s="3229"/>
      <c r="R5" s="3234"/>
      <c r="S5" s="3235"/>
      <c r="T5" s="3234"/>
      <c r="U5" s="3235"/>
      <c r="V5" s="3246"/>
      <c r="W5" s="3246"/>
      <c r="X5" s="1806"/>
      <c r="Y5" s="3234"/>
      <c r="Z5" s="3235"/>
      <c r="AA5" s="3220"/>
      <c r="AB5" s="3220"/>
      <c r="AC5" s="3271"/>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76"/>
      <c r="Q6" s="3231"/>
      <c r="R6" s="3234"/>
      <c r="S6" s="3235"/>
      <c r="T6" s="3244"/>
      <c r="U6" s="3245"/>
      <c r="V6" s="3246"/>
      <c r="W6" s="3246"/>
      <c r="X6" s="1806"/>
      <c r="Y6" s="3244"/>
      <c r="Z6" s="3245"/>
      <c r="AA6" s="3221"/>
      <c r="AB6" s="3221"/>
      <c r="AC6" s="3272"/>
    </row>
    <row r="7" spans="1:29" s="116" customFormat="1" ht="15" thickBot="1">
      <c r="A7" s="407" t="s">
        <v>2533</v>
      </c>
      <c r="B7" s="408"/>
      <c r="C7" s="409">
        <f>'数据-取费表'!B2</f>
        <v>43699</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80"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2659" t="e">
        <f>D7/J7</f>
        <v>#DIV/0!</v>
      </c>
    </row>
    <row r="8" spans="1:29" s="116" customFormat="1" ht="1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80" t="s">
        <v>2537</v>
      </c>
      <c r="Q8" s="3249"/>
      <c r="R8" s="769" t="s">
        <v>17</v>
      </c>
      <c r="S8" s="770">
        <f t="shared" si="0"/>
        <v>0</v>
      </c>
      <c r="T8" s="769" t="s">
        <v>17</v>
      </c>
      <c r="U8" s="770">
        <f t="shared" si="1"/>
        <v>0</v>
      </c>
      <c r="V8" s="769" t="s">
        <v>17</v>
      </c>
      <c r="W8" s="770">
        <f t="shared" si="2"/>
        <v>0</v>
      </c>
      <c r="X8" s="771"/>
      <c r="Y8" s="3247" t="s">
        <v>2537</v>
      </c>
      <c r="Z8" s="3249"/>
      <c r="AA8" s="772" t="e">
        <f t="shared" ref="AA8:AA47" si="3">D8/F8</f>
        <v>#DIV/0!</v>
      </c>
      <c r="AB8" s="772" t="e">
        <f t="shared" ref="AB8:AB47" si="4">D8/H8</f>
        <v>#DIV/0!</v>
      </c>
      <c r="AC8" s="2659" t="e">
        <f t="shared" ref="AC8:AC47" si="5">D8/J8</f>
        <v>#DIV/0!</v>
      </c>
    </row>
    <row r="9" spans="1:29" s="116" customFormat="1" ht="14.4">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2659">
        <f t="shared" si="5"/>
        <v>1</v>
      </c>
    </row>
    <row r="10" spans="1:29" s="426" customFormat="1" ht="28.8">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59">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25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59" t="e">
        <f t="shared" si="5"/>
        <v>#N/A</v>
      </c>
    </row>
    <row r="12" spans="1:29" s="116" customFormat="1" ht="15">
      <c r="A12" s="430"/>
      <c r="B12" s="2589">
        <v>111</v>
      </c>
      <c r="C12" s="431"/>
      <c r="D12" s="432">
        <v>100</v>
      </c>
      <c r="E12" s="431"/>
      <c r="F12" s="135">
        <f>SUMIF(71:71,E12,72:72)-SUMIF(71:71,C12,72:72)+100</f>
        <v>100</v>
      </c>
      <c r="G12" s="2660"/>
      <c r="H12" s="135">
        <f>SUMIF(71:71,G12,72:72)-SUMIF(71:71,C12,72:72)+100</f>
        <v>100</v>
      </c>
      <c r="I12" s="431"/>
      <c r="J12" s="135">
        <f>SUMIF(71:71,I12,72:72)-SUMIF(71:71,C12,72:72)+100</f>
        <v>100</v>
      </c>
      <c r="K12" s="612"/>
      <c r="L12" s="1125"/>
      <c r="M12" s="1126"/>
      <c r="N12" s="1126"/>
      <c r="O12" s="1126"/>
      <c r="P12" s="325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59">
        <f>D12/J12</f>
        <v>1</v>
      </c>
    </row>
    <row r="13" spans="1:29" ht="15">
      <c r="A13" s="427"/>
      <c r="B13" s="2589">
        <v>111</v>
      </c>
      <c r="C13" s="433"/>
      <c r="D13" s="434">
        <v>100</v>
      </c>
      <c r="E13" s="431"/>
      <c r="F13" s="135">
        <f>SUMIF(73:73,E13,74:74)-SUMIF(73:73,C13,74:74)+100</f>
        <v>100</v>
      </c>
      <c r="G13" s="2660"/>
      <c r="H13" s="434">
        <f>SUMIF(73:73,G13,74:74)-SUMIF(73:73,C13,74:74)+100</f>
        <v>100</v>
      </c>
      <c r="I13" s="431"/>
      <c r="J13" s="434">
        <f>SUMIF(73:73,I13,74:74)-SUMIF(73:73,C13,74:74)+100</f>
        <v>100</v>
      </c>
      <c r="K13" s="612"/>
      <c r="L13" s="1133"/>
      <c r="M13" s="1124"/>
      <c r="N13" s="1124"/>
      <c r="O13" s="1124"/>
      <c r="P13" s="325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59">
        <f t="shared" si="5"/>
        <v>1</v>
      </c>
    </row>
    <row r="14" spans="1:29" ht="15.6"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25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59">
        <f t="shared" si="5"/>
        <v>1</v>
      </c>
    </row>
    <row r="15" spans="1:29" ht="15">
      <c r="A15" s="439" t="s">
        <v>2544</v>
      </c>
      <c r="B15" s="628" t="s">
        <v>2672</v>
      </c>
      <c r="C15" s="2661"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51" t="s">
        <v>2545</v>
      </c>
      <c r="Q15" s="1803" t="str">
        <f t="shared" si="6"/>
        <v>办公集聚程度</v>
      </c>
      <c r="R15" s="773" t="s">
        <v>17</v>
      </c>
      <c r="S15" s="774">
        <f t="shared" si="0"/>
        <v>100</v>
      </c>
      <c r="T15" s="773" t="s">
        <v>17</v>
      </c>
      <c r="U15" s="774">
        <f t="shared" si="1"/>
        <v>100</v>
      </c>
      <c r="V15" s="773" t="s">
        <v>17</v>
      </c>
      <c r="W15" s="774">
        <f t="shared" si="2"/>
        <v>100</v>
      </c>
      <c r="X15" s="1806"/>
      <c r="Y15" s="3253" t="s">
        <v>2545</v>
      </c>
      <c r="Z15" s="1807" t="str">
        <f t="shared" si="7"/>
        <v>办公集聚程度</v>
      </c>
      <c r="AA15" s="1804">
        <f t="shared" si="3"/>
        <v>1</v>
      </c>
      <c r="AB15" s="1804">
        <f t="shared" si="4"/>
        <v>1</v>
      </c>
      <c r="AC15" s="2662">
        <f t="shared" si="5"/>
        <v>1</v>
      </c>
    </row>
    <row r="16" spans="1:29" ht="15">
      <c r="A16" s="427"/>
      <c r="B16" s="629"/>
      <c r="C16" s="2600"/>
      <c r="D16" s="447"/>
      <c r="E16" s="446"/>
      <c r="F16" s="447"/>
      <c r="G16" s="2600"/>
      <c r="H16" s="449"/>
      <c r="I16" s="446"/>
      <c r="J16" s="447"/>
      <c r="K16" s="614"/>
      <c r="L16" s="1133"/>
      <c r="M16" s="1124"/>
      <c r="N16" s="1124"/>
      <c r="O16" s="1124"/>
      <c r="P16" s="3252"/>
      <c r="Q16" s="1803"/>
      <c r="R16" s="773"/>
      <c r="S16" s="774"/>
      <c r="T16" s="773"/>
      <c r="U16" s="774"/>
      <c r="V16" s="773"/>
      <c r="W16" s="774"/>
      <c r="X16" s="1806"/>
      <c r="Y16" s="3254"/>
      <c r="Z16" s="1807"/>
      <c r="AA16" s="1804">
        <v>1</v>
      </c>
      <c r="AB16" s="1804">
        <v>1</v>
      </c>
      <c r="AC16" s="2662">
        <v>1</v>
      </c>
    </row>
    <row r="17" spans="1:29" ht="15">
      <c r="A17" s="427"/>
      <c r="B17" s="630" t="s">
        <v>2085</v>
      </c>
      <c r="C17" s="2663"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2662">
        <f t="shared" si="5"/>
        <v>1</v>
      </c>
    </row>
    <row r="18" spans="1:29" ht="15">
      <c r="A18" s="427"/>
      <c r="B18" s="631"/>
      <c r="C18" s="2664"/>
      <c r="D18" s="449"/>
      <c r="E18" s="2598"/>
      <c r="F18" s="449"/>
      <c r="G18" s="2599"/>
      <c r="H18" s="447"/>
      <c r="I18" s="2599"/>
      <c r="J18" s="447"/>
      <c r="K18" s="614"/>
      <c r="L18" s="1133"/>
      <c r="M18" s="1124"/>
      <c r="N18" s="1124"/>
      <c r="O18" s="1124"/>
      <c r="P18" s="3252"/>
      <c r="Q18" s="1803"/>
      <c r="R18" s="773"/>
      <c r="S18" s="774"/>
      <c r="T18" s="773"/>
      <c r="U18" s="774"/>
      <c r="V18" s="773"/>
      <c r="W18" s="774"/>
      <c r="X18" s="1806"/>
      <c r="Y18" s="3254"/>
      <c r="Z18" s="1807"/>
      <c r="AA18" s="1804">
        <v>1</v>
      </c>
      <c r="AB18" s="1804">
        <v>1</v>
      </c>
      <c r="AC18" s="2662">
        <v>1</v>
      </c>
    </row>
    <row r="19" spans="1:29" ht="15">
      <c r="A19" s="427"/>
      <c r="B19" s="630" t="s">
        <v>2673</v>
      </c>
      <c r="C19" s="2663"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2662">
        <f t="shared" si="5"/>
        <v>1</v>
      </c>
    </row>
    <row r="20" spans="1:29" ht="15">
      <c r="A20" s="427"/>
      <c r="B20" s="631"/>
      <c r="C20" s="2600"/>
      <c r="D20" s="447"/>
      <c r="E20" s="2593"/>
      <c r="F20" s="447"/>
      <c r="G20" s="2594"/>
      <c r="H20" s="447"/>
      <c r="I20" s="2594"/>
      <c r="J20" s="447"/>
      <c r="K20" s="614"/>
      <c r="L20" s="1133"/>
      <c r="M20" s="1124"/>
      <c r="N20" s="1124"/>
      <c r="O20" s="1124"/>
      <c r="P20" s="3252"/>
      <c r="Q20" s="1803"/>
      <c r="R20" s="773"/>
      <c r="S20" s="774"/>
      <c r="T20" s="773"/>
      <c r="U20" s="774"/>
      <c r="V20" s="773"/>
      <c r="W20" s="774"/>
      <c r="X20" s="1806"/>
      <c r="Y20" s="3254"/>
      <c r="Z20" s="1807"/>
      <c r="AA20" s="1804">
        <v>1</v>
      </c>
      <c r="AB20" s="1804">
        <v>1</v>
      </c>
      <c r="AC20" s="2662">
        <v>1</v>
      </c>
    </row>
    <row r="21" spans="1:29" ht="15">
      <c r="A21" s="427"/>
      <c r="B21" s="632" t="s">
        <v>2674</v>
      </c>
      <c r="C21" s="2663"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52"/>
      <c r="Q22" s="1803"/>
      <c r="R22" s="773"/>
      <c r="S22" s="774"/>
      <c r="T22" s="773"/>
      <c r="U22" s="774"/>
      <c r="V22" s="773"/>
      <c r="W22" s="774"/>
      <c r="X22" s="1806"/>
      <c r="Y22" s="3254"/>
      <c r="Z22" s="1807"/>
      <c r="AA22" s="1804">
        <v>1</v>
      </c>
      <c r="AB22" s="1804">
        <v>1</v>
      </c>
      <c r="AC22" s="2662">
        <v>1</v>
      </c>
    </row>
    <row r="23" spans="1:29" ht="15">
      <c r="A23" s="427"/>
      <c r="B23" s="630" t="s">
        <v>2675</v>
      </c>
      <c r="C23" s="2663"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52"/>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2662">
        <f t="shared" si="5"/>
        <v>1</v>
      </c>
    </row>
    <row r="24" spans="1:29" ht="15">
      <c r="A24" s="427"/>
      <c r="B24" s="632"/>
      <c r="C24" s="2600"/>
      <c r="D24" s="447"/>
      <c r="E24" s="2593"/>
      <c r="F24" s="447"/>
      <c r="G24" s="2594"/>
      <c r="H24" s="447"/>
      <c r="I24" s="2594"/>
      <c r="J24" s="447"/>
      <c r="K24" s="614"/>
      <c r="L24" s="1133"/>
      <c r="M24" s="1124"/>
      <c r="N24" s="1124"/>
      <c r="O24" s="1124"/>
      <c r="P24" s="3252"/>
      <c r="Q24" s="1803"/>
      <c r="R24" s="773"/>
      <c r="S24" s="774"/>
      <c r="T24" s="773"/>
      <c r="U24" s="774"/>
      <c r="V24" s="773"/>
      <c r="W24" s="774"/>
      <c r="X24" s="1806"/>
      <c r="Y24" s="3254"/>
      <c r="Z24" s="1807"/>
      <c r="AA24" s="1804">
        <v>1</v>
      </c>
      <c r="AB24" s="1804">
        <v>1</v>
      </c>
      <c r="AC24" s="2662">
        <v>1</v>
      </c>
    </row>
    <row r="25" spans="1:29" ht="28.8">
      <c r="A25" s="403"/>
      <c r="B25" s="630" t="s">
        <v>2676</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52"/>
      <c r="Q25" s="1803" t="str">
        <f>B25</f>
        <v>毗邻道路的类型与等级</v>
      </c>
      <c r="R25" s="773" t="s">
        <v>17</v>
      </c>
      <c r="S25" s="774">
        <f>F25</f>
        <v>100</v>
      </c>
      <c r="T25" s="773" t="s">
        <v>17</v>
      </c>
      <c r="U25" s="774">
        <f>H25</f>
        <v>100</v>
      </c>
      <c r="V25" s="773" t="s">
        <v>17</v>
      </c>
      <c r="W25" s="774">
        <f>J25</f>
        <v>100</v>
      </c>
      <c r="X25" s="1806"/>
      <c r="Y25" s="3254"/>
      <c r="Z25" s="1807" t="str">
        <f>Q25</f>
        <v>毗邻道路的类型与等级</v>
      </c>
      <c r="AA25" s="1804">
        <f t="shared" si="3"/>
        <v>1</v>
      </c>
      <c r="AB25" s="1804">
        <f t="shared" si="4"/>
        <v>1</v>
      </c>
      <c r="AC25" s="2662">
        <f t="shared" si="5"/>
        <v>1</v>
      </c>
    </row>
    <row r="26" spans="1:29" ht="15">
      <c r="A26" s="403"/>
      <c r="B26" s="631"/>
      <c r="C26" s="633"/>
      <c r="D26" s="434"/>
      <c r="E26" s="615"/>
      <c r="F26" s="434"/>
      <c r="G26" s="633"/>
      <c r="H26" s="434"/>
      <c r="I26" s="615"/>
      <c r="J26" s="434"/>
      <c r="K26" s="614"/>
      <c r="L26" s="1133"/>
      <c r="M26" s="1124"/>
      <c r="N26" s="1124"/>
      <c r="O26" s="1124"/>
      <c r="P26" s="3252"/>
      <c r="Q26" s="1803"/>
      <c r="R26" s="773"/>
      <c r="S26" s="774"/>
      <c r="T26" s="773"/>
      <c r="U26" s="774"/>
      <c r="V26" s="773"/>
      <c r="W26" s="774"/>
      <c r="X26" s="1806"/>
      <c r="Y26" s="3254"/>
      <c r="Z26" s="1807"/>
      <c r="AA26" s="1804">
        <v>1</v>
      </c>
      <c r="AB26" s="1804">
        <v>1</v>
      </c>
      <c r="AC26" s="2662">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52"/>
      <c r="Q27" s="1803" t="str">
        <f t="shared" ref="Q27:Q47" si="11">B27</f>
        <v>楼层</v>
      </c>
      <c r="R27" s="773" t="s">
        <v>17</v>
      </c>
      <c r="S27" s="774">
        <f>F27</f>
        <v>100</v>
      </c>
      <c r="T27" s="773" t="s">
        <v>17</v>
      </c>
      <c r="U27" s="774">
        <f>H27</f>
        <v>100</v>
      </c>
      <c r="V27" s="773" t="s">
        <v>17</v>
      </c>
      <c r="W27" s="774">
        <f>J27</f>
        <v>100</v>
      </c>
      <c r="X27" s="1806"/>
      <c r="Y27" s="3254"/>
      <c r="Z27" s="1807" t="str">
        <f>Q27</f>
        <v>楼层</v>
      </c>
      <c r="AA27" s="1804">
        <f t="shared" si="3"/>
        <v>1</v>
      </c>
      <c r="AB27" s="1804">
        <f t="shared" si="4"/>
        <v>1</v>
      </c>
      <c r="AC27" s="2662">
        <f t="shared" si="5"/>
        <v>1</v>
      </c>
    </row>
    <row r="28" spans="1:29" s="116" customFormat="1" ht="15">
      <c r="A28" s="430"/>
      <c r="B28" s="630" t="s">
        <v>2677</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52"/>
      <c r="Q28" s="1788" t="str">
        <f t="shared" si="11"/>
        <v>朝向</v>
      </c>
      <c r="R28" s="769" t="s">
        <v>17</v>
      </c>
      <c r="S28" s="770">
        <f>F28</f>
        <v>100</v>
      </c>
      <c r="T28" s="769" t="s">
        <v>17</v>
      </c>
      <c r="U28" s="770">
        <f>H28</f>
        <v>100</v>
      </c>
      <c r="V28" s="769" t="s">
        <v>17</v>
      </c>
      <c r="W28" s="770">
        <f>J28</f>
        <v>100</v>
      </c>
      <c r="X28" s="771"/>
      <c r="Y28" s="3254"/>
      <c r="Z28" s="55" t="str">
        <f>Q28</f>
        <v>朝向</v>
      </c>
      <c r="AA28" s="1804">
        <f>D28/F28</f>
        <v>1</v>
      </c>
      <c r="AB28" s="1804">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52"/>
      <c r="Q29" s="1803">
        <f t="shared" si="11"/>
        <v>111</v>
      </c>
      <c r="R29" s="773" t="s">
        <v>17</v>
      </c>
      <c r="S29" s="774">
        <f t="shared" ref="S29:S47" si="12">F29</f>
        <v>100</v>
      </c>
      <c r="T29" s="773" t="s">
        <v>17</v>
      </c>
      <c r="U29" s="774">
        <f t="shared" ref="U29:U47" si="13">H29</f>
        <v>100</v>
      </c>
      <c r="V29" s="773" t="s">
        <v>17</v>
      </c>
      <c r="W29" s="774">
        <f t="shared" ref="W29:W47" si="14">J29</f>
        <v>100</v>
      </c>
      <c r="X29" s="1806"/>
      <c r="Y29" s="3254"/>
      <c r="Z29" s="1807">
        <f t="shared" ref="Z29:Z47" si="15">Q29</f>
        <v>111</v>
      </c>
      <c r="AA29" s="1804">
        <f t="shared" si="3"/>
        <v>1</v>
      </c>
      <c r="AB29" s="1804">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2662">
        <f t="shared" si="5"/>
        <v>1</v>
      </c>
    </row>
    <row r="32" spans="1:29" ht="15.6"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52"/>
      <c r="Q32" s="1803">
        <f t="shared" si="11"/>
        <v>111</v>
      </c>
      <c r="R32" s="773" t="s">
        <v>17</v>
      </c>
      <c r="S32" s="774">
        <f t="shared" si="12"/>
        <v>100</v>
      </c>
      <c r="T32" s="773" t="s">
        <v>17</v>
      </c>
      <c r="U32" s="774">
        <f t="shared" si="13"/>
        <v>100</v>
      </c>
      <c r="V32" s="773" t="s">
        <v>17</v>
      </c>
      <c r="W32" s="774">
        <f t="shared" si="14"/>
        <v>100</v>
      </c>
      <c r="X32" s="1806"/>
      <c r="Y32" s="3254"/>
      <c r="Z32" s="1807">
        <f t="shared" si="15"/>
        <v>111</v>
      </c>
      <c r="AA32" s="1804">
        <f t="shared" si="3"/>
        <v>1</v>
      </c>
      <c r="AB32" s="1804">
        <f t="shared" si="4"/>
        <v>1</v>
      </c>
      <c r="AC32" s="2662">
        <f t="shared" si="5"/>
        <v>1</v>
      </c>
    </row>
    <row r="33" spans="1:29" ht="15">
      <c r="A33" s="439" t="s">
        <v>2548</v>
      </c>
      <c r="B33" s="71" t="s">
        <v>2678</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55" t="s">
        <v>2550</v>
      </c>
      <c r="Q33" s="1803" t="str">
        <f t="shared" si="11"/>
        <v>建筑类型</v>
      </c>
      <c r="R33" s="773" t="s">
        <v>17</v>
      </c>
      <c r="S33" s="774">
        <f t="shared" si="12"/>
        <v>100</v>
      </c>
      <c r="T33" s="773" t="s">
        <v>17</v>
      </c>
      <c r="U33" s="774">
        <f t="shared" si="13"/>
        <v>100</v>
      </c>
      <c r="V33" s="773" t="s">
        <v>17</v>
      </c>
      <c r="W33" s="774">
        <f t="shared" si="14"/>
        <v>100</v>
      </c>
      <c r="X33" s="1806"/>
      <c r="Y33" s="3258" t="s">
        <v>2550</v>
      </c>
      <c r="Z33" s="1807" t="str">
        <f t="shared" si="15"/>
        <v>建筑类型</v>
      </c>
      <c r="AA33" s="1804">
        <f t="shared" si="3"/>
        <v>1</v>
      </c>
      <c r="AB33" s="1804">
        <f t="shared" si="4"/>
        <v>1</v>
      </c>
      <c r="AC33" s="2662">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04" t="e">
        <f t="shared" si="3"/>
        <v>#N/A</v>
      </c>
      <c r="AB34" s="1804" t="e">
        <f t="shared" si="4"/>
        <v>#N/A</v>
      </c>
      <c r="AC34" s="2662"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56"/>
      <c r="Q35" s="1803" t="str">
        <f t="shared" si="11"/>
        <v>建筑结构</v>
      </c>
      <c r="R35" s="773" t="s">
        <v>17</v>
      </c>
      <c r="S35" s="774">
        <f t="shared" si="12"/>
        <v>100</v>
      </c>
      <c r="T35" s="773" t="s">
        <v>17</v>
      </c>
      <c r="U35" s="774">
        <f t="shared" si="13"/>
        <v>100</v>
      </c>
      <c r="V35" s="773" t="s">
        <v>17</v>
      </c>
      <c r="W35" s="774">
        <f t="shared" si="14"/>
        <v>100</v>
      </c>
      <c r="X35" s="1806"/>
      <c r="Y35" s="3258"/>
      <c r="Z35" s="1807" t="str">
        <f t="shared" si="15"/>
        <v>建筑结构</v>
      </c>
      <c r="AA35" s="1804">
        <f t="shared" si="3"/>
        <v>1</v>
      </c>
      <c r="AB35" s="1804">
        <f t="shared" si="4"/>
        <v>1</v>
      </c>
      <c r="AC35" s="2662">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56"/>
      <c r="Q36" s="1803" t="str">
        <f t="shared" si="11"/>
        <v>公共部分装修</v>
      </c>
      <c r="R36" s="773" t="s">
        <v>17</v>
      </c>
      <c r="S36" s="774">
        <f t="shared" si="12"/>
        <v>100</v>
      </c>
      <c r="T36" s="773" t="s">
        <v>17</v>
      </c>
      <c r="U36" s="774">
        <f t="shared" si="13"/>
        <v>100</v>
      </c>
      <c r="V36" s="773" t="s">
        <v>17</v>
      </c>
      <c r="W36" s="774">
        <f t="shared" si="14"/>
        <v>100</v>
      </c>
      <c r="X36" s="1806"/>
      <c r="Y36" s="3258"/>
      <c r="Z36" s="1807" t="str">
        <f t="shared" si="15"/>
        <v>公共部分装修</v>
      </c>
      <c r="AA36" s="1804">
        <f t="shared" si="3"/>
        <v>1</v>
      </c>
      <c r="AB36" s="1804">
        <f t="shared" si="4"/>
        <v>1</v>
      </c>
      <c r="AC36" s="2662">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56"/>
      <c r="Q37" s="1803" t="str">
        <f t="shared" si="11"/>
        <v>成新度</v>
      </c>
      <c r="R37" s="773" t="s">
        <v>17</v>
      </c>
      <c r="S37" s="774" t="e">
        <f t="shared" si="12"/>
        <v>#N/A</v>
      </c>
      <c r="T37" s="773" t="s">
        <v>17</v>
      </c>
      <c r="U37" s="774" t="e">
        <f t="shared" si="13"/>
        <v>#N/A</v>
      </c>
      <c r="V37" s="773" t="s">
        <v>17</v>
      </c>
      <c r="W37" s="774" t="e">
        <f t="shared" si="14"/>
        <v>#N/A</v>
      </c>
      <c r="X37" s="1806"/>
      <c r="Y37" s="3258"/>
      <c r="Z37" s="1807" t="str">
        <f t="shared" si="15"/>
        <v>成新度</v>
      </c>
      <c r="AA37" s="1804" t="e">
        <f t="shared" si="3"/>
        <v>#N/A</v>
      </c>
      <c r="AB37" s="1804" t="e">
        <f t="shared" si="4"/>
        <v>#N/A</v>
      </c>
      <c r="AC37" s="2662" t="e">
        <f t="shared" si="5"/>
        <v>#N/A</v>
      </c>
    </row>
    <row r="38" spans="1:29" s="116"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56"/>
      <c r="Q38" s="1788"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59">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56" t="s">
        <v>2550</v>
      </c>
      <c r="Q39" s="1803" t="str">
        <f t="shared" si="11"/>
        <v>物业管理</v>
      </c>
      <c r="R39" s="773" t="s">
        <v>17</v>
      </c>
      <c r="S39" s="774">
        <f t="shared" si="12"/>
        <v>100</v>
      </c>
      <c r="T39" s="773" t="s">
        <v>17</v>
      </c>
      <c r="U39" s="774">
        <f t="shared" si="13"/>
        <v>100</v>
      </c>
      <c r="V39" s="773" t="s">
        <v>17</v>
      </c>
      <c r="W39" s="774">
        <f t="shared" si="14"/>
        <v>100</v>
      </c>
      <c r="X39" s="1806"/>
      <c r="Y39" s="3258" t="s">
        <v>2550</v>
      </c>
      <c r="Z39" s="1807" t="str">
        <f t="shared" si="15"/>
        <v>物业管理</v>
      </c>
      <c r="AA39" s="1804">
        <f t="shared" si="3"/>
        <v>1</v>
      </c>
      <c r="AB39" s="1804">
        <f t="shared" si="4"/>
        <v>1</v>
      </c>
      <c r="AC39" s="2662">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56"/>
      <c r="Q40" s="1803" t="str">
        <f t="shared" si="11"/>
        <v>市政基础设施</v>
      </c>
      <c r="R40" s="773" t="s">
        <v>17</v>
      </c>
      <c r="S40" s="774">
        <f t="shared" si="12"/>
        <v>100</v>
      </c>
      <c r="T40" s="773" t="s">
        <v>17</v>
      </c>
      <c r="U40" s="774">
        <f t="shared" si="13"/>
        <v>100</v>
      </c>
      <c r="V40" s="773" t="s">
        <v>17</v>
      </c>
      <c r="W40" s="774">
        <f t="shared" si="14"/>
        <v>100</v>
      </c>
      <c r="X40" s="1806"/>
      <c r="Y40" s="3258"/>
      <c r="Z40" s="1807" t="str">
        <f t="shared" si="15"/>
        <v>市政基础设施</v>
      </c>
      <c r="AA40" s="1804">
        <f t="shared" si="3"/>
        <v>1</v>
      </c>
      <c r="AB40" s="1804">
        <f t="shared" si="4"/>
        <v>1</v>
      </c>
      <c r="AC40" s="2662">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56"/>
      <c r="Q41" s="1803" t="str">
        <f t="shared" si="11"/>
        <v>层高</v>
      </c>
      <c r="R41" s="773" t="s">
        <v>17</v>
      </c>
      <c r="S41" s="774">
        <f t="shared" si="12"/>
        <v>100</v>
      </c>
      <c r="T41" s="773" t="s">
        <v>17</v>
      </c>
      <c r="U41" s="774">
        <f t="shared" si="13"/>
        <v>100</v>
      </c>
      <c r="V41" s="773" t="s">
        <v>17</v>
      </c>
      <c r="W41" s="774">
        <f t="shared" si="14"/>
        <v>100</v>
      </c>
      <c r="X41" s="1806"/>
      <c r="Y41" s="3258"/>
      <c r="Z41" s="1807" t="str">
        <f t="shared" si="15"/>
        <v>层高</v>
      </c>
      <c r="AA41" s="1804">
        <f t="shared" si="3"/>
        <v>1</v>
      </c>
      <c r="AB41" s="1804">
        <f t="shared" si="4"/>
        <v>1</v>
      </c>
      <c r="AC41" s="2662">
        <f t="shared" si="5"/>
        <v>1</v>
      </c>
    </row>
    <row r="42" spans="1:29" s="470" customFormat="1" ht="15">
      <c r="A42" s="467"/>
      <c r="B42" s="1805"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4">
        <f t="shared" si="3"/>
        <v>1</v>
      </c>
      <c r="AB42" s="1804">
        <f t="shared" si="4"/>
        <v>1</v>
      </c>
      <c r="AC42" s="2662">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56"/>
      <c r="Q43" s="1803" t="str">
        <f t="shared" si="11"/>
        <v>内部装修</v>
      </c>
      <c r="R43" s="773" t="s">
        <v>17</v>
      </c>
      <c r="S43" s="774">
        <f t="shared" si="12"/>
        <v>100</v>
      </c>
      <c r="T43" s="773" t="s">
        <v>17</v>
      </c>
      <c r="U43" s="774">
        <f t="shared" si="13"/>
        <v>100</v>
      </c>
      <c r="V43" s="773" t="s">
        <v>17</v>
      </c>
      <c r="W43" s="774">
        <f t="shared" si="14"/>
        <v>100</v>
      </c>
      <c r="X43" s="1806"/>
      <c r="Y43" s="3258"/>
      <c r="Z43" s="1807" t="str">
        <f t="shared" si="15"/>
        <v>内部装修</v>
      </c>
      <c r="AA43" s="1804">
        <f t="shared" si="3"/>
        <v>1</v>
      </c>
      <c r="AB43" s="1804">
        <f t="shared" si="4"/>
        <v>1</v>
      </c>
      <c r="AC43" s="2662">
        <f t="shared" si="5"/>
        <v>1</v>
      </c>
    </row>
    <row r="44" spans="1:29" ht="28.8">
      <c r="A44" s="471"/>
      <c r="B44" s="421" t="s">
        <v>2561</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56"/>
      <c r="Q44" s="1803" t="str">
        <f t="shared" si="11"/>
        <v>内部装修维护情况</v>
      </c>
      <c r="R44" s="773" t="s">
        <v>17</v>
      </c>
      <c r="S44" s="774">
        <f t="shared" si="12"/>
        <v>100</v>
      </c>
      <c r="T44" s="773" t="s">
        <v>17</v>
      </c>
      <c r="U44" s="774">
        <f t="shared" si="13"/>
        <v>100</v>
      </c>
      <c r="V44" s="773" t="s">
        <v>17</v>
      </c>
      <c r="W44" s="774">
        <f t="shared" si="14"/>
        <v>100</v>
      </c>
      <c r="X44" s="1806"/>
      <c r="Y44" s="3258"/>
      <c r="Z44" s="1807" t="str">
        <f t="shared" si="15"/>
        <v>内部装修维护情况</v>
      </c>
      <c r="AA44" s="1804">
        <f t="shared" si="3"/>
        <v>1</v>
      </c>
      <c r="AB44" s="1804">
        <f t="shared" si="4"/>
        <v>1</v>
      </c>
      <c r="AC44" s="2662">
        <f t="shared" si="5"/>
        <v>1</v>
      </c>
    </row>
    <row r="45" spans="1:29" s="116" customFormat="1" ht="15">
      <c r="A45" s="472"/>
      <c r="B45" s="1379">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256"/>
      <c r="Q45" s="1788">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56"/>
      <c r="Q46" s="1803">
        <f t="shared" si="11"/>
        <v>111</v>
      </c>
      <c r="R46" s="773" t="s">
        <v>17</v>
      </c>
      <c r="S46" s="774">
        <f t="shared" si="12"/>
        <v>100</v>
      </c>
      <c r="T46" s="773" t="s">
        <v>17</v>
      </c>
      <c r="U46" s="774">
        <f t="shared" si="13"/>
        <v>100</v>
      </c>
      <c r="V46" s="773" t="s">
        <v>17</v>
      </c>
      <c r="W46" s="774">
        <f t="shared" si="14"/>
        <v>100</v>
      </c>
      <c r="X46" s="1806"/>
      <c r="Y46" s="3258"/>
      <c r="Z46" s="1807">
        <f t="shared" si="15"/>
        <v>111</v>
      </c>
      <c r="AA46" s="1804">
        <f t="shared" si="3"/>
        <v>1</v>
      </c>
      <c r="AB46" s="1804">
        <f t="shared" si="4"/>
        <v>1</v>
      </c>
      <c r="AC46" s="2662">
        <f t="shared" si="5"/>
        <v>1</v>
      </c>
    </row>
    <row r="47" spans="1:29" ht="15.6"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57"/>
      <c r="Q47" s="1803">
        <f t="shared" si="11"/>
        <v>111</v>
      </c>
      <c r="R47" s="773" t="s">
        <v>17</v>
      </c>
      <c r="S47" s="774">
        <f t="shared" si="12"/>
        <v>100</v>
      </c>
      <c r="T47" s="773" t="s">
        <v>17</v>
      </c>
      <c r="U47" s="774">
        <f t="shared" si="13"/>
        <v>100</v>
      </c>
      <c r="V47" s="773" t="s">
        <v>17</v>
      </c>
      <c r="W47" s="774">
        <f t="shared" si="14"/>
        <v>100</v>
      </c>
      <c r="X47" s="1806"/>
      <c r="Y47" s="3259"/>
      <c r="Z47" s="1807">
        <f t="shared" si="15"/>
        <v>111</v>
      </c>
      <c r="AA47" s="1804">
        <f t="shared" si="3"/>
        <v>1</v>
      </c>
      <c r="AB47" s="1804">
        <f t="shared" si="4"/>
        <v>1</v>
      </c>
      <c r="AC47" s="2662">
        <f t="shared" si="5"/>
        <v>1</v>
      </c>
    </row>
    <row r="48" spans="1:29" ht="14.4">
      <c r="A48" s="478" t="s">
        <v>2562</v>
      </c>
      <c r="B48" s="479"/>
      <c r="C48" s="1400" t="s">
        <v>1</v>
      </c>
      <c r="D48" s="1401"/>
      <c r="E48" s="1402"/>
      <c r="F48" s="1403"/>
      <c r="G48" s="1404"/>
      <c r="H48" s="1405"/>
      <c r="I48" s="1402"/>
      <c r="J48" s="484"/>
      <c r="K48" s="782"/>
      <c r="L48" s="1136"/>
      <c r="M48" s="1124"/>
      <c r="N48" s="1124"/>
      <c r="O48" s="1124"/>
      <c r="P48" s="3250" t="str">
        <f>A48</f>
        <v>成交单价（元/平方米）</v>
      </c>
      <c r="Q48" s="3260"/>
      <c r="R48" s="3261">
        <f>E48</f>
        <v>0</v>
      </c>
      <c r="S48" s="3261"/>
      <c r="T48" s="3261">
        <f>G48</f>
        <v>0</v>
      </c>
      <c r="U48" s="3261"/>
      <c r="V48" s="3261">
        <f>I48</f>
        <v>0</v>
      </c>
      <c r="W48" s="3261"/>
      <c r="X48" s="445"/>
      <c r="Y48" s="780"/>
      <c r="Z48" s="445"/>
      <c r="AA48" s="445"/>
      <c r="AB48" s="445"/>
      <c r="AC48" s="629"/>
    </row>
    <row r="49" spans="1:29" ht="15" thickBot="1">
      <c r="A49" s="485" t="s">
        <v>2654</v>
      </c>
      <c r="B49" s="486"/>
      <c r="C49" s="1406" t="e">
        <f>R50</f>
        <v>#DIV/0!</v>
      </c>
      <c r="D49" s="1407"/>
      <c r="E49" s="1408" t="e">
        <f>R49</f>
        <v>#DIV/0!</v>
      </c>
      <c r="F49" s="1408"/>
      <c r="G49" s="1406" t="e">
        <f>T49</f>
        <v>#DIV/0!</v>
      </c>
      <c r="H49" s="1407"/>
      <c r="I49" s="1408" t="e">
        <f>V49</f>
        <v>#DIV/0!</v>
      </c>
      <c r="J49" s="488"/>
      <c r="K49" s="783"/>
      <c r="L49" s="1136"/>
      <c r="M49" s="1124"/>
      <c r="N49" s="1124"/>
      <c r="O49" s="1124"/>
      <c r="P49" s="3250"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 thickBot="1">
      <c r="A50" s="491" t="s">
        <v>2655</v>
      </c>
      <c r="B50" s="492"/>
      <c r="C50" s="1410" t="e">
        <f>R50</f>
        <v>#DIV/0!</v>
      </c>
      <c r="D50" s="1410"/>
      <c r="E50" s="1410"/>
      <c r="F50" s="1410"/>
      <c r="G50" s="1410"/>
      <c r="H50" s="1410"/>
      <c r="I50" s="1410"/>
      <c r="J50" s="493"/>
      <c r="K50" s="784"/>
      <c r="L50" s="1136"/>
      <c r="M50" s="1124"/>
      <c r="N50" s="1124"/>
      <c r="O50" s="1124"/>
      <c r="P50" s="3267" t="str">
        <f>A50</f>
        <v>估价对象XX用房的比较价值（楼面单价，元/平方米）</v>
      </c>
      <c r="Q50" s="3268"/>
      <c r="R50" s="3269" t="e">
        <f>IF(F1="售价",ROUND(AVERAGE(R49:V49),0),ROUND(AVERAGE(R49:V49),1))</f>
        <v>#DIV/0!</v>
      </c>
      <c r="S50" s="3269"/>
      <c r="T50" s="3269"/>
      <c r="U50" s="3269"/>
      <c r="V50" s="3269"/>
      <c r="W50" s="3269"/>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2.2" thickBot="1">
      <c r="A58" s="762" t="s">
        <v>2659</v>
      </c>
      <c r="B58" s="758"/>
      <c r="C58" s="763"/>
      <c r="D58" s="763"/>
      <c r="E58" s="763"/>
      <c r="F58" s="764"/>
      <c r="G58" s="764"/>
      <c r="H58" s="763"/>
      <c r="I58" s="763"/>
      <c r="J58" s="763"/>
      <c r="K58" s="765"/>
      <c r="L58" s="1154"/>
      <c r="M58" s="1152"/>
      <c r="N58" s="1152"/>
      <c r="O58" s="1152"/>
      <c r="P58" s="2669"/>
      <c r="Q58" s="503"/>
    </row>
    <row r="59" spans="1:29" s="507" customFormat="1" ht="14.4">
      <c r="A59" s="504" t="s">
        <v>2533</v>
      </c>
      <c r="B59" s="505"/>
      <c r="C59" s="1567" t="str">
        <f>YEAR(C7)&amp;"-"&amp;MONTH(C7)</f>
        <v>2019-8</v>
      </c>
      <c r="D59" s="1568">
        <f>EDATE(C59,-1)</f>
        <v>43647</v>
      </c>
      <c r="E59" s="1568">
        <f>EDATE(D59,-1)</f>
        <v>43617</v>
      </c>
      <c r="F59" s="1568">
        <f t="shared" ref="F59:O59" si="16">EDATE(E59,-1)</f>
        <v>43586</v>
      </c>
      <c r="G59" s="1568">
        <f t="shared" si="16"/>
        <v>43556</v>
      </c>
      <c r="H59" s="1568">
        <f t="shared" si="16"/>
        <v>43525</v>
      </c>
      <c r="I59" s="1568">
        <f t="shared" si="16"/>
        <v>43497</v>
      </c>
      <c r="J59" s="1568">
        <f t="shared" si="16"/>
        <v>43466</v>
      </c>
      <c r="K59" s="1568">
        <f t="shared" si="16"/>
        <v>43435</v>
      </c>
      <c r="L59" s="1568">
        <f t="shared" si="16"/>
        <v>43405</v>
      </c>
      <c r="M59" s="1568">
        <f t="shared" si="16"/>
        <v>43374</v>
      </c>
      <c r="N59" s="1568">
        <f t="shared" si="16"/>
        <v>43344</v>
      </c>
      <c r="O59" s="1568">
        <f t="shared" si="16"/>
        <v>43313</v>
      </c>
      <c r="P59" s="1564"/>
    </row>
    <row r="60" spans="1:29" s="116" customFormat="1">
      <c r="A60" s="508"/>
      <c r="B60" s="509"/>
      <c r="C60" s="1566">
        <v>100</v>
      </c>
      <c r="D60" s="511"/>
      <c r="E60" s="511"/>
      <c r="F60" s="511"/>
      <c r="G60" s="511"/>
      <c r="H60" s="511"/>
      <c r="I60" s="511"/>
      <c r="J60" s="511"/>
      <c r="K60" s="511"/>
      <c r="L60" s="511"/>
      <c r="M60" s="512"/>
      <c r="N60" s="511"/>
      <c r="O60" s="512"/>
      <c r="P60" s="2670"/>
    </row>
    <row r="61" spans="1:29" s="116" customFormat="1" ht="15" thickBot="1">
      <c r="A61" s="514" t="s">
        <v>2570</v>
      </c>
      <c r="B61" s="515"/>
      <c r="C61" s="516"/>
      <c r="D61" s="517"/>
      <c r="E61" s="517"/>
      <c r="F61" s="517"/>
      <c r="G61" s="517"/>
      <c r="H61" s="517"/>
      <c r="I61" s="517"/>
      <c r="J61" s="517"/>
      <c r="K61" s="517"/>
      <c r="L61" s="517"/>
      <c r="M61" s="518"/>
      <c r="N61" s="517"/>
      <c r="O61" s="518"/>
      <c r="P61" s="2670"/>
      <c r="Q61" s="503"/>
    </row>
    <row r="62" spans="1:29" s="116" customFormat="1" ht="14.4">
      <c r="A62" s="520" t="s">
        <v>2535</v>
      </c>
      <c r="B62" s="509"/>
      <c r="C62" s="521" t="s">
        <v>2637</v>
      </c>
      <c r="D62" s="522"/>
      <c r="E62" s="522"/>
      <c r="F62" s="522"/>
      <c r="G62" s="522"/>
      <c r="H62" s="522"/>
      <c r="I62" s="522"/>
      <c r="J62" s="522"/>
      <c r="K62" s="522"/>
      <c r="L62" s="523"/>
      <c r="M62" s="524"/>
      <c r="N62" s="1144"/>
      <c r="O62" s="1144"/>
      <c r="P62" s="2671"/>
      <c r="Q62" s="503"/>
    </row>
    <row r="63" spans="1:29" s="116" customFormat="1" ht="14.4" thickBot="1">
      <c r="A63" s="520"/>
      <c r="B63" s="509"/>
      <c r="C63" s="510">
        <v>100</v>
      </c>
      <c r="D63" s="511"/>
      <c r="E63" s="511"/>
      <c r="F63" s="511"/>
      <c r="G63" s="511"/>
      <c r="H63" s="511"/>
      <c r="I63" s="511"/>
      <c r="J63" s="511"/>
      <c r="K63" s="511"/>
      <c r="L63" s="511"/>
      <c r="M63" s="513"/>
      <c r="N63" s="1144"/>
      <c r="O63" s="1144"/>
      <c r="P63" s="2670"/>
      <c r="Q63" s="503"/>
    </row>
    <row r="64" spans="1:29" ht="14.4">
      <c r="A64" s="526" t="s">
        <v>2573</v>
      </c>
      <c r="B64" s="527" t="s">
        <v>2539</v>
      </c>
      <c r="C64" s="528">
        <f>C9</f>
        <v>0</v>
      </c>
      <c r="D64" s="529"/>
      <c r="E64" s="529"/>
      <c r="F64" s="529"/>
      <c r="G64" s="529"/>
      <c r="H64" s="529"/>
      <c r="I64" s="529"/>
      <c r="J64" s="529"/>
      <c r="K64" s="530"/>
      <c r="L64" s="531"/>
      <c r="M64" s="532"/>
      <c r="N64" s="1145"/>
      <c r="O64" s="1145"/>
      <c r="P64" s="2672"/>
      <c r="Q64" s="503"/>
    </row>
    <row r="65" spans="1:17" ht="14.4" thickBot="1">
      <c r="A65" s="533"/>
      <c r="B65" s="534"/>
      <c r="C65" s="535">
        <v>100</v>
      </c>
      <c r="D65" s="535"/>
      <c r="E65" s="535"/>
      <c r="F65" s="535"/>
      <c r="G65" s="535"/>
      <c r="H65" s="535"/>
      <c r="I65" s="535"/>
      <c r="J65" s="535"/>
      <c r="K65" s="535"/>
      <c r="L65" s="535"/>
      <c r="M65" s="536"/>
      <c r="N65" s="1146"/>
      <c r="O65" s="1146"/>
      <c r="P65" s="2672"/>
      <c r="Q65" s="503"/>
    </row>
    <row r="66" spans="1:17" ht="29.4" thickTop="1">
      <c r="A66" s="533"/>
      <c r="B66" s="537" t="s">
        <v>2542</v>
      </c>
      <c r="C66" s="538" t="s">
        <v>2574</v>
      </c>
      <c r="D66" s="538" t="s">
        <v>2575</v>
      </c>
      <c r="E66" s="538" t="s">
        <v>2576</v>
      </c>
      <c r="F66" s="538" t="s">
        <v>2577</v>
      </c>
      <c r="G66" s="538" t="s">
        <v>2578</v>
      </c>
      <c r="H66" s="538" t="s">
        <v>2579</v>
      </c>
      <c r="I66" s="538" t="s">
        <v>2580</v>
      </c>
      <c r="J66" s="538"/>
      <c r="K66" s="539"/>
      <c r="L66" s="540"/>
      <c r="M66" s="541"/>
      <c r="N66" s="1145"/>
      <c r="O66" s="1145"/>
      <c r="P66" s="267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c r="A69" s="533"/>
      <c r="B69" s="547"/>
      <c r="C69" s="548"/>
      <c r="D69" s="548"/>
      <c r="E69" s="548"/>
      <c r="F69" s="548"/>
      <c r="G69" s="548"/>
      <c r="H69" s="548"/>
      <c r="I69" s="548"/>
      <c r="J69" s="548"/>
      <c r="K69" s="549"/>
      <c r="L69" s="550"/>
      <c r="M69" s="551"/>
      <c r="N69" s="1145"/>
      <c r="O69" s="1145"/>
      <c r="P69" s="267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4.4" thickTop="1">
      <c r="A71" s="552"/>
      <c r="B71" s="537">
        <f>B12</f>
        <v>111</v>
      </c>
      <c r="C71" s="553"/>
      <c r="D71" s="553"/>
      <c r="E71" s="553"/>
      <c r="F71" s="553"/>
      <c r="G71" s="553"/>
      <c r="H71" s="554"/>
      <c r="I71" s="554"/>
      <c r="J71" s="554"/>
      <c r="K71" s="554"/>
      <c r="L71" s="555"/>
      <c r="M71" s="556"/>
      <c r="N71" s="1147"/>
      <c r="O71" s="1147"/>
      <c r="P71" s="2673"/>
      <c r="Q71" s="558"/>
    </row>
    <row r="72" spans="1:17" s="470" customFormat="1" ht="14.4" thickBot="1">
      <c r="A72" s="552"/>
      <c r="B72" s="542"/>
      <c r="C72" s="559"/>
      <c r="D72" s="535"/>
      <c r="E72" s="535"/>
      <c r="F72" s="535"/>
      <c r="G72" s="535"/>
      <c r="H72" s="535"/>
      <c r="I72" s="535"/>
      <c r="J72" s="535"/>
      <c r="K72" s="535"/>
      <c r="L72" s="535"/>
      <c r="M72" s="536"/>
      <c r="N72" s="1146"/>
      <c r="O72" s="1146"/>
      <c r="P72" s="2673"/>
      <c r="Q72" s="558"/>
    </row>
    <row r="73" spans="1:17" s="470" customFormat="1" ht="14.4" thickTop="1">
      <c r="A73" s="552"/>
      <c r="B73" s="537">
        <f>B13</f>
        <v>111</v>
      </c>
      <c r="C73" s="553"/>
      <c r="D73" s="553"/>
      <c r="E73" s="553"/>
      <c r="F73" s="553"/>
      <c r="G73" s="553"/>
      <c r="H73" s="554"/>
      <c r="I73" s="554"/>
      <c r="J73" s="554"/>
      <c r="K73" s="554"/>
      <c r="L73" s="555"/>
      <c r="M73" s="556"/>
      <c r="N73" s="1147"/>
      <c r="O73" s="1147"/>
      <c r="P73" s="2674"/>
      <c r="Q73" s="560"/>
    </row>
    <row r="74" spans="1:17" s="470" customFormat="1" ht="14.4" thickBot="1">
      <c r="A74" s="552"/>
      <c r="B74" s="542"/>
      <c r="C74" s="559"/>
      <c r="D74" s="559"/>
      <c r="E74" s="559"/>
      <c r="F74" s="559"/>
      <c r="G74" s="559"/>
      <c r="H74" s="561"/>
      <c r="I74" s="561"/>
      <c r="J74" s="561"/>
      <c r="K74" s="561"/>
      <c r="L74" s="561"/>
      <c r="M74" s="562"/>
      <c r="N74" s="1147"/>
      <c r="O74" s="1147"/>
      <c r="P74" s="2673"/>
      <c r="Q74" s="558"/>
    </row>
    <row r="75" spans="1:17" s="470" customFormat="1" ht="14.4" thickTop="1">
      <c r="A75" s="552"/>
      <c r="B75" s="545">
        <f>B14</f>
        <v>111</v>
      </c>
      <c r="C75" s="522"/>
      <c r="D75" s="522"/>
      <c r="E75" s="522"/>
      <c r="F75" s="522"/>
      <c r="G75" s="522"/>
      <c r="H75" s="563"/>
      <c r="I75" s="563"/>
      <c r="J75" s="563"/>
      <c r="K75" s="563"/>
      <c r="L75" s="564"/>
      <c r="M75" s="565"/>
      <c r="N75" s="1147"/>
      <c r="O75" s="1147"/>
      <c r="P75" s="2675"/>
      <c r="Q75" s="558"/>
    </row>
    <row r="76" spans="1:17" s="470" customFormat="1" ht="14.4" thickBot="1">
      <c r="A76" s="567"/>
      <c r="B76" s="568"/>
      <c r="C76" s="569"/>
      <c r="D76" s="569"/>
      <c r="E76" s="569"/>
      <c r="F76" s="569"/>
      <c r="G76" s="569"/>
      <c r="H76" s="570"/>
      <c r="I76" s="570"/>
      <c r="J76" s="570"/>
      <c r="K76" s="570"/>
      <c r="L76" s="570"/>
      <c r="M76" s="571"/>
      <c r="N76" s="1147"/>
      <c r="O76" s="1147"/>
      <c r="P76" s="2673"/>
      <c r="Q76" s="558"/>
    </row>
    <row r="77" spans="1:17" ht="14.4">
      <c r="A77" s="526" t="s">
        <v>2544</v>
      </c>
      <c r="B77" s="527" t="s">
        <v>2682</v>
      </c>
      <c r="C77" s="572" t="s">
        <v>2582</v>
      </c>
      <c r="D77" s="572" t="s">
        <v>2583</v>
      </c>
      <c r="E77" s="572" t="s">
        <v>2584</v>
      </c>
      <c r="F77" s="572" t="s">
        <v>2585</v>
      </c>
      <c r="G77" s="572" t="s">
        <v>2586</v>
      </c>
      <c r="H77" s="528"/>
      <c r="I77" s="528"/>
      <c r="J77" s="528"/>
      <c r="K77" s="573"/>
      <c r="L77" s="574"/>
      <c r="M77" s="575"/>
      <c r="N77" s="1145"/>
      <c r="O77" s="1145"/>
      <c r="P77" s="267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 thickTop="1">
      <c r="A79" s="533"/>
      <c r="B79" s="537" t="s">
        <v>2587</v>
      </c>
      <c r="C79" s="577" t="s">
        <v>2582</v>
      </c>
      <c r="D79" s="577" t="s">
        <v>2583</v>
      </c>
      <c r="E79" s="577" t="s">
        <v>2584</v>
      </c>
      <c r="F79" s="577" t="s">
        <v>2585</v>
      </c>
      <c r="G79" s="577" t="s">
        <v>2586</v>
      </c>
      <c r="H79" s="538"/>
      <c r="I79" s="538"/>
      <c r="J79" s="538"/>
      <c r="K79" s="539"/>
      <c r="L79" s="540"/>
      <c r="M79" s="541"/>
      <c r="N79" s="1145"/>
      <c r="O79" s="1145"/>
      <c r="P79" s="267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 thickTop="1">
      <c r="A81" s="533"/>
      <c r="B81" s="537" t="s">
        <v>2588</v>
      </c>
      <c r="C81" s="577" t="s">
        <v>2582</v>
      </c>
      <c r="D81" s="577" t="s">
        <v>2583</v>
      </c>
      <c r="E81" s="577" t="s">
        <v>2584</v>
      </c>
      <c r="F81" s="577" t="s">
        <v>2585</v>
      </c>
      <c r="G81" s="577" t="s">
        <v>2586</v>
      </c>
      <c r="H81" s="538"/>
      <c r="I81" s="538"/>
      <c r="J81" s="538"/>
      <c r="K81" s="539"/>
      <c r="L81" s="540"/>
      <c r="M81" s="541"/>
      <c r="N81" s="1145"/>
      <c r="O81" s="1145"/>
      <c r="P81" s="267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 thickTop="1">
      <c r="A83" s="533"/>
      <c r="B83" s="545" t="s">
        <v>2674</v>
      </c>
      <c r="C83" s="659" t="s">
        <v>2660</v>
      </c>
      <c r="D83" s="659" t="s">
        <v>2661</v>
      </c>
      <c r="E83" s="659" t="s">
        <v>2662</v>
      </c>
      <c r="F83" s="659" t="s">
        <v>2663</v>
      </c>
      <c r="G83" s="659" t="s">
        <v>2664</v>
      </c>
      <c r="H83" s="538"/>
      <c r="I83" s="538"/>
      <c r="J83" s="538"/>
      <c r="K83" s="538"/>
      <c r="L83" s="538"/>
      <c r="M83" s="1375"/>
      <c r="N83" s="1146"/>
      <c r="O83" s="1146"/>
      <c r="P83" s="267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 thickTop="1">
      <c r="A85" s="533"/>
      <c r="B85" s="537" t="s">
        <v>2683</v>
      </c>
      <c r="C85" s="577" t="s">
        <v>2582</v>
      </c>
      <c r="D85" s="577" t="s">
        <v>2583</v>
      </c>
      <c r="E85" s="577" t="s">
        <v>2584</v>
      </c>
      <c r="F85" s="577" t="s">
        <v>2585</v>
      </c>
      <c r="G85" s="577" t="s">
        <v>2586</v>
      </c>
      <c r="H85" s="538"/>
      <c r="I85" s="538"/>
      <c r="J85" s="538"/>
      <c r="K85" s="539"/>
      <c r="L85" s="540"/>
      <c r="M85" s="541"/>
      <c r="N85" s="1145"/>
      <c r="O85" s="1145"/>
      <c r="P85" s="267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6" customFormat="1" ht="29.4" thickTop="1">
      <c r="A87" s="578"/>
      <c r="B87" s="537" t="s">
        <v>2684</v>
      </c>
      <c r="C87" s="553"/>
      <c r="D87" s="553"/>
      <c r="E87" s="553"/>
      <c r="F87" s="553"/>
      <c r="G87" s="553"/>
      <c r="H87" s="553"/>
      <c r="I87" s="553"/>
      <c r="J87" s="553"/>
      <c r="K87" s="553"/>
      <c r="L87" s="579"/>
      <c r="M87" s="580"/>
      <c r="N87" s="1144"/>
      <c r="O87" s="1144"/>
      <c r="P87" s="267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6" customFormat="1" ht="14.4" thickTop="1">
      <c r="A89" s="578"/>
      <c r="B89" s="537" t="str">
        <f>B27</f>
        <v>楼层</v>
      </c>
      <c r="C89" s="553"/>
      <c r="D89" s="553"/>
      <c r="E89" s="553"/>
      <c r="F89" s="2623"/>
      <c r="G89" s="553"/>
      <c r="H89" s="553"/>
      <c r="I89" s="553"/>
      <c r="J89" s="553"/>
      <c r="K89" s="553"/>
      <c r="L89" s="553"/>
      <c r="M89" s="580"/>
      <c r="N89" s="1144"/>
      <c r="O89" s="1144"/>
      <c r="P89" s="267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4.4" thickTop="1">
      <c r="A93" s="533"/>
      <c r="B93" s="537">
        <f>B29</f>
        <v>111</v>
      </c>
      <c r="C93" s="553"/>
      <c r="D93" s="553"/>
      <c r="E93" s="553"/>
      <c r="F93" s="553"/>
      <c r="G93" s="553"/>
      <c r="H93" s="553"/>
      <c r="I93" s="553"/>
      <c r="J93" s="553"/>
      <c r="K93" s="553"/>
      <c r="L93" s="579"/>
      <c r="M93" s="580"/>
      <c r="N93" s="1145"/>
      <c r="O93" s="1145"/>
      <c r="P93" s="2672"/>
      <c r="Q93" s="503"/>
    </row>
    <row r="94" spans="1:17" ht="14.4" thickBot="1">
      <c r="A94" s="533"/>
      <c r="B94" s="542"/>
      <c r="C94" s="559"/>
      <c r="D94" s="535"/>
      <c r="E94" s="535"/>
      <c r="F94" s="535"/>
      <c r="G94" s="535"/>
      <c r="H94" s="535"/>
      <c r="I94" s="535"/>
      <c r="J94" s="535"/>
      <c r="K94" s="535"/>
      <c r="L94" s="535"/>
      <c r="M94" s="536"/>
      <c r="N94" s="1146"/>
      <c r="O94" s="1146"/>
      <c r="P94" s="2672"/>
      <c r="Q94" s="503"/>
    </row>
    <row r="95" spans="1:17" ht="14.4" thickTop="1">
      <c r="A95" s="533"/>
      <c r="B95" s="537">
        <f>B30</f>
        <v>111</v>
      </c>
      <c r="C95" s="553"/>
      <c r="D95" s="553"/>
      <c r="E95" s="553"/>
      <c r="F95" s="553"/>
      <c r="G95" s="582"/>
      <c r="H95" s="582"/>
      <c r="I95" s="582"/>
      <c r="J95" s="582"/>
      <c r="K95" s="583"/>
      <c r="L95" s="584"/>
      <c r="M95" s="585"/>
      <c r="N95" s="1145"/>
      <c r="O95" s="1145"/>
      <c r="P95" s="2672"/>
      <c r="Q95" s="503"/>
    </row>
    <row r="96" spans="1:17" ht="14.4" thickBot="1">
      <c r="A96" s="533"/>
      <c r="B96" s="542"/>
      <c r="C96" s="559"/>
      <c r="D96" s="559"/>
      <c r="E96" s="559"/>
      <c r="F96" s="559"/>
      <c r="G96" s="535"/>
      <c r="H96" s="535"/>
      <c r="I96" s="535"/>
      <c r="J96" s="535"/>
      <c r="K96" s="535"/>
      <c r="L96" s="535"/>
      <c r="M96" s="536"/>
      <c r="N96" s="1146"/>
      <c r="O96" s="1146"/>
      <c r="P96" s="2672"/>
      <c r="Q96" s="503"/>
    </row>
    <row r="97" spans="1:17" ht="14.4" thickTop="1">
      <c r="A97" s="533"/>
      <c r="B97" s="537">
        <f>B31</f>
        <v>111</v>
      </c>
      <c r="C97" s="553"/>
      <c r="D97" s="553"/>
      <c r="E97" s="553"/>
      <c r="F97" s="553"/>
      <c r="G97" s="582"/>
      <c r="H97" s="582"/>
      <c r="I97" s="582"/>
      <c r="J97" s="582"/>
      <c r="K97" s="583"/>
      <c r="L97" s="584"/>
      <c r="M97" s="585"/>
      <c r="N97" s="1145"/>
      <c r="O97" s="1145"/>
      <c r="P97" s="2672"/>
      <c r="Q97" s="503"/>
    </row>
    <row r="98" spans="1:17" ht="14.4" thickBot="1">
      <c r="A98" s="533"/>
      <c r="B98" s="542"/>
      <c r="C98" s="559"/>
      <c r="D98" s="535"/>
      <c r="E98" s="535"/>
      <c r="F98" s="535"/>
      <c r="G98" s="535"/>
      <c r="H98" s="535"/>
      <c r="I98" s="535"/>
      <c r="J98" s="535"/>
      <c r="K98" s="535"/>
      <c r="L98" s="535"/>
      <c r="M98" s="536"/>
      <c r="N98" s="1146"/>
      <c r="O98" s="1146"/>
      <c r="P98" s="2672"/>
      <c r="Q98" s="503"/>
    </row>
    <row r="99" spans="1:17" ht="14.4" thickTop="1">
      <c r="A99" s="533"/>
      <c r="B99" s="545">
        <f>B32</f>
        <v>111</v>
      </c>
      <c r="C99" s="522"/>
      <c r="D99" s="522"/>
      <c r="E99" s="522"/>
      <c r="F99" s="522"/>
      <c r="G99" s="586"/>
      <c r="H99" s="586"/>
      <c r="I99" s="586"/>
      <c r="J99" s="586"/>
      <c r="K99" s="587"/>
      <c r="L99" s="588"/>
      <c r="M99" s="589"/>
      <c r="N99" s="1145"/>
      <c r="O99" s="1145"/>
      <c r="P99" s="2672"/>
      <c r="Q99" s="503"/>
    </row>
    <row r="100" spans="1:17" ht="14.4" thickBot="1">
      <c r="A100" s="2624"/>
      <c r="B100" s="568"/>
      <c r="C100" s="569"/>
      <c r="D100" s="569"/>
      <c r="E100" s="569"/>
      <c r="F100" s="569"/>
      <c r="G100" s="590"/>
      <c r="H100" s="590"/>
      <c r="I100" s="590"/>
      <c r="J100" s="590"/>
      <c r="K100" s="590"/>
      <c r="L100" s="590"/>
      <c r="M100" s="591"/>
      <c r="N100" s="1146"/>
      <c r="O100" s="1146"/>
      <c r="P100" s="2672"/>
      <c r="Q100" s="503"/>
    </row>
    <row r="101" spans="1:17" ht="14.4">
      <c r="A101" s="526" t="s">
        <v>2548</v>
      </c>
      <c r="B101" s="527" t="s">
        <v>2597</v>
      </c>
      <c r="C101" s="529"/>
      <c r="D101" s="529"/>
      <c r="E101" s="529"/>
      <c r="F101" s="529"/>
      <c r="G101" s="529"/>
      <c r="H101" s="529"/>
      <c r="I101" s="529"/>
      <c r="J101" s="529"/>
      <c r="K101" s="530"/>
      <c r="L101" s="531"/>
      <c r="M101" s="532"/>
      <c r="N101" s="1145"/>
      <c r="O101" s="1145"/>
      <c r="P101" s="267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2599</v>
      </c>
      <c r="C106" s="553"/>
      <c r="D106" s="553"/>
      <c r="E106" s="582"/>
      <c r="F106" s="582"/>
      <c r="G106" s="582"/>
      <c r="H106" s="582"/>
      <c r="I106" s="582"/>
      <c r="J106" s="582"/>
      <c r="K106" s="583"/>
      <c r="L106" s="584"/>
      <c r="M106" s="585"/>
      <c r="N106" s="1145"/>
      <c r="O106" s="1145"/>
      <c r="P106" s="267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2601</v>
      </c>
      <c r="C108" s="553"/>
      <c r="D108" s="553"/>
      <c r="E108" s="553"/>
      <c r="F108" s="582"/>
      <c r="G108" s="582"/>
      <c r="H108" s="582"/>
      <c r="I108" s="582"/>
      <c r="J108" s="582"/>
      <c r="K108" s="583"/>
      <c r="L108" s="584"/>
      <c r="M108" s="585"/>
      <c r="N108" s="1145"/>
      <c r="O108" s="1145"/>
      <c r="P108" s="267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2685</v>
      </c>
      <c r="C113" s="553"/>
      <c r="D113" s="553"/>
      <c r="E113" s="553"/>
      <c r="F113" s="553"/>
      <c r="G113" s="553"/>
      <c r="H113" s="582"/>
      <c r="I113" s="582"/>
      <c r="J113" s="582"/>
      <c r="K113" s="583"/>
      <c r="L113" s="584"/>
      <c r="M113" s="585"/>
      <c r="N113" s="1147"/>
      <c r="O113" s="1147"/>
      <c r="P113" s="267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2602</v>
      </c>
      <c r="C115" s="553"/>
      <c r="D115" s="553"/>
      <c r="E115" s="582"/>
      <c r="F115" s="582"/>
      <c r="G115" s="582"/>
      <c r="H115" s="582"/>
      <c r="I115" s="582"/>
      <c r="J115" s="582"/>
      <c r="K115" s="583"/>
      <c r="L115" s="584"/>
      <c r="M115" s="585"/>
      <c r="N115" s="1145"/>
      <c r="O115" s="1145"/>
      <c r="P115" s="267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2603</v>
      </c>
      <c r="C117" s="553"/>
      <c r="D117" s="553"/>
      <c r="E117" s="553"/>
      <c r="F117" s="553"/>
      <c r="G117" s="553"/>
      <c r="H117" s="582"/>
      <c r="I117" s="582"/>
      <c r="J117" s="582"/>
      <c r="K117" s="583"/>
      <c r="L117" s="584"/>
      <c r="M117" s="585"/>
      <c r="N117" s="1145"/>
      <c r="O117" s="1145"/>
      <c r="P117" s="267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2686</v>
      </c>
      <c r="C119" s="582"/>
      <c r="D119" s="582"/>
      <c r="E119" s="582"/>
      <c r="F119" s="582"/>
      <c r="G119" s="582"/>
      <c r="H119" s="582"/>
      <c r="I119" s="582"/>
      <c r="J119" s="582"/>
      <c r="K119" s="582"/>
      <c r="L119" s="2677"/>
      <c r="M119" s="2678"/>
      <c r="N119" s="1146"/>
      <c r="O119" s="1146"/>
      <c r="P119" s="267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2669</v>
      </c>
      <c r="C121" s="553"/>
      <c r="D121" s="553"/>
      <c r="E121" s="553"/>
      <c r="F121" s="582"/>
      <c r="G121" s="554"/>
      <c r="H121" s="554"/>
      <c r="I121" s="554"/>
      <c r="J121" s="554"/>
      <c r="K121" s="554"/>
      <c r="L121" s="555"/>
      <c r="M121" s="556"/>
      <c r="N121" s="1147"/>
      <c r="O121" s="1147"/>
      <c r="P121" s="2673"/>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2605</v>
      </c>
      <c r="C123" s="553"/>
      <c r="D123" s="553"/>
      <c r="E123" s="553"/>
      <c r="F123" s="582"/>
      <c r="G123" s="582"/>
      <c r="H123" s="582"/>
      <c r="I123" s="582"/>
      <c r="J123" s="582"/>
      <c r="K123" s="583"/>
      <c r="L123" s="584"/>
      <c r="M123" s="585"/>
      <c r="N123" s="1145"/>
      <c r="O123" s="1145"/>
      <c r="P123" s="267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29.4" thickTop="1">
      <c r="A125" s="598"/>
      <c r="B125" s="537" t="s">
        <v>2606</v>
      </c>
      <c r="C125" s="577" t="s">
        <v>2582</v>
      </c>
      <c r="D125" s="577" t="s">
        <v>2583</v>
      </c>
      <c r="E125" s="577" t="s">
        <v>2584</v>
      </c>
      <c r="F125" s="577" t="s">
        <v>2585</v>
      </c>
      <c r="G125" s="577" t="s">
        <v>2586</v>
      </c>
      <c r="H125" s="538"/>
      <c r="I125" s="538"/>
      <c r="J125" s="538"/>
      <c r="K125" s="539"/>
      <c r="L125" s="540"/>
      <c r="M125" s="541"/>
      <c r="N125" s="1145"/>
      <c r="O125" s="1145"/>
      <c r="P125" s="267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3"/>
      <c r="Q128" s="558"/>
    </row>
    <row r="129" spans="1:17" ht="14.4" thickTop="1">
      <c r="A129" s="598"/>
      <c r="B129" s="537">
        <f>B46</f>
        <v>111</v>
      </c>
      <c r="C129" s="553"/>
      <c r="D129" s="553"/>
      <c r="E129" s="553"/>
      <c r="F129" s="553"/>
      <c r="G129" s="582"/>
      <c r="H129" s="582"/>
      <c r="I129" s="582"/>
      <c r="J129" s="582"/>
      <c r="K129" s="583"/>
      <c r="L129" s="584"/>
      <c r="M129" s="585"/>
      <c r="N129" s="1145"/>
      <c r="O129" s="1145"/>
      <c r="P129" s="2672"/>
      <c r="Q129" s="503"/>
    </row>
    <row r="130" spans="1:17" ht="14.4" thickBot="1">
      <c r="A130" s="533"/>
      <c r="B130" s="542"/>
      <c r="C130" s="559"/>
      <c r="D130" s="559"/>
      <c r="E130" s="559"/>
      <c r="F130" s="559"/>
      <c r="G130" s="535"/>
      <c r="H130" s="535"/>
      <c r="I130" s="535"/>
      <c r="J130" s="535"/>
      <c r="K130" s="535"/>
      <c r="L130" s="535"/>
      <c r="M130" s="536"/>
      <c r="N130" s="1146"/>
      <c r="O130" s="1146"/>
      <c r="P130" s="2672"/>
      <c r="Q130" s="503"/>
    </row>
    <row r="131" spans="1:17" ht="14.4" thickTop="1">
      <c r="A131" s="598"/>
      <c r="B131" s="545">
        <f>B47</f>
        <v>111</v>
      </c>
      <c r="C131" s="522"/>
      <c r="D131" s="522"/>
      <c r="E131" s="522"/>
      <c r="F131" s="522"/>
      <c r="G131" s="586"/>
      <c r="H131" s="586"/>
      <c r="I131" s="586"/>
      <c r="J131" s="586"/>
      <c r="K131" s="522"/>
      <c r="L131" s="523"/>
      <c r="M131" s="589"/>
      <c r="N131" s="1145"/>
      <c r="O131" s="1145"/>
      <c r="P131" s="2672"/>
      <c r="Q131" s="503"/>
    </row>
    <row r="132" spans="1:17" ht="14.4"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2687</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IF(C2="——",ROUND(C43*D3/10000,0),ROUND(C43*D3/10000,0)-D2)</f>
        <v>#DIV/0!</v>
      </c>
      <c r="C2" s="2575"/>
      <c r="D2" s="1117"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2317</v>
      </c>
      <c r="B3" s="608" t="e">
        <f ca="1">IF(C2="——",C43,ROUND(B2*10000/D3,0))</f>
        <v>#DIV/0!</v>
      </c>
      <c r="C3" s="399" t="s">
        <v>2629</v>
      </c>
      <c r="D3" s="398">
        <f>IF(D1="",'数据-汇总表'!E3,SUMIF('数据-汇总表'!$C19:$C33,D1,'数据-汇总表'!$E19:$E33))</f>
        <v>21278.6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0" si="3">D8/F8</f>
        <v>#DIV/0!</v>
      </c>
      <c r="AB8" s="772" t="e">
        <f t="shared" ref="AB8:AB40" si="4">D8/H8</f>
        <v>#DIV/0!</v>
      </c>
      <c r="AC8" s="772" t="e">
        <f t="shared" ref="AC8:AC40" si="5">D8/J8</f>
        <v>#DIV/0!</v>
      </c>
    </row>
    <row r="9" spans="1:29" s="116" customFormat="1" ht="14.4">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26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135">
        <f>SUMIF(64:64,E12,65:65)-SUMIF(64:64,C12,65:65)+100</f>
        <v>100</v>
      </c>
      <c r="G12" s="2680"/>
      <c r="H12" s="135">
        <f>SUMIF(64:64,G12,65:65)-SUMIF(64:64,C12,65:65)+100</f>
        <v>100</v>
      </c>
      <c r="I12" s="468"/>
      <c r="J12" s="135">
        <f>SUMIF(64:64,I12,65:65)-SUMIF(64:64,C12,65:65)+100</f>
        <v>100</v>
      </c>
      <c r="K12" s="612"/>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135">
        <f>SUMIF(66:66,E13,67:67)-SUMIF(66:66,C13,67:67)+100</f>
        <v>100</v>
      </c>
      <c r="G13" s="2680"/>
      <c r="H13" s="434">
        <f>SUMIF(66:66,G13,67:67)-SUMIF(66:66,C13,67:67)+100</f>
        <v>100</v>
      </c>
      <c r="I13" s="468"/>
      <c r="J13" s="434">
        <f>SUMIF(66:66,I13,67:67)-SUMIF(66:66,C13,67:67)+100</f>
        <v>100</v>
      </c>
      <c r="K13" s="612"/>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69">
      <c r="A15" s="439" t="s">
        <v>2544</v>
      </c>
      <c r="B15" s="69" t="s">
        <v>2688</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53" t="s">
        <v>2545</v>
      </c>
      <c r="Q15" s="1803" t="str">
        <f t="shared" si="6"/>
        <v>产业集聚程度</v>
      </c>
      <c r="R15" s="773" t="s">
        <v>17</v>
      </c>
      <c r="S15" s="774">
        <f t="shared" si="0"/>
        <v>100</v>
      </c>
      <c r="T15" s="773" t="s">
        <v>17</v>
      </c>
      <c r="U15" s="774">
        <f t="shared" si="1"/>
        <v>100</v>
      </c>
      <c r="V15" s="773" t="s">
        <v>17</v>
      </c>
      <c r="W15" s="774">
        <f t="shared" si="2"/>
        <v>100</v>
      </c>
      <c r="X15" s="1806"/>
      <c r="Y15" s="3253" t="s">
        <v>2545</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32"/>
      <c r="P16" s="3254"/>
      <c r="Q16" s="1803"/>
      <c r="R16" s="773"/>
      <c r="S16" s="774"/>
      <c r="T16" s="773"/>
      <c r="U16" s="774"/>
      <c r="V16" s="773"/>
      <c r="W16" s="774"/>
      <c r="X16" s="1806"/>
      <c r="Y16" s="3254"/>
      <c r="Z16" s="1807"/>
      <c r="AA16" s="1804">
        <v>1</v>
      </c>
      <c r="AB16" s="1804">
        <v>1</v>
      </c>
      <c r="AC16" s="1804">
        <v>1</v>
      </c>
    </row>
    <row r="17" spans="1:29" ht="96.6">
      <c r="A17" s="427"/>
      <c r="B17" s="450" t="s">
        <v>2085</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32"/>
      <c r="P18" s="3254"/>
      <c r="Q18" s="1803"/>
      <c r="R18" s="773"/>
      <c r="S18" s="774"/>
      <c r="T18" s="773"/>
      <c r="U18" s="774"/>
      <c r="V18" s="773"/>
      <c r="W18" s="774"/>
      <c r="X18" s="1806"/>
      <c r="Y18" s="3254"/>
      <c r="Z18" s="1807"/>
      <c r="AA18" s="1804">
        <v>1</v>
      </c>
      <c r="AB18" s="1804">
        <v>1</v>
      </c>
      <c r="AC18" s="1804">
        <v>1</v>
      </c>
    </row>
    <row r="19" spans="1:29" ht="41.4">
      <c r="A19" s="427"/>
      <c r="B19" s="450" t="s">
        <v>2673</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54"/>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32"/>
      <c r="P20" s="3254"/>
      <c r="Q20" s="1803"/>
      <c r="R20" s="773"/>
      <c r="S20" s="774"/>
      <c r="T20" s="773"/>
      <c r="U20" s="774"/>
      <c r="V20" s="773"/>
      <c r="W20" s="774"/>
      <c r="X20" s="1806"/>
      <c r="Y20" s="3254"/>
      <c r="Z20" s="1807"/>
      <c r="AA20" s="1804">
        <v>1</v>
      </c>
      <c r="AB20" s="1804">
        <v>1</v>
      </c>
      <c r="AC20" s="1804">
        <v>1</v>
      </c>
    </row>
    <row r="21" spans="1:29" ht="41.4">
      <c r="A21" s="427"/>
      <c r="B21" s="1377" t="s">
        <v>2674</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54"/>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32"/>
      <c r="P22" s="3254"/>
      <c r="Q22" s="1803"/>
      <c r="R22" s="773"/>
      <c r="S22" s="774"/>
      <c r="T22" s="773"/>
      <c r="U22" s="774"/>
      <c r="V22" s="773"/>
      <c r="W22" s="774"/>
      <c r="X22" s="1806"/>
      <c r="Y22" s="3254"/>
      <c r="Z22" s="1807"/>
      <c r="AA22" s="1804">
        <v>1</v>
      </c>
      <c r="AB22" s="1804">
        <v>1</v>
      </c>
      <c r="AC22" s="1804">
        <v>1</v>
      </c>
    </row>
    <row r="23" spans="1:29" ht="82.8">
      <c r="A23" s="427"/>
      <c r="B23" s="450" t="s">
        <v>2675</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54"/>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1804">
        <f t="shared" si="5"/>
        <v>1</v>
      </c>
    </row>
    <row r="24" spans="1:29" ht="15">
      <c r="A24" s="427"/>
      <c r="B24" s="1377"/>
      <c r="C24" s="446"/>
      <c r="D24" s="447"/>
      <c r="E24" s="2594"/>
      <c r="F24" s="448"/>
      <c r="G24" s="2593"/>
      <c r="H24" s="447"/>
      <c r="I24" s="2594"/>
      <c r="J24" s="447"/>
      <c r="K24" s="614"/>
      <c r="L24" s="1133"/>
      <c r="M24" s="1124"/>
      <c r="N24" s="1124"/>
      <c r="O24" s="1132"/>
      <c r="P24" s="3254"/>
      <c r="Q24" s="1803"/>
      <c r="R24" s="773"/>
      <c r="S24" s="774"/>
      <c r="T24" s="773"/>
      <c r="U24" s="774"/>
      <c r="V24" s="773"/>
      <c r="W24" s="774"/>
      <c r="X24" s="1806"/>
      <c r="Y24" s="3254"/>
      <c r="Z24" s="1807"/>
      <c r="AA24" s="1804">
        <v>1</v>
      </c>
      <c r="AB24" s="1804">
        <v>1</v>
      </c>
      <c r="AC24" s="1804">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54"/>
      <c r="Q25" s="1803">
        <f>B25</f>
        <v>111</v>
      </c>
      <c r="R25" s="773" t="s">
        <v>17</v>
      </c>
      <c r="S25" s="774">
        <f>F25</f>
        <v>100</v>
      </c>
      <c r="T25" s="773" t="s">
        <v>17</v>
      </c>
      <c r="U25" s="774">
        <f>H25</f>
        <v>100</v>
      </c>
      <c r="V25" s="773" t="s">
        <v>17</v>
      </c>
      <c r="W25" s="774">
        <f>J25</f>
        <v>100</v>
      </c>
      <c r="X25" s="1806"/>
      <c r="Y25" s="3254"/>
      <c r="Z25" s="1807">
        <f>Q25</f>
        <v>111</v>
      </c>
      <c r="AA25" s="1804">
        <f t="shared" si="3"/>
        <v>1</v>
      </c>
      <c r="AB25" s="1804">
        <f t="shared" si="4"/>
        <v>1</v>
      </c>
      <c r="AC25" s="1804">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54"/>
      <c r="Q26" s="1803">
        <f t="shared" ref="Q26:Q40" si="11">B26</f>
        <v>111</v>
      </c>
      <c r="R26" s="773" t="s">
        <v>17</v>
      </c>
      <c r="S26" s="774">
        <f>F26</f>
        <v>100</v>
      </c>
      <c r="T26" s="773" t="s">
        <v>17</v>
      </c>
      <c r="U26" s="774">
        <f>H26</f>
        <v>100</v>
      </c>
      <c r="V26" s="773" t="s">
        <v>17</v>
      </c>
      <c r="W26" s="774">
        <f>J26</f>
        <v>100</v>
      </c>
      <c r="X26" s="1806"/>
      <c r="Y26" s="3254"/>
      <c r="Z26" s="1807">
        <f>Q26</f>
        <v>111</v>
      </c>
      <c r="AA26" s="1804">
        <f t="shared" si="3"/>
        <v>1</v>
      </c>
      <c r="AB26" s="1804">
        <f t="shared" si="4"/>
        <v>1</v>
      </c>
      <c r="AC26" s="1804">
        <f t="shared" si="5"/>
        <v>1</v>
      </c>
    </row>
    <row r="27" spans="1:29" s="116"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54"/>
      <c r="Q27" s="1788">
        <f t="shared" si="11"/>
        <v>111</v>
      </c>
      <c r="R27" s="769" t="s">
        <v>17</v>
      </c>
      <c r="S27" s="770">
        <f>F27</f>
        <v>100</v>
      </c>
      <c r="T27" s="769" t="s">
        <v>17</v>
      </c>
      <c r="U27" s="770">
        <f>H27</f>
        <v>100</v>
      </c>
      <c r="V27" s="769" t="s">
        <v>17</v>
      </c>
      <c r="W27" s="770">
        <f>J27</f>
        <v>100</v>
      </c>
      <c r="X27" s="771"/>
      <c r="Y27" s="3254"/>
      <c r="Z27" s="55">
        <f>Q27</f>
        <v>111</v>
      </c>
      <c r="AA27" s="1804">
        <f>D27/F27</f>
        <v>1</v>
      </c>
      <c r="AB27" s="1804">
        <f>D27/H27</f>
        <v>1</v>
      </c>
      <c r="AC27" s="1804">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54"/>
      <c r="Q28" s="1803">
        <f t="shared" si="11"/>
        <v>111</v>
      </c>
      <c r="R28" s="773" t="s">
        <v>17</v>
      </c>
      <c r="S28" s="774">
        <f t="shared" ref="S28:S40" si="12">F28</f>
        <v>100</v>
      </c>
      <c r="T28" s="773" t="s">
        <v>17</v>
      </c>
      <c r="U28" s="774">
        <f t="shared" ref="U28:U40" si="13">H28</f>
        <v>100</v>
      </c>
      <c r="V28" s="773" t="s">
        <v>17</v>
      </c>
      <c r="W28" s="774">
        <f t="shared" ref="W28:W40" si="14">J28</f>
        <v>100</v>
      </c>
      <c r="X28" s="1806"/>
      <c r="Y28" s="3254"/>
      <c r="Z28" s="1807">
        <f t="shared" ref="Z28:Z40" si="15">Q28</f>
        <v>111</v>
      </c>
      <c r="AA28" s="1804">
        <f t="shared" si="3"/>
        <v>1</v>
      </c>
      <c r="AB28" s="1804">
        <f t="shared" si="4"/>
        <v>1</v>
      </c>
      <c r="AC28" s="1804">
        <f t="shared" si="5"/>
        <v>1</v>
      </c>
    </row>
    <row r="29" spans="1:29" ht="30">
      <c r="A29" s="465" t="s">
        <v>2548</v>
      </c>
      <c r="B29" s="71" t="s">
        <v>2678</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282" t="s">
        <v>2550</v>
      </c>
      <c r="Q29" s="1803" t="str">
        <f t="shared" si="11"/>
        <v>建筑类型</v>
      </c>
      <c r="R29" s="773" t="s">
        <v>17</v>
      </c>
      <c r="S29" s="774">
        <f t="shared" si="12"/>
        <v>100</v>
      </c>
      <c r="T29" s="773" t="s">
        <v>17</v>
      </c>
      <c r="U29" s="774">
        <f t="shared" si="13"/>
        <v>100</v>
      </c>
      <c r="V29" s="773" t="s">
        <v>17</v>
      </c>
      <c r="W29" s="774">
        <f t="shared" si="14"/>
        <v>100</v>
      </c>
      <c r="X29" s="1806"/>
      <c r="Y29" s="3258" t="s">
        <v>2550</v>
      </c>
      <c r="Z29" s="1807" t="str">
        <f t="shared" si="15"/>
        <v>建筑类型</v>
      </c>
      <c r="AA29" s="1804">
        <f t="shared" si="3"/>
        <v>1</v>
      </c>
      <c r="AB29" s="1804">
        <f t="shared" si="4"/>
        <v>1</v>
      </c>
      <c r="AC29" s="1804">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4" t="e">
        <f t="shared" si="3"/>
        <v>#N/A</v>
      </c>
      <c r="AB30" s="1804" t="e">
        <f t="shared" si="4"/>
        <v>#N/A</v>
      </c>
      <c r="AC30" s="1804"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58"/>
      <c r="Q31" s="1803" t="str">
        <f t="shared" si="11"/>
        <v>建筑结构</v>
      </c>
      <c r="R31" s="773" t="s">
        <v>17</v>
      </c>
      <c r="S31" s="774">
        <f t="shared" si="12"/>
        <v>100</v>
      </c>
      <c r="T31" s="773" t="s">
        <v>17</v>
      </c>
      <c r="U31" s="774">
        <f t="shared" si="13"/>
        <v>100</v>
      </c>
      <c r="V31" s="773" t="s">
        <v>17</v>
      </c>
      <c r="W31" s="774">
        <f t="shared" si="14"/>
        <v>100</v>
      </c>
      <c r="X31" s="1806"/>
      <c r="Y31" s="3258"/>
      <c r="Z31" s="1807" t="str">
        <f t="shared" si="15"/>
        <v>建筑结构</v>
      </c>
      <c r="AA31" s="1804">
        <f t="shared" si="3"/>
        <v>1</v>
      </c>
      <c r="AB31" s="1804">
        <f t="shared" si="4"/>
        <v>1</v>
      </c>
      <c r="AC31" s="1804">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58"/>
      <c r="Q32" s="1803" t="str">
        <f t="shared" si="11"/>
        <v>公共部分装修</v>
      </c>
      <c r="R32" s="773" t="s">
        <v>17</v>
      </c>
      <c r="S32" s="774">
        <f t="shared" si="12"/>
        <v>100</v>
      </c>
      <c r="T32" s="773" t="s">
        <v>17</v>
      </c>
      <c r="U32" s="774">
        <f t="shared" si="13"/>
        <v>100</v>
      </c>
      <c r="V32" s="773" t="s">
        <v>17</v>
      </c>
      <c r="W32" s="774">
        <f t="shared" si="14"/>
        <v>100</v>
      </c>
      <c r="X32" s="1806"/>
      <c r="Y32" s="3258"/>
      <c r="Z32" s="1807" t="str">
        <f t="shared" si="15"/>
        <v>公共部分装修</v>
      </c>
      <c r="AA32" s="1804">
        <f t="shared" si="3"/>
        <v>1</v>
      </c>
      <c r="AB32" s="1804">
        <f t="shared" si="4"/>
        <v>1</v>
      </c>
      <c r="AC32" s="1804">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58"/>
      <c r="Q33" s="1803" t="str">
        <f t="shared" si="11"/>
        <v>成新度</v>
      </c>
      <c r="R33" s="773" t="s">
        <v>17</v>
      </c>
      <c r="S33" s="774" t="e">
        <f t="shared" si="12"/>
        <v>#N/A</v>
      </c>
      <c r="T33" s="773" t="s">
        <v>17</v>
      </c>
      <c r="U33" s="774" t="e">
        <f t="shared" si="13"/>
        <v>#N/A</v>
      </c>
      <c r="V33" s="773" t="s">
        <v>17</v>
      </c>
      <c r="W33" s="774" t="e">
        <f t="shared" si="14"/>
        <v>#N/A</v>
      </c>
      <c r="X33" s="1806"/>
      <c r="Y33" s="3258"/>
      <c r="Z33" s="1807" t="str">
        <f t="shared" si="15"/>
        <v>成新度</v>
      </c>
      <c r="AA33" s="1804" t="e">
        <f t="shared" si="3"/>
        <v>#N/A</v>
      </c>
      <c r="AB33" s="1804" t="e">
        <f t="shared" si="4"/>
        <v>#N/A</v>
      </c>
      <c r="AC33" s="1804" t="e">
        <f t="shared" si="5"/>
        <v>#N/A</v>
      </c>
    </row>
    <row r="34" spans="1:29" s="116"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58"/>
      <c r="Q34" s="1788"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58" t="s">
        <v>2550</v>
      </c>
      <c r="Q35" s="1803" t="str">
        <f t="shared" si="11"/>
        <v>市政基础设施</v>
      </c>
      <c r="R35" s="773" t="s">
        <v>17</v>
      </c>
      <c r="S35" s="774">
        <f t="shared" si="12"/>
        <v>100</v>
      </c>
      <c r="T35" s="773" t="s">
        <v>17</v>
      </c>
      <c r="U35" s="774">
        <f t="shared" si="13"/>
        <v>100</v>
      </c>
      <c r="V35" s="773" t="s">
        <v>17</v>
      </c>
      <c r="W35" s="774">
        <f t="shared" si="14"/>
        <v>100</v>
      </c>
      <c r="X35" s="1806"/>
      <c r="Y35" s="3258" t="s">
        <v>2550</v>
      </c>
      <c r="Z35" s="1807" t="str">
        <f t="shared" si="15"/>
        <v>市政基础设施</v>
      </c>
      <c r="AA35" s="1804">
        <f t="shared" si="3"/>
        <v>1</v>
      </c>
      <c r="AB35" s="1804">
        <f t="shared" si="4"/>
        <v>1</v>
      </c>
      <c r="AC35" s="1804">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58"/>
      <c r="Q36" s="1803" t="str">
        <f t="shared" si="11"/>
        <v>内部装修</v>
      </c>
      <c r="R36" s="773" t="s">
        <v>17</v>
      </c>
      <c r="S36" s="774">
        <f t="shared" si="12"/>
        <v>100</v>
      </c>
      <c r="T36" s="773" t="s">
        <v>17</v>
      </c>
      <c r="U36" s="774">
        <f t="shared" si="13"/>
        <v>100</v>
      </c>
      <c r="V36" s="773" t="s">
        <v>17</v>
      </c>
      <c r="W36" s="774">
        <f t="shared" si="14"/>
        <v>100</v>
      </c>
      <c r="X36" s="1806"/>
      <c r="Y36" s="3258"/>
      <c r="Z36" s="1807" t="str">
        <f t="shared" si="15"/>
        <v>内部装修</v>
      </c>
      <c r="AA36" s="1804">
        <f t="shared" si="3"/>
        <v>1</v>
      </c>
      <c r="AB36" s="1804">
        <f t="shared" si="4"/>
        <v>1</v>
      </c>
      <c r="AC36" s="1804">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58"/>
      <c r="Q37" s="1803" t="str">
        <f t="shared" si="11"/>
        <v>内部装修状况</v>
      </c>
      <c r="R37" s="773" t="s">
        <v>17</v>
      </c>
      <c r="S37" s="774">
        <f t="shared" si="12"/>
        <v>100</v>
      </c>
      <c r="T37" s="773" t="s">
        <v>17</v>
      </c>
      <c r="U37" s="774">
        <f t="shared" si="13"/>
        <v>100</v>
      </c>
      <c r="V37" s="773" t="s">
        <v>17</v>
      </c>
      <c r="W37" s="774">
        <f t="shared" si="14"/>
        <v>100</v>
      </c>
      <c r="X37" s="1806"/>
      <c r="Y37" s="3258"/>
      <c r="Z37" s="1807" t="str">
        <f t="shared" si="15"/>
        <v>内部装修状况</v>
      </c>
      <c r="AA37" s="1804">
        <f t="shared" si="3"/>
        <v>1</v>
      </c>
      <c r="AB37" s="1804">
        <f t="shared" si="4"/>
        <v>1</v>
      </c>
      <c r="AC37" s="1804">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4">
        <f t="shared" si="3"/>
        <v>1</v>
      </c>
      <c r="AB38" s="1804">
        <f t="shared" si="4"/>
        <v>1</v>
      </c>
      <c r="AC38" s="1804">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58"/>
      <c r="Q39" s="1803">
        <f t="shared" si="11"/>
        <v>111</v>
      </c>
      <c r="R39" s="773" t="s">
        <v>17</v>
      </c>
      <c r="S39" s="774">
        <f t="shared" si="12"/>
        <v>100</v>
      </c>
      <c r="T39" s="773" t="s">
        <v>17</v>
      </c>
      <c r="U39" s="774">
        <f t="shared" si="13"/>
        <v>100</v>
      </c>
      <c r="V39" s="773" t="s">
        <v>17</v>
      </c>
      <c r="W39" s="774">
        <f t="shared" si="14"/>
        <v>100</v>
      </c>
      <c r="X39" s="1806"/>
      <c r="Y39" s="3258"/>
      <c r="Z39" s="1807">
        <f t="shared" si="15"/>
        <v>111</v>
      </c>
      <c r="AA39" s="1804">
        <f t="shared" si="3"/>
        <v>1</v>
      </c>
      <c r="AB39" s="1804">
        <f t="shared" si="4"/>
        <v>1</v>
      </c>
      <c r="AC39" s="1804">
        <f t="shared" si="5"/>
        <v>1</v>
      </c>
    </row>
    <row r="40" spans="1:29" ht="15.6"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59"/>
      <c r="Q40" s="1803">
        <f t="shared" si="11"/>
        <v>111</v>
      </c>
      <c r="R40" s="773" t="s">
        <v>17</v>
      </c>
      <c r="S40" s="774">
        <f t="shared" si="12"/>
        <v>100</v>
      </c>
      <c r="T40" s="773" t="s">
        <v>17</v>
      </c>
      <c r="U40" s="774">
        <f t="shared" si="13"/>
        <v>100</v>
      </c>
      <c r="V40" s="773" t="s">
        <v>17</v>
      </c>
      <c r="W40" s="774">
        <f t="shared" si="14"/>
        <v>100</v>
      </c>
      <c r="X40" s="1806"/>
      <c r="Y40" s="3259"/>
      <c r="Z40" s="1807">
        <f t="shared" si="15"/>
        <v>111</v>
      </c>
      <c r="AA40" s="1804">
        <f t="shared" si="3"/>
        <v>1</v>
      </c>
      <c r="AB40" s="1804">
        <f t="shared" si="4"/>
        <v>1</v>
      </c>
      <c r="AC40" s="1804">
        <f t="shared" si="5"/>
        <v>1</v>
      </c>
    </row>
    <row r="41" spans="1:29" ht="14.4">
      <c r="A41" s="478" t="s">
        <v>2562</v>
      </c>
      <c r="B41" s="479"/>
      <c r="C41" s="1400" t="s">
        <v>1</v>
      </c>
      <c r="D41" s="1401"/>
      <c r="E41" s="1402"/>
      <c r="F41" s="1403"/>
      <c r="G41" s="1404"/>
      <c r="H41" s="1405"/>
      <c r="I41" s="1402"/>
      <c r="J41" s="1405"/>
      <c r="K41" s="782"/>
      <c r="L41" s="1136"/>
      <c r="M41" s="1137"/>
      <c r="N41" s="1124"/>
      <c r="O41" s="1137"/>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 thickBot="1">
      <c r="A42" s="485" t="s">
        <v>2654</v>
      </c>
      <c r="B42" s="486"/>
      <c r="C42" s="1406" t="e">
        <f>R43</f>
        <v>#DIV/0!</v>
      </c>
      <c r="D42" s="1407"/>
      <c r="E42" s="1408" t="e">
        <f>R42</f>
        <v>#DIV/0!</v>
      </c>
      <c r="F42" s="1408"/>
      <c r="G42" s="1406" t="e">
        <f>T42</f>
        <v>#DIV/0!</v>
      </c>
      <c r="H42" s="1407"/>
      <c r="I42" s="1408" t="e">
        <f>V42</f>
        <v>#DIV/0!</v>
      </c>
      <c r="J42" s="1407"/>
      <c r="K42" s="783"/>
      <c r="L42" s="1136"/>
      <c r="M42" s="1137"/>
      <c r="N42" s="1124"/>
      <c r="O42" s="1137"/>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 thickBot="1">
      <c r="A43" s="491" t="s">
        <v>2655</v>
      </c>
      <c r="B43" s="492"/>
      <c r="C43" s="1410" t="e">
        <f>R43</f>
        <v>#DIV/0!</v>
      </c>
      <c r="D43" s="1410"/>
      <c r="E43" s="1410"/>
      <c r="F43" s="1410"/>
      <c r="G43" s="1410"/>
      <c r="H43" s="1410"/>
      <c r="I43" s="1410"/>
      <c r="J43" s="1410"/>
      <c r="K43" s="784"/>
      <c r="L43" s="1136"/>
      <c r="M43" s="1137"/>
      <c r="N43" s="1137"/>
      <c r="O43" s="1137"/>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2659</v>
      </c>
      <c r="B51" s="758"/>
      <c r="C51" s="763"/>
      <c r="D51" s="763"/>
      <c r="E51" s="763"/>
      <c r="F51" s="764"/>
      <c r="G51" s="764"/>
      <c r="H51" s="763"/>
      <c r="I51" s="763"/>
      <c r="J51" s="763"/>
      <c r="K51" s="1153"/>
      <c r="L51" s="1154"/>
      <c r="M51" s="1152"/>
      <c r="N51" s="1152"/>
      <c r="O51" s="1152"/>
      <c r="P51" s="502"/>
      <c r="Q51" s="503"/>
    </row>
    <row r="52" spans="1:17" s="507" customFormat="1" ht="14.4">
      <c r="A52" s="504" t="s">
        <v>2533</v>
      </c>
      <c r="B52" s="505"/>
      <c r="C52" s="1567" t="str">
        <f>YEAR(C7)&amp;"-"&amp;MONTH(C7)</f>
        <v>2019-8</v>
      </c>
      <c r="D52" s="1568">
        <f>EDATE(C52,-1)</f>
        <v>43647</v>
      </c>
      <c r="E52" s="1568">
        <f t="shared" ref="E52:O52" si="16">EDATE(D52,-1)</f>
        <v>43617</v>
      </c>
      <c r="F52" s="1568">
        <f t="shared" si="16"/>
        <v>43586</v>
      </c>
      <c r="G52" s="1568">
        <f t="shared" si="16"/>
        <v>43556</v>
      </c>
      <c r="H52" s="1568">
        <f t="shared" si="16"/>
        <v>43525</v>
      </c>
      <c r="I52" s="1568">
        <f t="shared" si="16"/>
        <v>43497</v>
      </c>
      <c r="J52" s="1568">
        <f t="shared" si="16"/>
        <v>43466</v>
      </c>
      <c r="K52" s="1568">
        <f t="shared" si="16"/>
        <v>43435</v>
      </c>
      <c r="L52" s="1568">
        <f t="shared" si="16"/>
        <v>43405</v>
      </c>
      <c r="M52" s="1568">
        <f t="shared" si="16"/>
        <v>43374</v>
      </c>
      <c r="N52" s="1568">
        <f t="shared" si="16"/>
        <v>43344</v>
      </c>
      <c r="O52" s="1568">
        <f t="shared" si="16"/>
        <v>43313</v>
      </c>
      <c r="P52" s="506"/>
    </row>
    <row r="53" spans="1:17" s="116" customFormat="1">
      <c r="A53" s="508"/>
      <c r="B53" s="509"/>
      <c r="C53" s="1566">
        <v>100</v>
      </c>
      <c r="D53" s="511"/>
      <c r="E53" s="511"/>
      <c r="F53" s="511"/>
      <c r="G53" s="511"/>
      <c r="H53" s="511"/>
      <c r="I53" s="511"/>
      <c r="J53" s="511"/>
      <c r="K53" s="511"/>
      <c r="L53" s="511"/>
      <c r="M53" s="512"/>
      <c r="N53" s="511"/>
      <c r="O53" s="513"/>
      <c r="P53" s="503"/>
    </row>
    <row r="54" spans="1:17" s="116" customFormat="1" ht="15" thickBot="1">
      <c r="A54" s="514" t="s">
        <v>2570</v>
      </c>
      <c r="B54" s="515"/>
      <c r="C54" s="516"/>
      <c r="D54" s="517"/>
      <c r="E54" s="517"/>
      <c r="F54" s="517"/>
      <c r="G54" s="517"/>
      <c r="H54" s="517"/>
      <c r="I54" s="517"/>
      <c r="J54" s="517"/>
      <c r="K54" s="517"/>
      <c r="L54" s="517"/>
      <c r="M54" s="518"/>
      <c r="N54" s="517"/>
      <c r="O54" s="519"/>
      <c r="P54" s="503"/>
      <c r="Q54" s="503"/>
    </row>
    <row r="55" spans="1:17" s="116" customFormat="1" ht="14.4">
      <c r="A55" s="520" t="s">
        <v>2535</v>
      </c>
      <c r="B55" s="509"/>
      <c r="C55" s="521" t="s">
        <v>2637</v>
      </c>
      <c r="D55" s="522"/>
      <c r="E55" s="522"/>
      <c r="F55" s="522"/>
      <c r="G55" s="522"/>
      <c r="H55" s="522"/>
      <c r="I55" s="522"/>
      <c r="J55" s="522"/>
      <c r="K55" s="522"/>
      <c r="L55" s="523"/>
      <c r="M55" s="524"/>
      <c r="N55" s="1144"/>
      <c r="O55" s="1144"/>
      <c r="P55" s="525"/>
      <c r="Q55" s="503"/>
    </row>
    <row r="56" spans="1:17" s="116"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2573</v>
      </c>
      <c r="B57" s="527" t="s">
        <v>2539</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2542</v>
      </c>
      <c r="C59" s="538" t="s">
        <v>2574</v>
      </c>
      <c r="D59" s="538" t="s">
        <v>2575</v>
      </c>
      <c r="E59" s="538" t="s">
        <v>2576</v>
      </c>
      <c r="F59" s="538" t="s">
        <v>2577</v>
      </c>
      <c r="G59" s="538" t="s">
        <v>2578</v>
      </c>
      <c r="H59" s="538" t="s">
        <v>2579</v>
      </c>
      <c r="I59" s="538" t="s">
        <v>2580</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2544</v>
      </c>
      <c r="B70" s="527" t="s">
        <v>2690</v>
      </c>
      <c r="C70" s="572" t="s">
        <v>2582</v>
      </c>
      <c r="D70" s="572" t="s">
        <v>2583</v>
      </c>
      <c r="E70" s="572" t="s">
        <v>2584</v>
      </c>
      <c r="F70" s="572" t="s">
        <v>2585</v>
      </c>
      <c r="G70" s="572" t="s">
        <v>2586</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2587</v>
      </c>
      <c r="C72" s="577" t="s">
        <v>2582</v>
      </c>
      <c r="D72" s="577" t="s">
        <v>2583</v>
      </c>
      <c r="E72" s="577" t="s">
        <v>2584</v>
      </c>
      <c r="F72" s="577" t="s">
        <v>2585</v>
      </c>
      <c r="G72" s="577" t="s">
        <v>2586</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2588</v>
      </c>
      <c r="C74" s="577" t="s">
        <v>2582</v>
      </c>
      <c r="D74" s="577" t="s">
        <v>2583</v>
      </c>
      <c r="E74" s="577" t="s">
        <v>2584</v>
      </c>
      <c r="F74" s="577" t="s">
        <v>2585</v>
      </c>
      <c r="G74" s="577" t="s">
        <v>2586</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2674</v>
      </c>
      <c r="C76" s="659" t="s">
        <v>2660</v>
      </c>
      <c r="D76" s="659" t="s">
        <v>2661</v>
      </c>
      <c r="E76" s="659" t="s">
        <v>2662</v>
      </c>
      <c r="F76" s="659" t="s">
        <v>2663</v>
      </c>
      <c r="G76" s="659" t="s">
        <v>2664</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2683</v>
      </c>
      <c r="C78" s="577" t="s">
        <v>2582</v>
      </c>
      <c r="D78" s="577" t="s">
        <v>2583</v>
      </c>
      <c r="E78" s="577" t="s">
        <v>2584</v>
      </c>
      <c r="F78" s="577" t="s">
        <v>2585</v>
      </c>
      <c r="G78" s="577" t="s">
        <v>2586</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4.4" thickTop="1">
      <c r="A80" s="578"/>
      <c r="B80" s="537">
        <f>B25</f>
        <v>111</v>
      </c>
      <c r="C80" s="553"/>
      <c r="D80" s="553"/>
      <c r="E80" s="553"/>
      <c r="F80" s="553"/>
      <c r="G80" s="553"/>
      <c r="H80" s="553"/>
      <c r="I80" s="553"/>
      <c r="J80" s="553"/>
      <c r="K80" s="553"/>
      <c r="L80" s="579"/>
      <c r="M80" s="580"/>
      <c r="N80" s="1144"/>
      <c r="O80" s="1144"/>
      <c r="P80" s="45"/>
      <c r="Q80" s="503"/>
    </row>
    <row r="81" spans="1:17" s="116" customFormat="1" ht="14.4" thickBot="1">
      <c r="A81" s="578"/>
      <c r="B81" s="542"/>
      <c r="C81" s="559"/>
      <c r="D81" s="535"/>
      <c r="E81" s="535"/>
      <c r="F81" s="535"/>
      <c r="G81" s="535"/>
      <c r="H81" s="535"/>
      <c r="I81" s="535"/>
      <c r="J81" s="535"/>
      <c r="K81" s="535"/>
      <c r="L81" s="535"/>
      <c r="M81" s="536"/>
      <c r="N81" s="1146"/>
      <c r="O81" s="1146"/>
      <c r="P81" s="45"/>
      <c r="Q81" s="503"/>
    </row>
    <row r="82" spans="1:17" s="116" customFormat="1" ht="14.4" thickTop="1">
      <c r="A82" s="578"/>
      <c r="B82" s="537">
        <f>B26</f>
        <v>111</v>
      </c>
      <c r="C82" s="553"/>
      <c r="D82" s="553"/>
      <c r="E82" s="553"/>
      <c r="F82" s="553"/>
      <c r="G82" s="553"/>
      <c r="H82" s="553"/>
      <c r="I82" s="553"/>
      <c r="J82" s="553"/>
      <c r="K82" s="553"/>
      <c r="L82" s="579"/>
      <c r="M82" s="580"/>
      <c r="N82" s="1144"/>
      <c r="O82" s="1144"/>
      <c r="P82" s="45"/>
      <c r="Q82" s="503"/>
    </row>
    <row r="83" spans="1:17" s="116"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4"/>
      <c r="B87" s="568"/>
      <c r="C87" s="569"/>
      <c r="D87" s="569"/>
      <c r="E87" s="569"/>
      <c r="F87" s="569"/>
      <c r="G87" s="590"/>
      <c r="H87" s="590"/>
      <c r="I87" s="590"/>
      <c r="J87" s="590"/>
      <c r="K87" s="590"/>
      <c r="L87" s="590"/>
      <c r="M87" s="591"/>
      <c r="N87" s="1146"/>
      <c r="O87" s="1146"/>
      <c r="P87" s="45"/>
      <c r="Q87" s="503"/>
    </row>
    <row r="88" spans="1:17" ht="14.4">
      <c r="A88" s="526" t="s">
        <v>2548</v>
      </c>
      <c r="B88" s="527" t="s">
        <v>2597</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2599</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2601</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2602</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2603</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2605</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2691</v>
      </c>
      <c r="C106" s="577" t="s">
        <v>2582</v>
      </c>
      <c r="D106" s="577" t="s">
        <v>2583</v>
      </c>
      <c r="E106" s="577" t="s">
        <v>2584</v>
      </c>
      <c r="F106" s="577" t="s">
        <v>2585</v>
      </c>
      <c r="G106" s="577" t="s">
        <v>2586</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18" sqref="I18"/>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15"/>
      <c r="F1" s="2573"/>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2315</v>
      </c>
      <c r="B2" s="1411" t="e">
        <f ca="1">IF(C2="——",IF(B37="元/平方米",ROUND(C39*D3/10000,0),ROUND(F3*C39/10000,0)),IF(B37="元/平方米",ROUND(C39*D3/10000,0),ROUND(F3*C39/10000,0))-D2)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2317</v>
      </c>
      <c r="B3" s="608" t="e">
        <f ca="1">IF(AND(C2="——",B37="元/平方米"),C39,ROUND(B2*10000/D3,0))</f>
        <v>#DIV/0!</v>
      </c>
      <c r="C3" s="399" t="s">
        <v>2629</v>
      </c>
      <c r="D3" s="398">
        <f>SUMIF('数据-汇总表'!$C19:$C33,D1,'数据-汇总表'!$E19:$E33)</f>
        <v>0</v>
      </c>
      <c r="E3" s="399" t="s">
        <v>2693</v>
      </c>
      <c r="F3" s="398">
        <f>SUMIF('数据-取费表'!A5:A15,D1,'数据-取费表'!AH5:AH15)</f>
        <v>0</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SUMIF(48:48,YEAR(E7)&amp;"-"&amp;MONTH(E7),49:49)</f>
        <v>0</v>
      </c>
      <c r="G7" s="411"/>
      <c r="H7" s="410">
        <f>SUMIF(48:48,YEAR(G7)&amp;"-"&amp;MONTH(G7),49:49)</f>
        <v>0</v>
      </c>
      <c r="I7" s="411"/>
      <c r="J7" s="410">
        <f>SUMIF(48:48,YEAR(I7)&amp;"-"&amp;MONTH(I7),49:49)</f>
        <v>0</v>
      </c>
      <c r="K7" s="610"/>
      <c r="L7" s="1125"/>
      <c r="M7" s="1126"/>
      <c r="N7" s="1126"/>
      <c r="O7" s="1126"/>
      <c r="P7" s="3247" t="s">
        <v>2534</v>
      </c>
      <c r="Q7" s="3248"/>
      <c r="R7" s="769" t="s">
        <v>17</v>
      </c>
      <c r="S7" s="770">
        <f t="shared" ref="S7:S14" si="0">F7</f>
        <v>0</v>
      </c>
      <c r="T7" s="769" t="s">
        <v>17</v>
      </c>
      <c r="U7" s="770">
        <f t="shared" ref="U7:U14" si="1">H7</f>
        <v>0</v>
      </c>
      <c r="V7" s="769" t="s">
        <v>17</v>
      </c>
      <c r="W7" s="770">
        <f t="shared" ref="W7:W14"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36" si="3">D8/F8</f>
        <v>#DIV/0!</v>
      </c>
      <c r="AB8" s="772" t="e">
        <f t="shared" ref="AB8:AB36" si="4">D8/H8</f>
        <v>#DIV/0!</v>
      </c>
      <c r="AC8" s="772" t="e">
        <f t="shared" ref="AC8:AC36" si="5">D8/J8</f>
        <v>#DIV/0!</v>
      </c>
    </row>
    <row r="9" spans="1:29" s="116" customFormat="1" ht="14.4">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260" t="s">
        <v>2540</v>
      </c>
      <c r="Q9" s="1788" t="str">
        <f t="shared" ref="Q9:Q14" si="6">B9</f>
        <v>用途</v>
      </c>
      <c r="R9" s="769" t="s">
        <v>17</v>
      </c>
      <c r="S9" s="770">
        <f t="shared" si="0"/>
        <v>100</v>
      </c>
      <c r="T9" s="769" t="s">
        <v>17</v>
      </c>
      <c r="U9" s="770">
        <f t="shared" si="1"/>
        <v>100</v>
      </c>
      <c r="V9" s="769" t="s">
        <v>17</v>
      </c>
      <c r="W9" s="770">
        <f t="shared" si="2"/>
        <v>100</v>
      </c>
      <c r="X9" s="771"/>
      <c r="Y9" s="3046" t="s">
        <v>2541</v>
      </c>
      <c r="Z9" s="55" t="str">
        <f t="shared" ref="Z9:Z14" si="7">Q9</f>
        <v>用途</v>
      </c>
      <c r="AA9" s="772">
        <f t="shared" si="3"/>
        <v>1</v>
      </c>
      <c r="AB9" s="772">
        <f t="shared" si="4"/>
        <v>1</v>
      </c>
      <c r="AC9" s="772">
        <f t="shared" si="5"/>
        <v>1</v>
      </c>
    </row>
    <row r="10" spans="1:29" s="426" customFormat="1" ht="28.8">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260"/>
      <c r="Q11" s="1788">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
      <c r="A14" s="400" t="s">
        <v>2544</v>
      </c>
      <c r="B14" s="628" t="s">
        <v>2694</v>
      </c>
      <c r="C14" s="2681"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253" t="s">
        <v>2545</v>
      </c>
      <c r="Q14" s="1803" t="str">
        <f t="shared" si="6"/>
        <v>交通便捷度</v>
      </c>
      <c r="R14" s="773" t="s">
        <v>17</v>
      </c>
      <c r="S14" s="774">
        <f t="shared" si="0"/>
        <v>100</v>
      </c>
      <c r="T14" s="773" t="s">
        <v>17</v>
      </c>
      <c r="U14" s="774">
        <f t="shared" si="1"/>
        <v>100</v>
      </c>
      <c r="V14" s="773" t="s">
        <v>17</v>
      </c>
      <c r="W14" s="774">
        <f t="shared" si="2"/>
        <v>100</v>
      </c>
      <c r="X14" s="1806"/>
      <c r="Y14" s="3253" t="s">
        <v>2545</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3"/>
      <c r="M15" s="1124"/>
      <c r="N15" s="1124"/>
      <c r="O15" s="1124"/>
      <c r="P15" s="3254"/>
      <c r="Q15" s="1803"/>
      <c r="R15" s="773"/>
      <c r="S15" s="774"/>
      <c r="T15" s="773"/>
      <c r="U15" s="774"/>
      <c r="V15" s="773"/>
      <c r="W15" s="774"/>
      <c r="X15" s="1806"/>
      <c r="Y15" s="3254"/>
      <c r="Z15" s="1807"/>
      <c r="AA15" s="1804">
        <v>1</v>
      </c>
      <c r="AB15" s="1804">
        <v>1</v>
      </c>
      <c r="AC15" s="1804">
        <v>1</v>
      </c>
    </row>
    <row r="16" spans="1:29" ht="15">
      <c r="A16" s="403"/>
      <c r="B16" s="630" t="s">
        <v>2673</v>
      </c>
      <c r="C16" s="2596"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03"/>
      <c r="B17" s="631"/>
      <c r="C17" s="2597"/>
      <c r="D17" s="447"/>
      <c r="E17" s="446"/>
      <c r="F17" s="448"/>
      <c r="G17" s="446"/>
      <c r="H17" s="447"/>
      <c r="I17" s="446"/>
      <c r="J17" s="447"/>
      <c r="K17" s="614"/>
      <c r="L17" s="1133"/>
      <c r="M17" s="1124"/>
      <c r="N17" s="1124"/>
      <c r="O17" s="1124"/>
      <c r="P17" s="3254"/>
      <c r="Q17" s="1803"/>
      <c r="R17" s="773"/>
      <c r="S17" s="774"/>
      <c r="T17" s="773"/>
      <c r="U17" s="774"/>
      <c r="V17" s="773"/>
      <c r="W17" s="774"/>
      <c r="X17" s="1806"/>
      <c r="Y17" s="3254"/>
      <c r="Z17" s="1807"/>
      <c r="AA17" s="1804">
        <v>1</v>
      </c>
      <c r="AB17" s="1804">
        <v>1</v>
      </c>
      <c r="AC17" s="1804">
        <v>1</v>
      </c>
    </row>
    <row r="18" spans="1:29" ht="15">
      <c r="A18" s="403"/>
      <c r="B18" s="632" t="s">
        <v>2674</v>
      </c>
      <c r="C18" s="2596"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03"/>
      <c r="B19" s="632"/>
      <c r="C19" s="2597"/>
      <c r="D19" s="449"/>
      <c r="E19" s="2597"/>
      <c r="F19" s="452"/>
      <c r="G19" s="2597"/>
      <c r="H19" s="447"/>
      <c r="I19" s="446"/>
      <c r="J19" s="447"/>
      <c r="K19" s="1376"/>
      <c r="L19" s="1133"/>
      <c r="M19" s="1124"/>
      <c r="N19" s="1124"/>
      <c r="O19" s="1124"/>
      <c r="P19" s="3254"/>
      <c r="Q19" s="1803"/>
      <c r="R19" s="773"/>
      <c r="S19" s="774"/>
      <c r="T19" s="773"/>
      <c r="U19" s="774"/>
      <c r="V19" s="773"/>
      <c r="W19" s="774"/>
      <c r="X19" s="1806"/>
      <c r="Y19" s="3254"/>
      <c r="Z19" s="1807"/>
      <c r="AA19" s="1804">
        <v>1</v>
      </c>
      <c r="AB19" s="1804">
        <v>1</v>
      </c>
      <c r="AC19" s="1804">
        <v>1</v>
      </c>
    </row>
    <row r="20" spans="1:29" ht="15">
      <c r="A20" s="403"/>
      <c r="B20" s="630" t="s">
        <v>2695</v>
      </c>
      <c r="C20" s="259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3"/>
      <c r="M21" s="1124"/>
      <c r="N21" s="1124"/>
      <c r="O21" s="1124"/>
      <c r="P21" s="3254"/>
      <c r="Q21" s="1803"/>
      <c r="R21" s="773"/>
      <c r="S21" s="774"/>
      <c r="T21" s="773"/>
      <c r="U21" s="774"/>
      <c r="V21" s="773"/>
      <c r="W21" s="774"/>
      <c r="X21" s="1806"/>
      <c r="Y21" s="3254"/>
      <c r="Z21" s="1807"/>
      <c r="AA21" s="1804">
        <v>1</v>
      </c>
      <c r="AB21" s="1804">
        <v>1</v>
      </c>
      <c r="AC21" s="1804">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54"/>
      <c r="Q24" s="1803">
        <f t="shared" ref="Q24:Q36"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54"/>
      <c r="Q25" s="1788">
        <f t="shared" si="11"/>
        <v>111</v>
      </c>
      <c r="R25" s="769" t="s">
        <v>17</v>
      </c>
      <c r="S25" s="770">
        <f>F25</f>
        <v>100</v>
      </c>
      <c r="T25" s="769" t="s">
        <v>17</v>
      </c>
      <c r="U25" s="770">
        <f>H25</f>
        <v>100</v>
      </c>
      <c r="V25" s="769" t="s">
        <v>17</v>
      </c>
      <c r="W25" s="770">
        <f>J25</f>
        <v>100</v>
      </c>
      <c r="X25" s="771"/>
      <c r="Y25" s="3254"/>
      <c r="Z25" s="55">
        <f>Q25</f>
        <v>111</v>
      </c>
      <c r="AA25" s="1804">
        <f>D25/F25</f>
        <v>1</v>
      </c>
      <c r="AB25" s="1804">
        <f>D25/H25</f>
        <v>1</v>
      </c>
      <c r="AC25" s="1804">
        <f>D25/J25</f>
        <v>1</v>
      </c>
    </row>
    <row r="26" spans="1:29" ht="30">
      <c r="A26" s="651" t="s">
        <v>2548</v>
      </c>
      <c r="B26" s="70" t="s">
        <v>2697</v>
      </c>
      <c r="C26" s="2682">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282" t="s">
        <v>2550</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58" t="s">
        <v>2550</v>
      </c>
      <c r="Z26" s="1807" t="str">
        <f t="shared" ref="Z26:Z36" si="15">Q26</f>
        <v>配套类型</v>
      </c>
      <c r="AA26" s="1804">
        <f t="shared" si="3"/>
        <v>1</v>
      </c>
      <c r="AB26" s="1804">
        <f t="shared" si="4"/>
        <v>1</v>
      </c>
      <c r="AC26" s="1804">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4">
        <f t="shared" si="3"/>
        <v>1</v>
      </c>
      <c r="AB27" s="1804">
        <f t="shared" si="4"/>
        <v>1</v>
      </c>
      <c r="AC27" s="1804">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258"/>
      <c r="Q28" s="1803" t="str">
        <f t="shared" si="11"/>
        <v>公共部分装修</v>
      </c>
      <c r="R28" s="773" t="s">
        <v>17</v>
      </c>
      <c r="S28" s="774">
        <f t="shared" si="12"/>
        <v>100</v>
      </c>
      <c r="T28" s="773" t="s">
        <v>17</v>
      </c>
      <c r="U28" s="774">
        <f t="shared" si="13"/>
        <v>100</v>
      </c>
      <c r="V28" s="773" t="s">
        <v>17</v>
      </c>
      <c r="W28" s="774">
        <f t="shared" si="14"/>
        <v>100</v>
      </c>
      <c r="X28" s="1806"/>
      <c r="Y28" s="3258"/>
      <c r="Z28" s="1807" t="str">
        <f t="shared" si="15"/>
        <v>公共部分装修</v>
      </c>
      <c r="AA28" s="1804">
        <f t="shared" si="3"/>
        <v>1</v>
      </c>
      <c r="AB28" s="1804">
        <f t="shared" si="4"/>
        <v>1</v>
      </c>
      <c r="AC28" s="1804">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258"/>
      <c r="Q29" s="1803" t="str">
        <f t="shared" si="11"/>
        <v>成新率</v>
      </c>
      <c r="R29" s="773" t="s">
        <v>17</v>
      </c>
      <c r="S29" s="774" t="e">
        <f t="shared" si="12"/>
        <v>#N/A</v>
      </c>
      <c r="T29" s="773" t="s">
        <v>17</v>
      </c>
      <c r="U29" s="774" t="e">
        <f t="shared" si="13"/>
        <v>#N/A</v>
      </c>
      <c r="V29" s="773" t="s">
        <v>17</v>
      </c>
      <c r="W29" s="774" t="e">
        <f t="shared" si="14"/>
        <v>#N/A</v>
      </c>
      <c r="X29" s="1806"/>
      <c r="Y29" s="3258"/>
      <c r="Z29" s="1807" t="str">
        <f t="shared" si="15"/>
        <v>成新率</v>
      </c>
      <c r="AA29" s="1804" t="e">
        <f t="shared" si="3"/>
        <v>#N/A</v>
      </c>
      <c r="AB29" s="1804" t="e">
        <f t="shared" si="4"/>
        <v>#N/A</v>
      </c>
      <c r="AC29" s="1804"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258"/>
      <c r="Q30" s="1803" t="str">
        <f t="shared" si="11"/>
        <v>物业等级</v>
      </c>
      <c r="R30" s="773" t="s">
        <v>17</v>
      </c>
      <c r="S30" s="774">
        <f t="shared" si="12"/>
        <v>100</v>
      </c>
      <c r="T30" s="773" t="s">
        <v>17</v>
      </c>
      <c r="U30" s="774">
        <f t="shared" si="13"/>
        <v>100</v>
      </c>
      <c r="V30" s="773" t="s">
        <v>17</v>
      </c>
      <c r="W30" s="774">
        <f t="shared" si="14"/>
        <v>100</v>
      </c>
      <c r="X30" s="1806"/>
      <c r="Y30" s="3258"/>
      <c r="Z30" s="1807" t="str">
        <f t="shared" si="15"/>
        <v>物业等级</v>
      </c>
      <c r="AA30" s="1804">
        <f t="shared" si="3"/>
        <v>1</v>
      </c>
      <c r="AB30" s="1804">
        <f t="shared" si="4"/>
        <v>1</v>
      </c>
      <c r="AC30" s="1804">
        <f t="shared" si="5"/>
        <v>1</v>
      </c>
    </row>
    <row r="31" spans="1:29" s="116"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258"/>
      <c r="Q31" s="1788"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258" t="s">
        <v>2550</v>
      </c>
      <c r="Q32" s="1803" t="str">
        <f t="shared" si="11"/>
        <v>车位类型</v>
      </c>
      <c r="R32" s="773" t="s">
        <v>17</v>
      </c>
      <c r="S32" s="774">
        <f t="shared" si="12"/>
        <v>100</v>
      </c>
      <c r="T32" s="773" t="s">
        <v>17</v>
      </c>
      <c r="U32" s="774">
        <f t="shared" si="13"/>
        <v>100</v>
      </c>
      <c r="V32" s="773" t="s">
        <v>17</v>
      </c>
      <c r="W32" s="774">
        <f t="shared" si="14"/>
        <v>100</v>
      </c>
      <c r="X32" s="1806"/>
      <c r="Y32" s="3258" t="s">
        <v>2550</v>
      </c>
      <c r="Z32" s="1807" t="str">
        <f t="shared" si="15"/>
        <v>车位类型</v>
      </c>
      <c r="AA32" s="1804">
        <f t="shared" si="3"/>
        <v>1</v>
      </c>
      <c r="AB32" s="1804">
        <f t="shared" si="4"/>
        <v>1</v>
      </c>
      <c r="AC32" s="1804">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58"/>
      <c r="Q33" s="1803" t="str">
        <f t="shared" si="11"/>
        <v>是否直接入户</v>
      </c>
      <c r="R33" s="773" t="s">
        <v>17</v>
      </c>
      <c r="S33" s="774">
        <f t="shared" si="12"/>
        <v>100</v>
      </c>
      <c r="T33" s="773" t="s">
        <v>17</v>
      </c>
      <c r="U33" s="774">
        <f t="shared" si="13"/>
        <v>100</v>
      </c>
      <c r="V33" s="773" t="s">
        <v>17</v>
      </c>
      <c r="W33" s="774">
        <f t="shared" si="14"/>
        <v>100</v>
      </c>
      <c r="X33" s="1806"/>
      <c r="Y33" s="3258"/>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4">
        <f t="shared" si="3"/>
        <v>1</v>
      </c>
      <c r="AB35" s="1804">
        <f t="shared" si="4"/>
        <v>1</v>
      </c>
      <c r="AC35" s="1804">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58"/>
      <c r="Q36" s="1803">
        <f t="shared" si="11"/>
        <v>111</v>
      </c>
      <c r="R36" s="773" t="s">
        <v>17</v>
      </c>
      <c r="S36" s="774">
        <f t="shared" si="12"/>
        <v>100</v>
      </c>
      <c r="T36" s="773" t="s">
        <v>17</v>
      </c>
      <c r="U36" s="774">
        <f t="shared" si="13"/>
        <v>100</v>
      </c>
      <c r="V36" s="773" t="s">
        <v>17</v>
      </c>
      <c r="W36" s="774">
        <f t="shared" si="14"/>
        <v>100</v>
      </c>
      <c r="X36" s="1806"/>
      <c r="Y36" s="3258"/>
      <c r="Z36" s="1807">
        <f t="shared" si="15"/>
        <v>111</v>
      </c>
      <c r="AA36" s="1804">
        <f t="shared" si="3"/>
        <v>1</v>
      </c>
      <c r="AB36" s="1804">
        <f t="shared" si="4"/>
        <v>1</v>
      </c>
      <c r="AC36" s="1804">
        <f t="shared" si="5"/>
        <v>1</v>
      </c>
    </row>
    <row r="37" spans="1:29" ht="14.4">
      <c r="A37" s="478" t="s">
        <v>2705</v>
      </c>
      <c r="B37" s="2683" t="s">
        <v>2706</v>
      </c>
      <c r="C37" s="1400" t="s">
        <v>1</v>
      </c>
      <c r="D37" s="1401"/>
      <c r="E37" s="1402"/>
      <c r="F37" s="1403"/>
      <c r="G37" s="1404"/>
      <c r="H37" s="1405"/>
      <c r="I37" s="1402"/>
      <c r="J37" s="1405"/>
      <c r="K37" s="618"/>
      <c r="L37" s="1136"/>
      <c r="M37" s="1137"/>
      <c r="N37" s="1124"/>
      <c r="O37" s="1137"/>
      <c r="P37" s="3260" t="str">
        <f>A37</f>
        <v>成交单价</v>
      </c>
      <c r="Q37" s="3260"/>
      <c r="R37" s="3261">
        <f>E37</f>
        <v>0</v>
      </c>
      <c r="S37" s="3261"/>
      <c r="T37" s="3261">
        <f>G37</f>
        <v>0</v>
      </c>
      <c r="U37" s="3261"/>
      <c r="V37" s="3261">
        <f>I37</f>
        <v>0</v>
      </c>
      <c r="W37" s="3261"/>
      <c r="X37" s="758"/>
      <c r="Y37" s="780"/>
      <c r="Z37" s="758"/>
      <c r="AA37" s="758"/>
      <c r="AB37" s="758"/>
      <c r="AC37" s="758"/>
    </row>
    <row r="38" spans="1:29" ht="15" thickBot="1">
      <c r="A38" s="485" t="s">
        <v>2707</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 thickBot="1">
      <c r="A39" s="491" t="s">
        <v>2708</v>
      </c>
      <c r="B39" s="492"/>
      <c r="C39" s="1410" t="e">
        <f>R39</f>
        <v>#DIV/0!</v>
      </c>
      <c r="D39" s="1410"/>
      <c r="E39" s="1410"/>
      <c r="F39" s="1410"/>
      <c r="G39" s="1410"/>
      <c r="H39" s="1410"/>
      <c r="I39" s="1410"/>
      <c r="J39" s="1410"/>
      <c r="K39" s="620"/>
      <c r="L39" s="1136"/>
      <c r="M39" s="1137"/>
      <c r="N39" s="1137"/>
      <c r="O39" s="1137"/>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2713</v>
      </c>
      <c r="B48" s="505"/>
      <c r="C48" s="1567" t="str">
        <f>YEAR(C7)&amp;"-"&amp;MONTH(C7)</f>
        <v>2019-8</v>
      </c>
      <c r="D48" s="1568">
        <f>EDATE(C48,-1)</f>
        <v>43647</v>
      </c>
      <c r="E48" s="1568">
        <f t="shared" ref="E48:O48" si="16">EDATE(D48,-1)</f>
        <v>43617</v>
      </c>
      <c r="F48" s="1568">
        <f t="shared" si="16"/>
        <v>43586</v>
      </c>
      <c r="G48" s="1568">
        <f t="shared" si="16"/>
        <v>43556</v>
      </c>
      <c r="H48" s="1568">
        <f t="shared" si="16"/>
        <v>43525</v>
      </c>
      <c r="I48" s="1568">
        <f t="shared" si="16"/>
        <v>43497</v>
      </c>
      <c r="J48" s="1568">
        <f t="shared" si="16"/>
        <v>43466</v>
      </c>
      <c r="K48" s="1568">
        <f t="shared" si="16"/>
        <v>43435</v>
      </c>
      <c r="L48" s="1568">
        <f t="shared" si="16"/>
        <v>43405</v>
      </c>
      <c r="M48" s="1568">
        <f t="shared" si="16"/>
        <v>43374</v>
      </c>
      <c r="N48" s="1568">
        <f t="shared" si="16"/>
        <v>43344</v>
      </c>
      <c r="O48" s="1568">
        <f t="shared" si="16"/>
        <v>43313</v>
      </c>
      <c r="P48" s="1431"/>
      <c r="Q48" s="1432"/>
      <c r="R48" s="1432"/>
      <c r="S48" s="1432"/>
      <c r="T48" s="1432"/>
      <c r="U48" s="1432"/>
      <c r="V48" s="1432"/>
      <c r="W48" s="1432"/>
      <c r="X48" s="1432"/>
      <c r="Y48" s="1432"/>
      <c r="Z48" s="1432"/>
      <c r="AA48" s="1432"/>
      <c r="AB48" s="1432"/>
      <c r="AC48" s="1432"/>
    </row>
    <row r="49" spans="1:29" s="116"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6" customFormat="1" ht="15" thickBot="1">
      <c r="A50" s="514" t="s">
        <v>2570</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6" customFormat="1" ht="14.4">
      <c r="A51" s="520" t="s">
        <v>2535</v>
      </c>
      <c r="B51" s="509"/>
      <c r="C51" s="521" t="s">
        <v>2637</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6"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2573</v>
      </c>
      <c r="B53" s="527" t="s">
        <v>2539</v>
      </c>
      <c r="C53" s="528">
        <f>C9</f>
        <v>0</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2542</v>
      </c>
      <c r="C55" s="538" t="s">
        <v>2574</v>
      </c>
      <c r="D55" s="538" t="s">
        <v>2575</v>
      </c>
      <c r="E55" s="538" t="s">
        <v>2576</v>
      </c>
      <c r="F55" s="538" t="s">
        <v>2577</v>
      </c>
      <c r="G55" s="538" t="s">
        <v>2578</v>
      </c>
      <c r="H55" s="538" t="s">
        <v>2579</v>
      </c>
      <c r="I55" s="538" t="s">
        <v>2580</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2588</v>
      </c>
      <c r="C65" s="577" t="s">
        <v>2582</v>
      </c>
      <c r="D65" s="577" t="s">
        <v>2583</v>
      </c>
      <c r="E65" s="577" t="s">
        <v>2584</v>
      </c>
      <c r="F65" s="577" t="s">
        <v>2585</v>
      </c>
      <c r="G65" s="577" t="s">
        <v>2586</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2674</v>
      </c>
      <c r="C67" s="659" t="s">
        <v>2660</v>
      </c>
      <c r="D67" s="659" t="s">
        <v>2661</v>
      </c>
      <c r="E67" s="659" t="s">
        <v>2662</v>
      </c>
      <c r="F67" s="659" t="s">
        <v>2663</v>
      </c>
      <c r="G67" s="659" t="s">
        <v>2664</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2594</v>
      </c>
      <c r="C69" s="577" t="s">
        <v>2582</v>
      </c>
      <c r="D69" s="577" t="s">
        <v>2583</v>
      </c>
      <c r="E69" s="577" t="s">
        <v>2584</v>
      </c>
      <c r="F69" s="577" t="s">
        <v>2585</v>
      </c>
      <c r="G69" s="577" t="s">
        <v>2586</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2714</v>
      </c>
      <c r="C71" s="553"/>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6"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6"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6"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6"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2548</v>
      </c>
      <c r="B79" s="527" t="s">
        <v>2715</v>
      </c>
      <c r="C79" s="528">
        <f>C26</f>
        <v>0</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2716</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2601</v>
      </c>
      <c r="C83" s="553"/>
      <c r="D83" s="553"/>
      <c r="E83" s="582"/>
      <c r="F83" s="582"/>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2718</v>
      </c>
      <c r="C88" s="529"/>
      <c r="D88" s="529"/>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c r="D91" s="594"/>
      <c r="E91" s="594"/>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c r="D92" s="535"/>
      <c r="E92" s="535"/>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2720</v>
      </c>
      <c r="C93" s="553"/>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2721</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IF(C2="——",ROUND(C37*D3/10000,0),ROUND(C37*D3/10000,0)-D2)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IF(C2="——",C37,ROUND(B2*10000/D3,0))</f>
        <v>#DIV/0!</v>
      </c>
      <c r="C3" s="399" t="s">
        <v>2629</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247" t="s">
        <v>2534</v>
      </c>
      <c r="Q7" s="3248"/>
      <c r="R7" s="769" t="s">
        <v>17</v>
      </c>
      <c r="S7" s="770">
        <f t="shared" ref="S7:S14" si="0">F7</f>
        <v>0</v>
      </c>
      <c r="T7" s="769" t="s">
        <v>17</v>
      </c>
      <c r="U7" s="770">
        <f t="shared" ref="U7:U14" si="1">H7</f>
        <v>0</v>
      </c>
      <c r="V7" s="769" t="s">
        <v>17</v>
      </c>
      <c r="W7" s="770">
        <f t="shared" ref="W7:W14"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34" si="3">D8/F8</f>
        <v>#DIV/0!</v>
      </c>
      <c r="AB8" s="772" t="e">
        <f t="shared" ref="AB8:AB34" si="4">D8/H8</f>
        <v>#DIV/0!</v>
      </c>
      <c r="AC8" s="772" t="e">
        <f t="shared" ref="AC8:AC34" si="5">D8/J8</f>
        <v>#DIV/0!</v>
      </c>
    </row>
    <row r="9" spans="1:29" s="116" customFormat="1" ht="14.4">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260" t="s">
        <v>2540</v>
      </c>
      <c r="Q9" s="1788" t="str">
        <f t="shared" ref="Q9:Q14" si="6">B9</f>
        <v>用途</v>
      </c>
      <c r="R9" s="769" t="s">
        <v>17</v>
      </c>
      <c r="S9" s="770">
        <f t="shared" si="0"/>
        <v>100</v>
      </c>
      <c r="T9" s="769" t="s">
        <v>17</v>
      </c>
      <c r="U9" s="770">
        <f t="shared" si="1"/>
        <v>100</v>
      </c>
      <c r="V9" s="769" t="s">
        <v>17</v>
      </c>
      <c r="W9" s="770">
        <f t="shared" si="2"/>
        <v>100</v>
      </c>
      <c r="X9" s="771"/>
      <c r="Y9" s="3046" t="s">
        <v>2541</v>
      </c>
      <c r="Z9" s="55" t="str">
        <f t="shared" ref="Z9:Z14" si="7">Q9</f>
        <v>用途</v>
      </c>
      <c r="AA9" s="772">
        <f t="shared" si="3"/>
        <v>1</v>
      </c>
      <c r="AB9" s="772">
        <f t="shared" si="4"/>
        <v>1</v>
      </c>
      <c r="AC9" s="772">
        <f t="shared" si="5"/>
        <v>1</v>
      </c>
    </row>
    <row r="10" spans="1:29" s="426" customFormat="1" ht="28.8">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260"/>
      <c r="Q11" s="1788">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6"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
      <c r="A14" s="439" t="s">
        <v>2544</v>
      </c>
      <c r="B14" s="69" t="s">
        <v>2694</v>
      </c>
      <c r="C14" s="2681"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53" t="s">
        <v>2545</v>
      </c>
      <c r="Q14" s="1803" t="str">
        <f t="shared" si="6"/>
        <v>交通便捷度</v>
      </c>
      <c r="R14" s="773" t="s">
        <v>17</v>
      </c>
      <c r="S14" s="774">
        <f t="shared" si="0"/>
        <v>100</v>
      </c>
      <c r="T14" s="773" t="s">
        <v>17</v>
      </c>
      <c r="U14" s="774">
        <f t="shared" si="1"/>
        <v>100</v>
      </c>
      <c r="V14" s="773" t="s">
        <v>17</v>
      </c>
      <c r="W14" s="774">
        <f t="shared" si="2"/>
        <v>100</v>
      </c>
      <c r="X14" s="1806"/>
      <c r="Y14" s="3253" t="s">
        <v>2545</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3"/>
      <c r="M15" s="1124"/>
      <c r="N15" s="1124"/>
      <c r="O15" s="1132"/>
      <c r="P15" s="3254"/>
      <c r="Q15" s="1803"/>
      <c r="R15" s="773"/>
      <c r="S15" s="774"/>
      <c r="T15" s="773"/>
      <c r="U15" s="774"/>
      <c r="V15" s="773"/>
      <c r="W15" s="774"/>
      <c r="X15" s="1806"/>
      <c r="Y15" s="3254"/>
      <c r="Z15" s="1807"/>
      <c r="AA15" s="1804">
        <v>1</v>
      </c>
      <c r="AB15" s="1804">
        <v>1</v>
      </c>
      <c r="AC15" s="1804">
        <v>1</v>
      </c>
    </row>
    <row r="16" spans="1:29" ht="15">
      <c r="A16" s="427"/>
      <c r="B16" s="450" t="s">
        <v>2673</v>
      </c>
      <c r="C16" s="2596"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27"/>
      <c r="B17" s="455"/>
      <c r="C17" s="2597"/>
      <c r="D17" s="447"/>
      <c r="E17" s="446"/>
      <c r="F17" s="448"/>
      <c r="G17" s="446"/>
      <c r="H17" s="447"/>
      <c r="I17" s="446"/>
      <c r="J17" s="447"/>
      <c r="K17" s="614"/>
      <c r="L17" s="1133"/>
      <c r="M17" s="1124"/>
      <c r="N17" s="1124"/>
      <c r="O17" s="1132"/>
      <c r="P17" s="3254"/>
      <c r="Q17" s="1803"/>
      <c r="R17" s="773"/>
      <c r="S17" s="774"/>
      <c r="T17" s="773"/>
      <c r="U17" s="774"/>
      <c r="V17" s="773"/>
      <c r="W17" s="774"/>
      <c r="X17" s="1806"/>
      <c r="Y17" s="3254"/>
      <c r="Z17" s="1807"/>
      <c r="AA17" s="1804">
        <v>1</v>
      </c>
      <c r="AB17" s="1804">
        <v>1</v>
      </c>
      <c r="AC17" s="1804">
        <v>1</v>
      </c>
    </row>
    <row r="18" spans="1:29" ht="15">
      <c r="A18" s="427"/>
      <c r="B18" s="1377" t="s">
        <v>2674</v>
      </c>
      <c r="C18" s="2596"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27"/>
      <c r="B19" s="1377"/>
      <c r="C19" s="2597"/>
      <c r="D19" s="449"/>
      <c r="E19" s="2597"/>
      <c r="F19" s="452"/>
      <c r="G19" s="2597"/>
      <c r="H19" s="447"/>
      <c r="I19" s="446"/>
      <c r="J19" s="447"/>
      <c r="K19" s="1376"/>
      <c r="L19" s="1133"/>
      <c r="M19" s="1124"/>
      <c r="N19" s="1124"/>
      <c r="O19" s="1132"/>
      <c r="P19" s="3254"/>
      <c r="Q19" s="1803"/>
      <c r="R19" s="773"/>
      <c r="S19" s="774"/>
      <c r="T19" s="773"/>
      <c r="U19" s="774"/>
      <c r="V19" s="773"/>
      <c r="W19" s="774"/>
      <c r="X19" s="1806"/>
      <c r="Y19" s="3254"/>
      <c r="Z19" s="1807"/>
      <c r="AA19" s="1804">
        <v>1</v>
      </c>
      <c r="AB19" s="1804">
        <v>1</v>
      </c>
      <c r="AC19" s="1804">
        <v>1</v>
      </c>
    </row>
    <row r="20" spans="1:29" ht="15">
      <c r="A20" s="427"/>
      <c r="B20" s="450" t="s">
        <v>2695</v>
      </c>
      <c r="C20" s="259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3"/>
      <c r="M21" s="1124"/>
      <c r="N21" s="1124"/>
      <c r="O21" s="1132"/>
      <c r="P21" s="3254"/>
      <c r="Q21" s="1803"/>
      <c r="R21" s="773"/>
      <c r="S21" s="774"/>
      <c r="T21" s="773"/>
      <c r="U21" s="774"/>
      <c r="V21" s="773"/>
      <c r="W21" s="774"/>
      <c r="X21" s="1806"/>
      <c r="Y21" s="3254"/>
      <c r="Z21" s="1807"/>
      <c r="AA21" s="1804">
        <v>1</v>
      </c>
      <c r="AB21" s="1804">
        <v>1</v>
      </c>
      <c r="AC21" s="1804">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54"/>
      <c r="Q24" s="1803">
        <f t="shared" ref="Q24:Q34"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6"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254"/>
      <c r="Q25" s="1788">
        <f t="shared" si="11"/>
        <v>111</v>
      </c>
      <c r="R25" s="769" t="s">
        <v>17</v>
      </c>
      <c r="S25" s="770">
        <f>F25</f>
        <v>100</v>
      </c>
      <c r="T25" s="769" t="s">
        <v>17</v>
      </c>
      <c r="U25" s="770">
        <f>H25</f>
        <v>100</v>
      </c>
      <c r="V25" s="769" t="s">
        <v>17</v>
      </c>
      <c r="W25" s="770">
        <f>J25</f>
        <v>100</v>
      </c>
      <c r="X25" s="771"/>
      <c r="Y25" s="3254"/>
      <c r="Z25" s="55">
        <f>Q25</f>
        <v>111</v>
      </c>
      <c r="AA25" s="1804">
        <f>D25/F25</f>
        <v>1</v>
      </c>
      <c r="AB25" s="1804">
        <f>D25/H25</f>
        <v>1</v>
      </c>
      <c r="AC25" s="1804">
        <f>D25/J25</f>
        <v>1</v>
      </c>
    </row>
    <row r="26" spans="1:29" ht="30">
      <c r="A26" s="465" t="s">
        <v>2548</v>
      </c>
      <c r="B26" s="71" t="s">
        <v>2699</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282" t="s">
        <v>2550</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58" t="s">
        <v>2550</v>
      </c>
      <c r="Z26" s="1807" t="str">
        <f t="shared" ref="Z26:Z34" si="15">Q26</f>
        <v>公共部分装修</v>
      </c>
      <c r="AA26" s="1804">
        <f t="shared" si="3"/>
        <v>1</v>
      </c>
      <c r="AB26" s="1804">
        <f t="shared" si="4"/>
        <v>1</v>
      </c>
      <c r="AC26" s="1804">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4" t="e">
        <f t="shared" si="3"/>
        <v>#N/A</v>
      </c>
      <c r="AB27" s="1804" t="e">
        <f t="shared" si="4"/>
        <v>#N/A</v>
      </c>
      <c r="AC27" s="1804"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58"/>
      <c r="Q28" s="1803" t="str">
        <f t="shared" si="11"/>
        <v>物业等级</v>
      </c>
      <c r="R28" s="773" t="s">
        <v>17</v>
      </c>
      <c r="S28" s="774">
        <f t="shared" si="12"/>
        <v>100</v>
      </c>
      <c r="T28" s="773" t="s">
        <v>17</v>
      </c>
      <c r="U28" s="774">
        <f t="shared" si="13"/>
        <v>100</v>
      </c>
      <c r="V28" s="773" t="s">
        <v>17</v>
      </c>
      <c r="W28" s="774">
        <f t="shared" si="14"/>
        <v>100</v>
      </c>
      <c r="X28" s="1806"/>
      <c r="Y28" s="3258"/>
      <c r="Z28" s="1807" t="str">
        <f t="shared" si="15"/>
        <v>物业等级</v>
      </c>
      <c r="AA28" s="1804">
        <f t="shared" si="3"/>
        <v>1</v>
      </c>
      <c r="AB28" s="1804">
        <f t="shared" si="4"/>
        <v>1</v>
      </c>
      <c r="AC28" s="1804">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58"/>
      <c r="Q29" s="1803" t="str">
        <f t="shared" si="11"/>
        <v>有无电梯</v>
      </c>
      <c r="R29" s="773" t="s">
        <v>17</v>
      </c>
      <c r="S29" s="774">
        <f t="shared" si="12"/>
        <v>100</v>
      </c>
      <c r="T29" s="773" t="s">
        <v>17</v>
      </c>
      <c r="U29" s="774">
        <f t="shared" si="13"/>
        <v>100</v>
      </c>
      <c r="V29" s="773" t="s">
        <v>17</v>
      </c>
      <c r="W29" s="774">
        <f t="shared" si="14"/>
        <v>100</v>
      </c>
      <c r="X29" s="1806"/>
      <c r="Y29" s="3258"/>
      <c r="Z29" s="1807" t="str">
        <f t="shared" si="15"/>
        <v>有无电梯</v>
      </c>
      <c r="AA29" s="1804">
        <f t="shared" si="3"/>
        <v>1</v>
      </c>
      <c r="AB29" s="1804">
        <f t="shared" si="4"/>
        <v>1</v>
      </c>
      <c r="AC29" s="1804">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58"/>
      <c r="Q30" s="1803" t="str">
        <f t="shared" si="11"/>
        <v>建筑面积</v>
      </c>
      <c r="R30" s="773" t="s">
        <v>17</v>
      </c>
      <c r="S30" s="774" t="e">
        <f t="shared" si="12"/>
        <v>#N/A</v>
      </c>
      <c r="T30" s="773" t="s">
        <v>17</v>
      </c>
      <c r="U30" s="774" t="e">
        <f t="shared" si="13"/>
        <v>#N/A</v>
      </c>
      <c r="V30" s="773" t="s">
        <v>17</v>
      </c>
      <c r="W30" s="774" t="e">
        <f t="shared" si="14"/>
        <v>#N/A</v>
      </c>
      <c r="X30" s="1806"/>
      <c r="Y30" s="3258"/>
      <c r="Z30" s="1807" t="str">
        <f t="shared" si="15"/>
        <v>建筑面积</v>
      </c>
      <c r="AA30" s="1804" t="e">
        <f t="shared" si="3"/>
        <v>#N/A</v>
      </c>
      <c r="AB30" s="1804" t="e">
        <f t="shared" si="4"/>
        <v>#N/A</v>
      </c>
      <c r="AC30" s="1804" t="e">
        <f t="shared" si="5"/>
        <v>#N/A</v>
      </c>
    </row>
    <row r="31" spans="1:29" s="116"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58"/>
      <c r="Q31" s="1788"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58" t="s">
        <v>2550</v>
      </c>
      <c r="Q32" s="1803">
        <f t="shared" si="11"/>
        <v>111</v>
      </c>
      <c r="R32" s="773" t="s">
        <v>17</v>
      </c>
      <c r="S32" s="774">
        <f t="shared" si="12"/>
        <v>100</v>
      </c>
      <c r="T32" s="773" t="s">
        <v>17</v>
      </c>
      <c r="U32" s="774">
        <f t="shared" si="13"/>
        <v>100</v>
      </c>
      <c r="V32" s="773" t="s">
        <v>17</v>
      </c>
      <c r="W32" s="774">
        <f t="shared" si="14"/>
        <v>100</v>
      </c>
      <c r="X32" s="1806"/>
      <c r="Y32" s="3258" t="s">
        <v>2550</v>
      </c>
      <c r="Z32" s="1807">
        <f t="shared" si="15"/>
        <v>111</v>
      </c>
      <c r="AA32" s="1804">
        <f t="shared" si="3"/>
        <v>1</v>
      </c>
      <c r="AB32" s="1804">
        <f t="shared" si="4"/>
        <v>1</v>
      </c>
      <c r="AC32" s="1804">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58"/>
      <c r="Q33" s="1803">
        <f t="shared" si="11"/>
        <v>111</v>
      </c>
      <c r="R33" s="773" t="s">
        <v>17</v>
      </c>
      <c r="S33" s="774">
        <f t="shared" si="12"/>
        <v>100</v>
      </c>
      <c r="T33" s="773" t="s">
        <v>17</v>
      </c>
      <c r="U33" s="774">
        <f t="shared" si="13"/>
        <v>100</v>
      </c>
      <c r="V33" s="773" t="s">
        <v>17</v>
      </c>
      <c r="W33" s="774">
        <f t="shared" si="14"/>
        <v>100</v>
      </c>
      <c r="X33" s="1806"/>
      <c r="Y33" s="3258"/>
      <c r="Z33" s="1807">
        <f t="shared" si="15"/>
        <v>111</v>
      </c>
      <c r="AA33" s="1804">
        <f t="shared" si="3"/>
        <v>1</v>
      </c>
      <c r="AB33" s="1804">
        <f t="shared" si="4"/>
        <v>1</v>
      </c>
      <c r="AC33" s="1804">
        <f t="shared" si="5"/>
        <v>1</v>
      </c>
    </row>
    <row r="34" spans="1:29" ht="15.6"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ht="14.4">
      <c r="A35" s="478" t="s">
        <v>2562</v>
      </c>
      <c r="B35" s="479"/>
      <c r="C35" s="1400" t="s">
        <v>1</v>
      </c>
      <c r="D35" s="1401"/>
      <c r="E35" s="1402"/>
      <c r="F35" s="1403"/>
      <c r="G35" s="1404"/>
      <c r="H35" s="1405"/>
      <c r="I35" s="1402"/>
      <c r="J35" s="1405"/>
      <c r="K35" s="782"/>
      <c r="L35" s="1136"/>
      <c r="M35" s="1137"/>
      <c r="N35" s="1124"/>
      <c r="O35" s="1137"/>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 thickBot="1">
      <c r="A36" s="485" t="s">
        <v>2654</v>
      </c>
      <c r="B36" s="486"/>
      <c r="C36" s="1406" t="e">
        <f>R37</f>
        <v>#DIV/0!</v>
      </c>
      <c r="D36" s="1407"/>
      <c r="E36" s="1408" t="e">
        <f>R36</f>
        <v>#DIV/0!</v>
      </c>
      <c r="F36" s="1408"/>
      <c r="G36" s="1406" t="e">
        <f>T36</f>
        <v>#DIV/0!</v>
      </c>
      <c r="H36" s="1407"/>
      <c r="I36" s="1408" t="e">
        <f>V36</f>
        <v>#DIV/0!</v>
      </c>
      <c r="J36" s="1407"/>
      <c r="K36" s="783"/>
      <c r="L36" s="1136"/>
      <c r="M36" s="1137"/>
      <c r="N36" s="1124"/>
      <c r="O36" s="1137"/>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 thickBot="1">
      <c r="A37" s="491" t="s">
        <v>2655</v>
      </c>
      <c r="B37" s="492"/>
      <c r="C37" s="1410" t="e">
        <f>R37</f>
        <v>#DIV/0!</v>
      </c>
      <c r="D37" s="1410"/>
      <c r="E37" s="1410"/>
      <c r="F37" s="1410"/>
      <c r="G37" s="1410"/>
      <c r="H37" s="1410"/>
      <c r="I37" s="1410"/>
      <c r="J37" s="1410"/>
      <c r="K37" s="784"/>
      <c r="L37" s="1136"/>
      <c r="M37" s="1137"/>
      <c r="N37" s="1137"/>
      <c r="O37" s="1137"/>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2659</v>
      </c>
      <c r="B45" s="758"/>
      <c r="C45" s="763"/>
      <c r="D45" s="763"/>
      <c r="E45" s="763"/>
      <c r="F45" s="764"/>
      <c r="G45" s="764"/>
      <c r="H45" s="763"/>
      <c r="I45" s="763"/>
      <c r="J45" s="763"/>
      <c r="K45" s="765"/>
      <c r="L45" s="766"/>
      <c r="M45" s="763"/>
      <c r="N45" s="763"/>
      <c r="O45" s="763"/>
      <c r="P45" s="502"/>
      <c r="Q45" s="503"/>
    </row>
    <row r="46" spans="1:29" s="507" customFormat="1" ht="14.4">
      <c r="A46" s="504" t="s">
        <v>2533</v>
      </c>
      <c r="B46" s="505"/>
      <c r="C46" s="1567" t="str">
        <f>YEAR(C7)&amp;"-"&amp;MONTH(C7)</f>
        <v>2019-8</v>
      </c>
      <c r="D46" s="1568">
        <f>EDATE(C46,-1)</f>
        <v>43647</v>
      </c>
      <c r="E46" s="1568">
        <f t="shared" ref="E46:O46" si="16">EDATE(D46,-1)</f>
        <v>43617</v>
      </c>
      <c r="F46" s="1568">
        <f t="shared" si="16"/>
        <v>43586</v>
      </c>
      <c r="G46" s="1568">
        <f t="shared" si="16"/>
        <v>43556</v>
      </c>
      <c r="H46" s="1568">
        <f t="shared" si="16"/>
        <v>43525</v>
      </c>
      <c r="I46" s="1568">
        <f t="shared" si="16"/>
        <v>43497</v>
      </c>
      <c r="J46" s="1568">
        <f t="shared" si="16"/>
        <v>43466</v>
      </c>
      <c r="K46" s="1568">
        <f t="shared" si="16"/>
        <v>43435</v>
      </c>
      <c r="L46" s="1568">
        <f t="shared" si="16"/>
        <v>43405</v>
      </c>
      <c r="M46" s="1568">
        <f t="shared" si="16"/>
        <v>43374</v>
      </c>
      <c r="N46" s="1568">
        <f t="shared" si="16"/>
        <v>43344</v>
      </c>
      <c r="O46" s="1568">
        <f t="shared" si="16"/>
        <v>43313</v>
      </c>
      <c r="P46" s="506"/>
    </row>
    <row r="47" spans="1:29" s="116" customFormat="1">
      <c r="A47" s="508"/>
      <c r="B47" s="509"/>
      <c r="C47" s="1566">
        <v>100</v>
      </c>
      <c r="D47" s="511"/>
      <c r="E47" s="511"/>
      <c r="F47" s="511"/>
      <c r="G47" s="511"/>
      <c r="H47" s="511"/>
      <c r="I47" s="511"/>
      <c r="J47" s="511"/>
      <c r="K47" s="511"/>
      <c r="L47" s="511"/>
      <c r="M47" s="512"/>
      <c r="N47" s="511"/>
      <c r="O47" s="513"/>
      <c r="P47" s="503"/>
    </row>
    <row r="48" spans="1:29" s="116" customFormat="1" ht="15" thickBot="1">
      <c r="A48" s="514" t="s">
        <v>2570</v>
      </c>
      <c r="B48" s="515"/>
      <c r="C48" s="516"/>
      <c r="D48" s="517"/>
      <c r="E48" s="517"/>
      <c r="F48" s="517"/>
      <c r="G48" s="517"/>
      <c r="H48" s="517"/>
      <c r="I48" s="517"/>
      <c r="J48" s="517"/>
      <c r="K48" s="517"/>
      <c r="L48" s="517"/>
      <c r="M48" s="518"/>
      <c r="N48" s="517"/>
      <c r="O48" s="519"/>
      <c r="P48" s="503"/>
      <c r="Q48" s="503"/>
    </row>
    <row r="49" spans="1:17" s="116" customFormat="1" ht="14.4">
      <c r="A49" s="520" t="s">
        <v>2535</v>
      </c>
      <c r="B49" s="509"/>
      <c r="C49" s="521" t="s">
        <v>2637</v>
      </c>
      <c r="D49" s="522"/>
      <c r="E49" s="522"/>
      <c r="F49" s="522"/>
      <c r="G49" s="522"/>
      <c r="H49" s="522"/>
      <c r="I49" s="522"/>
      <c r="J49" s="522"/>
      <c r="K49" s="522"/>
      <c r="L49" s="523"/>
      <c r="M49" s="524"/>
      <c r="N49" s="1144"/>
      <c r="O49" s="1144"/>
      <c r="P49" s="525"/>
      <c r="Q49" s="503"/>
    </row>
    <row r="50" spans="1:17" s="116"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2573</v>
      </c>
      <c r="B51" s="527" t="s">
        <v>2539</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2542</v>
      </c>
      <c r="C53" s="538" t="s">
        <v>2574</v>
      </c>
      <c r="D53" s="538" t="s">
        <v>2575</v>
      </c>
      <c r="E53" s="538" t="s">
        <v>2576</v>
      </c>
      <c r="F53" s="538" t="s">
        <v>2577</v>
      </c>
      <c r="G53" s="538" t="s">
        <v>2578</v>
      </c>
      <c r="H53" s="538" t="s">
        <v>2579</v>
      </c>
      <c r="I53" s="538" t="s">
        <v>2580</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2725</v>
      </c>
      <c r="C63" s="577" t="s">
        <v>2582</v>
      </c>
      <c r="D63" s="577" t="s">
        <v>2583</v>
      </c>
      <c r="E63" s="577" t="s">
        <v>2584</v>
      </c>
      <c r="F63" s="577" t="s">
        <v>2585</v>
      </c>
      <c r="G63" s="577" t="s">
        <v>2586</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2674</v>
      </c>
      <c r="C65" s="659" t="s">
        <v>2660</v>
      </c>
      <c r="D65" s="659" t="s">
        <v>2661</v>
      </c>
      <c r="E65" s="659" t="s">
        <v>2662</v>
      </c>
      <c r="F65" s="659" t="s">
        <v>2663</v>
      </c>
      <c r="G65" s="659" t="s">
        <v>2664</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2594</v>
      </c>
      <c r="C67" s="577" t="s">
        <v>2582</v>
      </c>
      <c r="D67" s="577" t="s">
        <v>2583</v>
      </c>
      <c r="E67" s="577" t="s">
        <v>2584</v>
      </c>
      <c r="F67" s="577" t="s">
        <v>2585</v>
      </c>
      <c r="G67" s="577" t="s">
        <v>2586</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2714</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4.4" thickTop="1">
      <c r="A71" s="578"/>
      <c r="B71" s="537">
        <f>B23</f>
        <v>111</v>
      </c>
      <c r="C71" s="548"/>
      <c r="D71" s="548"/>
      <c r="E71" s="548"/>
      <c r="F71" s="548"/>
      <c r="G71" s="553"/>
      <c r="H71" s="553"/>
      <c r="I71" s="553"/>
      <c r="J71" s="553"/>
      <c r="K71" s="553"/>
      <c r="L71" s="579"/>
      <c r="M71" s="580"/>
      <c r="N71" s="1144"/>
      <c r="O71" s="1144"/>
      <c r="P71" s="45"/>
      <c r="Q71" s="503"/>
    </row>
    <row r="72" spans="1:17" s="116" customFormat="1" ht="14.4" thickBot="1">
      <c r="A72" s="578"/>
      <c r="B72" s="542"/>
      <c r="C72" s="559"/>
      <c r="D72" s="535"/>
      <c r="E72" s="535"/>
      <c r="F72" s="535"/>
      <c r="G72" s="535"/>
      <c r="H72" s="535"/>
      <c r="I72" s="535"/>
      <c r="J72" s="535"/>
      <c r="K72" s="535"/>
      <c r="L72" s="535"/>
      <c r="M72" s="536"/>
      <c r="N72" s="1146"/>
      <c r="O72" s="1146"/>
      <c r="P72" s="45"/>
      <c r="Q72" s="503"/>
    </row>
    <row r="73" spans="1:17" s="116" customFormat="1" ht="14.4" thickTop="1">
      <c r="A73" s="578"/>
      <c r="B73" s="537">
        <f>B24</f>
        <v>111</v>
      </c>
      <c r="C73" s="548"/>
      <c r="D73" s="548"/>
      <c r="E73" s="548"/>
      <c r="F73" s="548"/>
      <c r="G73" s="553"/>
      <c r="H73" s="553"/>
      <c r="I73" s="553"/>
      <c r="J73" s="553"/>
      <c r="K73" s="553"/>
      <c r="L73" s="553"/>
      <c r="M73" s="580"/>
      <c r="N73" s="1144"/>
      <c r="O73" s="1144"/>
      <c r="P73" s="45"/>
      <c r="Q73" s="503"/>
    </row>
    <row r="74" spans="1:17" s="116"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2548</v>
      </c>
      <c r="B77" s="527" t="s">
        <v>2601</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2718</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2726</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2728</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I5" sqref="I5:J5"/>
    </sheetView>
  </sheetViews>
  <sheetFormatPr defaultRowHeight="14.4"/>
  <cols>
    <col min="1" max="1" width="26.44140625" style="1628" customWidth="1"/>
    <col min="2" max="2" width="7.109375" style="1628" customWidth="1"/>
    <col min="3" max="3" width="15.88671875" style="1628" hidden="1" customWidth="1"/>
    <col min="4" max="4" width="7.109375" style="1628" customWidth="1"/>
    <col min="5" max="5" width="5.21875" style="1628" hidden="1" customWidth="1"/>
    <col min="6" max="6" width="112.88671875" style="1628" hidden="1" customWidth="1"/>
    <col min="7" max="7" width="9" style="1628" hidden="1" customWidth="1"/>
    <col min="8" max="8" width="15.33203125" style="1628" hidden="1" customWidth="1"/>
    <col min="9" max="9" width="33.6640625" style="1628" customWidth="1"/>
    <col min="10" max="10" width="9.77734375" style="1628" customWidth="1"/>
    <col min="11" max="11" width="11.44140625" style="1628" customWidth="1"/>
    <col min="12" max="12" width="14.77734375" style="1628" customWidth="1"/>
    <col min="13" max="14" width="9" style="1628" hidden="1" customWidth="1"/>
    <col min="15" max="15" width="9.109375" style="1628" hidden="1" customWidth="1"/>
    <col min="16" max="16" width="11" style="1628" hidden="1" customWidth="1"/>
    <col min="17" max="18" width="17.77734375" style="1628" hidden="1" customWidth="1"/>
    <col min="19" max="19" width="14.77734375" style="1628" hidden="1" customWidth="1"/>
    <col min="20" max="21" width="12.88671875" style="1628" hidden="1" customWidth="1"/>
    <col min="22" max="22" width="20.33203125" style="1628" hidden="1" customWidth="1"/>
    <col min="23" max="23" width="9" style="1628" hidden="1" customWidth="1"/>
    <col min="24" max="26" width="10.21875" style="1628" hidden="1" customWidth="1"/>
    <col min="27" max="27" width="10.21875" style="1628" customWidth="1"/>
    <col min="28" max="28" width="73.77734375" style="1628" hidden="1" customWidth="1"/>
    <col min="29" max="29" width="9" style="1628" hidden="1" customWidth="1"/>
    <col min="30" max="30" width="18.21875" style="1628" customWidth="1"/>
    <col min="31" max="33" width="12.109375" style="1628" hidden="1" customWidth="1"/>
    <col min="34" max="34" width="18.21875" style="1628" hidden="1" customWidth="1"/>
    <col min="35" max="35" width="18.21875" style="1628" customWidth="1"/>
    <col min="36" max="36" width="16.33203125" style="1628" hidden="1" customWidth="1"/>
    <col min="37" max="37" width="16.33203125" style="1628" customWidth="1"/>
    <col min="38" max="39" width="25" style="1628" hidden="1" customWidth="1"/>
    <col min="40" max="40" width="7.109375" style="1628" customWidth="1"/>
    <col min="41" max="41" width="28" style="1628" customWidth="1"/>
    <col min="42" max="42" width="19.21875" style="1628" hidden="1" customWidth="1"/>
    <col min="43" max="44" width="23" style="1628" hidden="1" customWidth="1"/>
    <col min="45" max="45" width="9" style="1628" customWidth="1"/>
    <col min="46" max="256" width="8.88671875" style="1628"/>
    <col min="257" max="257" width="112.88671875" style="1628" customWidth="1"/>
    <col min="258" max="258" width="7.109375" style="1628" customWidth="1"/>
    <col min="259" max="259" width="15.88671875" style="1628" customWidth="1"/>
    <col min="260" max="260" width="7.109375" style="1628" customWidth="1"/>
    <col min="261" max="261" width="5.21875" style="1628" customWidth="1"/>
    <col min="262" max="262" width="112.88671875" style="1628" customWidth="1"/>
    <col min="263" max="263" width="9" style="1628" customWidth="1"/>
    <col min="264" max="264" width="15.33203125" style="1628" customWidth="1"/>
    <col min="265" max="265" width="33.6640625" style="1628" customWidth="1"/>
    <col min="266" max="267" width="15.88671875" style="1628" customWidth="1"/>
    <col min="268" max="268" width="27.44140625" style="1628" customWidth="1"/>
    <col min="269" max="270" width="9" style="1628" customWidth="1"/>
    <col min="271" max="271" width="9.109375"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73.7773437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28" style="1628" customWidth="1"/>
    <col min="298" max="298" width="19.21875" style="1628" customWidth="1"/>
    <col min="299" max="300" width="23" style="1628" customWidth="1"/>
    <col min="301" max="301" width="9" style="1628" customWidth="1"/>
    <col min="302" max="512" width="8.88671875" style="1628"/>
    <col min="513" max="513" width="112.88671875" style="1628" customWidth="1"/>
    <col min="514" max="514" width="7.109375" style="1628" customWidth="1"/>
    <col min="515" max="515" width="15.88671875" style="1628" customWidth="1"/>
    <col min="516" max="516" width="7.109375" style="1628" customWidth="1"/>
    <col min="517" max="517" width="5.21875" style="1628" customWidth="1"/>
    <col min="518" max="518" width="112.88671875" style="1628" customWidth="1"/>
    <col min="519" max="519" width="9" style="1628" customWidth="1"/>
    <col min="520" max="520" width="15.33203125" style="1628" customWidth="1"/>
    <col min="521" max="521" width="33.6640625" style="1628" customWidth="1"/>
    <col min="522" max="523" width="15.88671875" style="1628" customWidth="1"/>
    <col min="524" max="524" width="27.44140625" style="1628" customWidth="1"/>
    <col min="525" max="526" width="9" style="1628" customWidth="1"/>
    <col min="527" max="527" width="9.109375"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73.7773437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28" style="1628" customWidth="1"/>
    <col min="554" max="554" width="19.21875" style="1628" customWidth="1"/>
    <col min="555" max="556" width="23" style="1628" customWidth="1"/>
    <col min="557" max="557" width="9" style="1628" customWidth="1"/>
    <col min="558" max="768" width="8.88671875" style="1628"/>
    <col min="769" max="769" width="112.88671875" style="1628" customWidth="1"/>
    <col min="770" max="770" width="7.109375" style="1628" customWidth="1"/>
    <col min="771" max="771" width="15.88671875" style="1628" customWidth="1"/>
    <col min="772" max="772" width="7.109375" style="1628" customWidth="1"/>
    <col min="773" max="773" width="5.21875" style="1628" customWidth="1"/>
    <col min="774" max="774" width="112.88671875" style="1628" customWidth="1"/>
    <col min="775" max="775" width="9" style="1628" customWidth="1"/>
    <col min="776" max="776" width="15.33203125" style="1628" customWidth="1"/>
    <col min="777" max="777" width="33.6640625" style="1628" customWidth="1"/>
    <col min="778" max="779" width="15.88671875" style="1628" customWidth="1"/>
    <col min="780" max="780" width="27.44140625" style="1628" customWidth="1"/>
    <col min="781" max="782" width="9" style="1628" customWidth="1"/>
    <col min="783" max="783" width="9.109375"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73.7773437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28" style="1628" customWidth="1"/>
    <col min="810" max="810" width="19.21875" style="1628" customWidth="1"/>
    <col min="811" max="812" width="23" style="1628" customWidth="1"/>
    <col min="813" max="813" width="9" style="1628" customWidth="1"/>
    <col min="814" max="1024" width="8.88671875" style="1628"/>
    <col min="1025" max="1025" width="112.88671875" style="1628" customWidth="1"/>
    <col min="1026" max="1026" width="7.109375" style="1628" customWidth="1"/>
    <col min="1027" max="1027" width="15.88671875" style="1628" customWidth="1"/>
    <col min="1028" max="1028" width="7.109375" style="1628" customWidth="1"/>
    <col min="1029" max="1029" width="5.21875" style="1628" customWidth="1"/>
    <col min="1030" max="1030" width="112.88671875" style="1628" customWidth="1"/>
    <col min="1031" max="1031" width="9" style="1628" customWidth="1"/>
    <col min="1032" max="1032" width="15.33203125" style="1628" customWidth="1"/>
    <col min="1033" max="1033" width="33.6640625" style="1628" customWidth="1"/>
    <col min="1034" max="1035" width="15.88671875" style="1628" customWidth="1"/>
    <col min="1036" max="1036" width="27.44140625" style="1628" customWidth="1"/>
    <col min="1037" max="1038" width="9" style="1628" customWidth="1"/>
    <col min="1039" max="1039" width="9.109375"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73.7773437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28" style="1628" customWidth="1"/>
    <col min="1066" max="1066" width="19.21875" style="1628" customWidth="1"/>
    <col min="1067" max="1068" width="23" style="1628" customWidth="1"/>
    <col min="1069" max="1069" width="9" style="1628" customWidth="1"/>
    <col min="1070" max="1280" width="8.88671875" style="1628"/>
    <col min="1281" max="1281" width="112.88671875" style="1628" customWidth="1"/>
    <col min="1282" max="1282" width="7.109375" style="1628" customWidth="1"/>
    <col min="1283" max="1283" width="15.88671875" style="1628" customWidth="1"/>
    <col min="1284" max="1284" width="7.109375" style="1628" customWidth="1"/>
    <col min="1285" max="1285" width="5.21875" style="1628" customWidth="1"/>
    <col min="1286" max="1286" width="112.88671875" style="1628" customWidth="1"/>
    <col min="1287" max="1287" width="9" style="1628" customWidth="1"/>
    <col min="1288" max="1288" width="15.33203125" style="1628" customWidth="1"/>
    <col min="1289" max="1289" width="33.6640625" style="1628" customWidth="1"/>
    <col min="1290" max="1291" width="15.88671875" style="1628" customWidth="1"/>
    <col min="1292" max="1292" width="27.44140625" style="1628" customWidth="1"/>
    <col min="1293" max="1294" width="9" style="1628" customWidth="1"/>
    <col min="1295" max="1295" width="9.109375"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73.7773437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28" style="1628" customWidth="1"/>
    <col min="1322" max="1322" width="19.21875" style="1628" customWidth="1"/>
    <col min="1323" max="1324" width="23" style="1628" customWidth="1"/>
    <col min="1325" max="1325" width="9" style="1628" customWidth="1"/>
    <col min="1326" max="1536" width="8.88671875" style="1628"/>
    <col min="1537" max="1537" width="112.88671875" style="1628" customWidth="1"/>
    <col min="1538" max="1538" width="7.109375" style="1628" customWidth="1"/>
    <col min="1539" max="1539" width="15.88671875" style="1628" customWidth="1"/>
    <col min="1540" max="1540" width="7.109375" style="1628" customWidth="1"/>
    <col min="1541" max="1541" width="5.21875" style="1628" customWidth="1"/>
    <col min="1542" max="1542" width="112.88671875" style="1628" customWidth="1"/>
    <col min="1543" max="1543" width="9" style="1628" customWidth="1"/>
    <col min="1544" max="1544" width="15.33203125" style="1628" customWidth="1"/>
    <col min="1545" max="1545" width="33.6640625" style="1628" customWidth="1"/>
    <col min="1546" max="1547" width="15.88671875" style="1628" customWidth="1"/>
    <col min="1548" max="1548" width="27.44140625" style="1628" customWidth="1"/>
    <col min="1549" max="1550" width="9" style="1628" customWidth="1"/>
    <col min="1551" max="1551" width="9.109375"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73.7773437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28" style="1628" customWidth="1"/>
    <col min="1578" max="1578" width="19.21875" style="1628" customWidth="1"/>
    <col min="1579" max="1580" width="23" style="1628" customWidth="1"/>
    <col min="1581" max="1581" width="9" style="1628" customWidth="1"/>
    <col min="1582" max="1792" width="8.88671875" style="1628"/>
    <col min="1793" max="1793" width="112.88671875" style="1628" customWidth="1"/>
    <col min="1794" max="1794" width="7.109375" style="1628" customWidth="1"/>
    <col min="1795" max="1795" width="15.88671875" style="1628" customWidth="1"/>
    <col min="1796" max="1796" width="7.109375" style="1628" customWidth="1"/>
    <col min="1797" max="1797" width="5.21875" style="1628" customWidth="1"/>
    <col min="1798" max="1798" width="112.88671875" style="1628" customWidth="1"/>
    <col min="1799" max="1799" width="9" style="1628" customWidth="1"/>
    <col min="1800" max="1800" width="15.33203125" style="1628" customWidth="1"/>
    <col min="1801" max="1801" width="33.6640625" style="1628" customWidth="1"/>
    <col min="1802" max="1803" width="15.88671875" style="1628" customWidth="1"/>
    <col min="1804" max="1804" width="27.44140625" style="1628" customWidth="1"/>
    <col min="1805" max="1806" width="9" style="1628" customWidth="1"/>
    <col min="1807" max="1807" width="9.109375"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73.7773437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28" style="1628" customWidth="1"/>
    <col min="1834" max="1834" width="19.21875" style="1628" customWidth="1"/>
    <col min="1835" max="1836" width="23" style="1628" customWidth="1"/>
    <col min="1837" max="1837" width="9" style="1628" customWidth="1"/>
    <col min="1838" max="2048" width="8.88671875" style="1628"/>
    <col min="2049" max="2049" width="112.88671875" style="1628" customWidth="1"/>
    <col min="2050" max="2050" width="7.109375" style="1628" customWidth="1"/>
    <col min="2051" max="2051" width="15.88671875" style="1628" customWidth="1"/>
    <col min="2052" max="2052" width="7.109375" style="1628" customWidth="1"/>
    <col min="2053" max="2053" width="5.21875" style="1628" customWidth="1"/>
    <col min="2054" max="2054" width="112.88671875" style="1628" customWidth="1"/>
    <col min="2055" max="2055" width="9" style="1628" customWidth="1"/>
    <col min="2056" max="2056" width="15.33203125" style="1628" customWidth="1"/>
    <col min="2057" max="2057" width="33.6640625" style="1628" customWidth="1"/>
    <col min="2058" max="2059" width="15.88671875" style="1628" customWidth="1"/>
    <col min="2060" max="2060" width="27.44140625" style="1628" customWidth="1"/>
    <col min="2061" max="2062" width="9" style="1628" customWidth="1"/>
    <col min="2063" max="2063" width="9.109375"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73.7773437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28" style="1628" customWidth="1"/>
    <col min="2090" max="2090" width="19.21875" style="1628" customWidth="1"/>
    <col min="2091" max="2092" width="23" style="1628" customWidth="1"/>
    <col min="2093" max="2093" width="9" style="1628" customWidth="1"/>
    <col min="2094" max="2304" width="8.88671875" style="1628"/>
    <col min="2305" max="2305" width="112.88671875" style="1628" customWidth="1"/>
    <col min="2306" max="2306" width="7.109375" style="1628" customWidth="1"/>
    <col min="2307" max="2307" width="15.88671875" style="1628" customWidth="1"/>
    <col min="2308" max="2308" width="7.109375" style="1628" customWidth="1"/>
    <col min="2309" max="2309" width="5.21875" style="1628" customWidth="1"/>
    <col min="2310" max="2310" width="112.88671875" style="1628" customWidth="1"/>
    <col min="2311" max="2311" width="9" style="1628" customWidth="1"/>
    <col min="2312" max="2312" width="15.33203125" style="1628" customWidth="1"/>
    <col min="2313" max="2313" width="33.6640625" style="1628" customWidth="1"/>
    <col min="2314" max="2315" width="15.88671875" style="1628" customWidth="1"/>
    <col min="2316" max="2316" width="27.44140625" style="1628" customWidth="1"/>
    <col min="2317" max="2318" width="9" style="1628" customWidth="1"/>
    <col min="2319" max="2319" width="9.109375"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73.7773437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28" style="1628" customWidth="1"/>
    <col min="2346" max="2346" width="19.21875" style="1628" customWidth="1"/>
    <col min="2347" max="2348" width="23" style="1628" customWidth="1"/>
    <col min="2349" max="2349" width="9" style="1628" customWidth="1"/>
    <col min="2350" max="2560" width="8.88671875" style="1628"/>
    <col min="2561" max="2561" width="112.88671875" style="1628" customWidth="1"/>
    <col min="2562" max="2562" width="7.109375" style="1628" customWidth="1"/>
    <col min="2563" max="2563" width="15.88671875" style="1628" customWidth="1"/>
    <col min="2564" max="2564" width="7.109375" style="1628" customWidth="1"/>
    <col min="2565" max="2565" width="5.21875" style="1628" customWidth="1"/>
    <col min="2566" max="2566" width="112.88671875" style="1628" customWidth="1"/>
    <col min="2567" max="2567" width="9" style="1628" customWidth="1"/>
    <col min="2568" max="2568" width="15.33203125" style="1628" customWidth="1"/>
    <col min="2569" max="2569" width="33.6640625" style="1628" customWidth="1"/>
    <col min="2570" max="2571" width="15.88671875" style="1628" customWidth="1"/>
    <col min="2572" max="2572" width="27.44140625" style="1628" customWidth="1"/>
    <col min="2573" max="2574" width="9" style="1628" customWidth="1"/>
    <col min="2575" max="2575" width="9.109375"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73.7773437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28" style="1628" customWidth="1"/>
    <col min="2602" max="2602" width="19.21875" style="1628" customWidth="1"/>
    <col min="2603" max="2604" width="23" style="1628" customWidth="1"/>
    <col min="2605" max="2605" width="9" style="1628" customWidth="1"/>
    <col min="2606" max="2816" width="8.88671875" style="1628"/>
    <col min="2817" max="2817" width="112.88671875" style="1628" customWidth="1"/>
    <col min="2818" max="2818" width="7.109375" style="1628" customWidth="1"/>
    <col min="2819" max="2819" width="15.88671875" style="1628" customWidth="1"/>
    <col min="2820" max="2820" width="7.109375" style="1628" customWidth="1"/>
    <col min="2821" max="2821" width="5.21875" style="1628" customWidth="1"/>
    <col min="2822" max="2822" width="112.88671875" style="1628" customWidth="1"/>
    <col min="2823" max="2823" width="9" style="1628" customWidth="1"/>
    <col min="2824" max="2824" width="15.33203125" style="1628" customWidth="1"/>
    <col min="2825" max="2825" width="33.6640625" style="1628" customWidth="1"/>
    <col min="2826" max="2827" width="15.88671875" style="1628" customWidth="1"/>
    <col min="2828" max="2828" width="27.44140625" style="1628" customWidth="1"/>
    <col min="2829" max="2830" width="9" style="1628" customWidth="1"/>
    <col min="2831" max="2831" width="9.109375"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73.7773437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28" style="1628" customWidth="1"/>
    <col min="2858" max="2858" width="19.21875" style="1628" customWidth="1"/>
    <col min="2859" max="2860" width="23" style="1628" customWidth="1"/>
    <col min="2861" max="2861" width="9" style="1628" customWidth="1"/>
    <col min="2862" max="3072" width="8.88671875" style="1628"/>
    <col min="3073" max="3073" width="112.88671875" style="1628" customWidth="1"/>
    <col min="3074" max="3074" width="7.109375" style="1628" customWidth="1"/>
    <col min="3075" max="3075" width="15.88671875" style="1628" customWidth="1"/>
    <col min="3076" max="3076" width="7.109375" style="1628" customWidth="1"/>
    <col min="3077" max="3077" width="5.21875" style="1628" customWidth="1"/>
    <col min="3078" max="3078" width="112.88671875" style="1628" customWidth="1"/>
    <col min="3079" max="3079" width="9" style="1628" customWidth="1"/>
    <col min="3080" max="3080" width="15.33203125" style="1628" customWidth="1"/>
    <col min="3081" max="3081" width="33.6640625" style="1628" customWidth="1"/>
    <col min="3082" max="3083" width="15.88671875" style="1628" customWidth="1"/>
    <col min="3084" max="3084" width="27.44140625" style="1628" customWidth="1"/>
    <col min="3085" max="3086" width="9" style="1628" customWidth="1"/>
    <col min="3087" max="3087" width="9.109375"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73.7773437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28" style="1628" customWidth="1"/>
    <col min="3114" max="3114" width="19.21875" style="1628" customWidth="1"/>
    <col min="3115" max="3116" width="23" style="1628" customWidth="1"/>
    <col min="3117" max="3117" width="9" style="1628" customWidth="1"/>
    <col min="3118" max="3328" width="8.88671875" style="1628"/>
    <col min="3329" max="3329" width="112.88671875" style="1628" customWidth="1"/>
    <col min="3330" max="3330" width="7.109375" style="1628" customWidth="1"/>
    <col min="3331" max="3331" width="15.88671875" style="1628" customWidth="1"/>
    <col min="3332" max="3332" width="7.109375" style="1628" customWidth="1"/>
    <col min="3333" max="3333" width="5.21875" style="1628" customWidth="1"/>
    <col min="3334" max="3334" width="112.88671875" style="1628" customWidth="1"/>
    <col min="3335" max="3335" width="9" style="1628" customWidth="1"/>
    <col min="3336" max="3336" width="15.33203125" style="1628" customWidth="1"/>
    <col min="3337" max="3337" width="33.6640625" style="1628" customWidth="1"/>
    <col min="3338" max="3339" width="15.88671875" style="1628" customWidth="1"/>
    <col min="3340" max="3340" width="27.44140625" style="1628" customWidth="1"/>
    <col min="3341" max="3342" width="9" style="1628" customWidth="1"/>
    <col min="3343" max="3343" width="9.109375"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73.7773437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28" style="1628" customWidth="1"/>
    <col min="3370" max="3370" width="19.21875" style="1628" customWidth="1"/>
    <col min="3371" max="3372" width="23" style="1628" customWidth="1"/>
    <col min="3373" max="3373" width="9" style="1628" customWidth="1"/>
    <col min="3374" max="3584" width="8.88671875" style="1628"/>
    <col min="3585" max="3585" width="112.88671875" style="1628" customWidth="1"/>
    <col min="3586" max="3586" width="7.109375" style="1628" customWidth="1"/>
    <col min="3587" max="3587" width="15.88671875" style="1628" customWidth="1"/>
    <col min="3588" max="3588" width="7.109375" style="1628" customWidth="1"/>
    <col min="3589" max="3589" width="5.21875" style="1628" customWidth="1"/>
    <col min="3590" max="3590" width="112.88671875" style="1628" customWidth="1"/>
    <col min="3591" max="3591" width="9" style="1628" customWidth="1"/>
    <col min="3592" max="3592" width="15.33203125" style="1628" customWidth="1"/>
    <col min="3593" max="3593" width="33.6640625" style="1628" customWidth="1"/>
    <col min="3594" max="3595" width="15.88671875" style="1628" customWidth="1"/>
    <col min="3596" max="3596" width="27.44140625" style="1628" customWidth="1"/>
    <col min="3597" max="3598" width="9" style="1628" customWidth="1"/>
    <col min="3599" max="3599" width="9.109375"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73.7773437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28" style="1628" customWidth="1"/>
    <col min="3626" max="3626" width="19.21875" style="1628" customWidth="1"/>
    <col min="3627" max="3628" width="23" style="1628" customWidth="1"/>
    <col min="3629" max="3629" width="9" style="1628" customWidth="1"/>
    <col min="3630" max="3840" width="8.88671875" style="1628"/>
    <col min="3841" max="3841" width="112.88671875" style="1628" customWidth="1"/>
    <col min="3842" max="3842" width="7.109375" style="1628" customWidth="1"/>
    <col min="3843" max="3843" width="15.88671875" style="1628" customWidth="1"/>
    <col min="3844" max="3844" width="7.109375" style="1628" customWidth="1"/>
    <col min="3845" max="3845" width="5.21875" style="1628" customWidth="1"/>
    <col min="3846" max="3846" width="112.88671875" style="1628" customWidth="1"/>
    <col min="3847" max="3847" width="9" style="1628" customWidth="1"/>
    <col min="3848" max="3848" width="15.33203125" style="1628" customWidth="1"/>
    <col min="3849" max="3849" width="33.6640625" style="1628" customWidth="1"/>
    <col min="3850" max="3851" width="15.88671875" style="1628" customWidth="1"/>
    <col min="3852" max="3852" width="27.44140625" style="1628" customWidth="1"/>
    <col min="3853" max="3854" width="9" style="1628" customWidth="1"/>
    <col min="3855" max="3855" width="9.109375"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73.7773437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28" style="1628" customWidth="1"/>
    <col min="3882" max="3882" width="19.21875" style="1628" customWidth="1"/>
    <col min="3883" max="3884" width="23" style="1628" customWidth="1"/>
    <col min="3885" max="3885" width="9" style="1628" customWidth="1"/>
    <col min="3886" max="4096" width="8.88671875" style="1628"/>
    <col min="4097" max="4097" width="112.88671875" style="1628" customWidth="1"/>
    <col min="4098" max="4098" width="7.109375" style="1628" customWidth="1"/>
    <col min="4099" max="4099" width="15.88671875" style="1628" customWidth="1"/>
    <col min="4100" max="4100" width="7.109375" style="1628" customWidth="1"/>
    <col min="4101" max="4101" width="5.21875" style="1628" customWidth="1"/>
    <col min="4102" max="4102" width="112.88671875" style="1628" customWidth="1"/>
    <col min="4103" max="4103" width="9" style="1628" customWidth="1"/>
    <col min="4104" max="4104" width="15.33203125" style="1628" customWidth="1"/>
    <col min="4105" max="4105" width="33.6640625" style="1628" customWidth="1"/>
    <col min="4106" max="4107" width="15.88671875" style="1628" customWidth="1"/>
    <col min="4108" max="4108" width="27.44140625" style="1628" customWidth="1"/>
    <col min="4109" max="4110" width="9" style="1628" customWidth="1"/>
    <col min="4111" max="4111" width="9.109375"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73.7773437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28" style="1628" customWidth="1"/>
    <col min="4138" max="4138" width="19.21875" style="1628" customWidth="1"/>
    <col min="4139" max="4140" width="23" style="1628" customWidth="1"/>
    <col min="4141" max="4141" width="9" style="1628" customWidth="1"/>
    <col min="4142" max="4352" width="8.88671875" style="1628"/>
    <col min="4353" max="4353" width="112.88671875" style="1628" customWidth="1"/>
    <col min="4354" max="4354" width="7.109375" style="1628" customWidth="1"/>
    <col min="4355" max="4355" width="15.88671875" style="1628" customWidth="1"/>
    <col min="4356" max="4356" width="7.109375" style="1628" customWidth="1"/>
    <col min="4357" max="4357" width="5.21875" style="1628" customWidth="1"/>
    <col min="4358" max="4358" width="112.88671875" style="1628" customWidth="1"/>
    <col min="4359" max="4359" width="9" style="1628" customWidth="1"/>
    <col min="4360" max="4360" width="15.33203125" style="1628" customWidth="1"/>
    <col min="4361" max="4361" width="33.6640625" style="1628" customWidth="1"/>
    <col min="4362" max="4363" width="15.88671875" style="1628" customWidth="1"/>
    <col min="4364" max="4364" width="27.44140625" style="1628" customWidth="1"/>
    <col min="4365" max="4366" width="9" style="1628" customWidth="1"/>
    <col min="4367" max="4367" width="9.109375"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73.7773437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28" style="1628" customWidth="1"/>
    <col min="4394" max="4394" width="19.21875" style="1628" customWidth="1"/>
    <col min="4395" max="4396" width="23" style="1628" customWidth="1"/>
    <col min="4397" max="4397" width="9" style="1628" customWidth="1"/>
    <col min="4398" max="4608" width="8.88671875" style="1628"/>
    <col min="4609" max="4609" width="112.88671875" style="1628" customWidth="1"/>
    <col min="4610" max="4610" width="7.109375" style="1628" customWidth="1"/>
    <col min="4611" max="4611" width="15.88671875" style="1628" customWidth="1"/>
    <col min="4612" max="4612" width="7.109375" style="1628" customWidth="1"/>
    <col min="4613" max="4613" width="5.21875" style="1628" customWidth="1"/>
    <col min="4614" max="4614" width="112.88671875" style="1628" customWidth="1"/>
    <col min="4615" max="4615" width="9" style="1628" customWidth="1"/>
    <col min="4616" max="4616" width="15.33203125" style="1628" customWidth="1"/>
    <col min="4617" max="4617" width="33.6640625" style="1628" customWidth="1"/>
    <col min="4618" max="4619" width="15.88671875" style="1628" customWidth="1"/>
    <col min="4620" max="4620" width="27.44140625" style="1628" customWidth="1"/>
    <col min="4621" max="4622" width="9" style="1628" customWidth="1"/>
    <col min="4623" max="4623" width="9.109375"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73.7773437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28" style="1628" customWidth="1"/>
    <col min="4650" max="4650" width="19.21875" style="1628" customWidth="1"/>
    <col min="4651" max="4652" width="23" style="1628" customWidth="1"/>
    <col min="4653" max="4653" width="9" style="1628" customWidth="1"/>
    <col min="4654" max="4864" width="8.88671875" style="1628"/>
    <col min="4865" max="4865" width="112.88671875" style="1628" customWidth="1"/>
    <col min="4866" max="4866" width="7.109375" style="1628" customWidth="1"/>
    <col min="4867" max="4867" width="15.88671875" style="1628" customWidth="1"/>
    <col min="4868" max="4868" width="7.109375" style="1628" customWidth="1"/>
    <col min="4869" max="4869" width="5.21875" style="1628" customWidth="1"/>
    <col min="4870" max="4870" width="112.88671875" style="1628" customWidth="1"/>
    <col min="4871" max="4871" width="9" style="1628" customWidth="1"/>
    <col min="4872" max="4872" width="15.33203125" style="1628" customWidth="1"/>
    <col min="4873" max="4873" width="33.6640625" style="1628" customWidth="1"/>
    <col min="4874" max="4875" width="15.88671875" style="1628" customWidth="1"/>
    <col min="4876" max="4876" width="27.44140625" style="1628" customWidth="1"/>
    <col min="4877" max="4878" width="9" style="1628" customWidth="1"/>
    <col min="4879" max="4879" width="9.109375"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73.7773437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28" style="1628" customWidth="1"/>
    <col min="4906" max="4906" width="19.21875" style="1628" customWidth="1"/>
    <col min="4907" max="4908" width="23" style="1628" customWidth="1"/>
    <col min="4909" max="4909" width="9" style="1628" customWidth="1"/>
    <col min="4910" max="5120" width="8.88671875" style="1628"/>
    <col min="5121" max="5121" width="112.88671875" style="1628" customWidth="1"/>
    <col min="5122" max="5122" width="7.109375" style="1628" customWidth="1"/>
    <col min="5123" max="5123" width="15.88671875" style="1628" customWidth="1"/>
    <col min="5124" max="5124" width="7.109375" style="1628" customWidth="1"/>
    <col min="5125" max="5125" width="5.21875" style="1628" customWidth="1"/>
    <col min="5126" max="5126" width="112.88671875" style="1628" customWidth="1"/>
    <col min="5127" max="5127" width="9" style="1628" customWidth="1"/>
    <col min="5128" max="5128" width="15.33203125" style="1628" customWidth="1"/>
    <col min="5129" max="5129" width="33.6640625" style="1628" customWidth="1"/>
    <col min="5130" max="5131" width="15.88671875" style="1628" customWidth="1"/>
    <col min="5132" max="5132" width="27.44140625" style="1628" customWidth="1"/>
    <col min="5133" max="5134" width="9" style="1628" customWidth="1"/>
    <col min="5135" max="5135" width="9.109375"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73.7773437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28" style="1628" customWidth="1"/>
    <col min="5162" max="5162" width="19.21875" style="1628" customWidth="1"/>
    <col min="5163" max="5164" width="23" style="1628" customWidth="1"/>
    <col min="5165" max="5165" width="9" style="1628" customWidth="1"/>
    <col min="5166" max="5376" width="8.88671875" style="1628"/>
    <col min="5377" max="5377" width="112.88671875" style="1628" customWidth="1"/>
    <col min="5378" max="5378" width="7.109375" style="1628" customWidth="1"/>
    <col min="5379" max="5379" width="15.88671875" style="1628" customWidth="1"/>
    <col min="5380" max="5380" width="7.109375" style="1628" customWidth="1"/>
    <col min="5381" max="5381" width="5.21875" style="1628" customWidth="1"/>
    <col min="5382" max="5382" width="112.88671875" style="1628" customWidth="1"/>
    <col min="5383" max="5383" width="9" style="1628" customWidth="1"/>
    <col min="5384" max="5384" width="15.33203125" style="1628" customWidth="1"/>
    <col min="5385" max="5385" width="33.6640625" style="1628" customWidth="1"/>
    <col min="5386" max="5387" width="15.88671875" style="1628" customWidth="1"/>
    <col min="5388" max="5388" width="27.44140625" style="1628" customWidth="1"/>
    <col min="5389" max="5390" width="9" style="1628" customWidth="1"/>
    <col min="5391" max="5391" width="9.109375"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73.7773437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28" style="1628" customWidth="1"/>
    <col min="5418" max="5418" width="19.21875" style="1628" customWidth="1"/>
    <col min="5419" max="5420" width="23" style="1628" customWidth="1"/>
    <col min="5421" max="5421" width="9" style="1628" customWidth="1"/>
    <col min="5422" max="5632" width="8.88671875" style="1628"/>
    <col min="5633" max="5633" width="112.88671875" style="1628" customWidth="1"/>
    <col min="5634" max="5634" width="7.109375" style="1628" customWidth="1"/>
    <col min="5635" max="5635" width="15.88671875" style="1628" customWidth="1"/>
    <col min="5636" max="5636" width="7.109375" style="1628" customWidth="1"/>
    <col min="5637" max="5637" width="5.21875" style="1628" customWidth="1"/>
    <col min="5638" max="5638" width="112.88671875" style="1628" customWidth="1"/>
    <col min="5639" max="5639" width="9" style="1628" customWidth="1"/>
    <col min="5640" max="5640" width="15.33203125" style="1628" customWidth="1"/>
    <col min="5641" max="5641" width="33.6640625" style="1628" customWidth="1"/>
    <col min="5642" max="5643" width="15.88671875" style="1628" customWidth="1"/>
    <col min="5644" max="5644" width="27.44140625" style="1628" customWidth="1"/>
    <col min="5645" max="5646" width="9" style="1628" customWidth="1"/>
    <col min="5647" max="5647" width="9.109375"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73.7773437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28" style="1628" customWidth="1"/>
    <col min="5674" max="5674" width="19.21875" style="1628" customWidth="1"/>
    <col min="5675" max="5676" width="23" style="1628" customWidth="1"/>
    <col min="5677" max="5677" width="9" style="1628" customWidth="1"/>
    <col min="5678" max="5888" width="8.88671875" style="1628"/>
    <col min="5889" max="5889" width="112.88671875" style="1628" customWidth="1"/>
    <col min="5890" max="5890" width="7.109375" style="1628" customWidth="1"/>
    <col min="5891" max="5891" width="15.88671875" style="1628" customWidth="1"/>
    <col min="5892" max="5892" width="7.109375" style="1628" customWidth="1"/>
    <col min="5893" max="5893" width="5.21875" style="1628" customWidth="1"/>
    <col min="5894" max="5894" width="112.88671875" style="1628" customWidth="1"/>
    <col min="5895" max="5895" width="9" style="1628" customWidth="1"/>
    <col min="5896" max="5896" width="15.33203125" style="1628" customWidth="1"/>
    <col min="5897" max="5897" width="33.6640625" style="1628" customWidth="1"/>
    <col min="5898" max="5899" width="15.88671875" style="1628" customWidth="1"/>
    <col min="5900" max="5900" width="27.44140625" style="1628" customWidth="1"/>
    <col min="5901" max="5902" width="9" style="1628" customWidth="1"/>
    <col min="5903" max="5903" width="9.109375"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73.7773437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28" style="1628" customWidth="1"/>
    <col min="5930" max="5930" width="19.21875" style="1628" customWidth="1"/>
    <col min="5931" max="5932" width="23" style="1628" customWidth="1"/>
    <col min="5933" max="5933" width="9" style="1628" customWidth="1"/>
    <col min="5934" max="6144" width="8.88671875" style="1628"/>
    <col min="6145" max="6145" width="112.88671875" style="1628" customWidth="1"/>
    <col min="6146" max="6146" width="7.109375" style="1628" customWidth="1"/>
    <col min="6147" max="6147" width="15.88671875" style="1628" customWidth="1"/>
    <col min="6148" max="6148" width="7.109375" style="1628" customWidth="1"/>
    <col min="6149" max="6149" width="5.21875" style="1628" customWidth="1"/>
    <col min="6150" max="6150" width="112.88671875" style="1628" customWidth="1"/>
    <col min="6151" max="6151" width="9" style="1628" customWidth="1"/>
    <col min="6152" max="6152" width="15.33203125" style="1628" customWidth="1"/>
    <col min="6153" max="6153" width="33.6640625" style="1628" customWidth="1"/>
    <col min="6154" max="6155" width="15.88671875" style="1628" customWidth="1"/>
    <col min="6156" max="6156" width="27.44140625" style="1628" customWidth="1"/>
    <col min="6157" max="6158" width="9" style="1628" customWidth="1"/>
    <col min="6159" max="6159" width="9.109375"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73.7773437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28" style="1628" customWidth="1"/>
    <col min="6186" max="6186" width="19.21875" style="1628" customWidth="1"/>
    <col min="6187" max="6188" width="23" style="1628" customWidth="1"/>
    <col min="6189" max="6189" width="9" style="1628" customWidth="1"/>
    <col min="6190" max="6400" width="8.88671875" style="1628"/>
    <col min="6401" max="6401" width="112.88671875" style="1628" customWidth="1"/>
    <col min="6402" max="6402" width="7.109375" style="1628" customWidth="1"/>
    <col min="6403" max="6403" width="15.88671875" style="1628" customWidth="1"/>
    <col min="6404" max="6404" width="7.109375" style="1628" customWidth="1"/>
    <col min="6405" max="6405" width="5.21875" style="1628" customWidth="1"/>
    <col min="6406" max="6406" width="112.88671875" style="1628" customWidth="1"/>
    <col min="6407" max="6407" width="9" style="1628" customWidth="1"/>
    <col min="6408" max="6408" width="15.33203125" style="1628" customWidth="1"/>
    <col min="6409" max="6409" width="33.6640625" style="1628" customWidth="1"/>
    <col min="6410" max="6411" width="15.88671875" style="1628" customWidth="1"/>
    <col min="6412" max="6412" width="27.44140625" style="1628" customWidth="1"/>
    <col min="6413" max="6414" width="9" style="1628" customWidth="1"/>
    <col min="6415" max="6415" width="9.109375"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73.7773437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28" style="1628" customWidth="1"/>
    <col min="6442" max="6442" width="19.21875" style="1628" customWidth="1"/>
    <col min="6443" max="6444" width="23" style="1628" customWidth="1"/>
    <col min="6445" max="6445" width="9" style="1628" customWidth="1"/>
    <col min="6446" max="6656" width="8.88671875" style="1628"/>
    <col min="6657" max="6657" width="112.88671875" style="1628" customWidth="1"/>
    <col min="6658" max="6658" width="7.109375" style="1628" customWidth="1"/>
    <col min="6659" max="6659" width="15.88671875" style="1628" customWidth="1"/>
    <col min="6660" max="6660" width="7.109375" style="1628" customWidth="1"/>
    <col min="6661" max="6661" width="5.21875" style="1628" customWidth="1"/>
    <col min="6662" max="6662" width="112.88671875" style="1628" customWidth="1"/>
    <col min="6663" max="6663" width="9" style="1628" customWidth="1"/>
    <col min="6664" max="6664" width="15.33203125" style="1628" customWidth="1"/>
    <col min="6665" max="6665" width="33.6640625" style="1628" customWidth="1"/>
    <col min="6666" max="6667" width="15.88671875" style="1628" customWidth="1"/>
    <col min="6668" max="6668" width="27.44140625" style="1628" customWidth="1"/>
    <col min="6669" max="6670" width="9" style="1628" customWidth="1"/>
    <col min="6671" max="6671" width="9.109375"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73.7773437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28" style="1628" customWidth="1"/>
    <col min="6698" max="6698" width="19.21875" style="1628" customWidth="1"/>
    <col min="6699" max="6700" width="23" style="1628" customWidth="1"/>
    <col min="6701" max="6701" width="9" style="1628" customWidth="1"/>
    <col min="6702" max="6912" width="8.88671875" style="1628"/>
    <col min="6913" max="6913" width="112.88671875" style="1628" customWidth="1"/>
    <col min="6914" max="6914" width="7.109375" style="1628" customWidth="1"/>
    <col min="6915" max="6915" width="15.88671875" style="1628" customWidth="1"/>
    <col min="6916" max="6916" width="7.109375" style="1628" customWidth="1"/>
    <col min="6917" max="6917" width="5.21875" style="1628" customWidth="1"/>
    <col min="6918" max="6918" width="112.88671875" style="1628" customWidth="1"/>
    <col min="6919" max="6919" width="9" style="1628" customWidth="1"/>
    <col min="6920" max="6920" width="15.33203125" style="1628" customWidth="1"/>
    <col min="6921" max="6921" width="33.6640625" style="1628" customWidth="1"/>
    <col min="6922" max="6923" width="15.88671875" style="1628" customWidth="1"/>
    <col min="6924" max="6924" width="27.44140625" style="1628" customWidth="1"/>
    <col min="6925" max="6926" width="9" style="1628" customWidth="1"/>
    <col min="6927" max="6927" width="9.109375"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73.7773437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28" style="1628" customWidth="1"/>
    <col min="6954" max="6954" width="19.21875" style="1628" customWidth="1"/>
    <col min="6955" max="6956" width="23" style="1628" customWidth="1"/>
    <col min="6957" max="6957" width="9" style="1628" customWidth="1"/>
    <col min="6958" max="7168" width="8.88671875" style="1628"/>
    <col min="7169" max="7169" width="112.88671875" style="1628" customWidth="1"/>
    <col min="7170" max="7170" width="7.109375" style="1628" customWidth="1"/>
    <col min="7171" max="7171" width="15.88671875" style="1628" customWidth="1"/>
    <col min="7172" max="7172" width="7.109375" style="1628" customWidth="1"/>
    <col min="7173" max="7173" width="5.21875" style="1628" customWidth="1"/>
    <col min="7174" max="7174" width="112.88671875" style="1628" customWidth="1"/>
    <col min="7175" max="7175" width="9" style="1628" customWidth="1"/>
    <col min="7176" max="7176" width="15.33203125" style="1628" customWidth="1"/>
    <col min="7177" max="7177" width="33.6640625" style="1628" customWidth="1"/>
    <col min="7178" max="7179" width="15.88671875" style="1628" customWidth="1"/>
    <col min="7180" max="7180" width="27.44140625" style="1628" customWidth="1"/>
    <col min="7181" max="7182" width="9" style="1628" customWidth="1"/>
    <col min="7183" max="7183" width="9.109375"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73.7773437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28" style="1628" customWidth="1"/>
    <col min="7210" max="7210" width="19.21875" style="1628" customWidth="1"/>
    <col min="7211" max="7212" width="23" style="1628" customWidth="1"/>
    <col min="7213" max="7213" width="9" style="1628" customWidth="1"/>
    <col min="7214" max="7424" width="8.88671875" style="1628"/>
    <col min="7425" max="7425" width="112.88671875" style="1628" customWidth="1"/>
    <col min="7426" max="7426" width="7.109375" style="1628" customWidth="1"/>
    <col min="7427" max="7427" width="15.88671875" style="1628" customWidth="1"/>
    <col min="7428" max="7428" width="7.109375" style="1628" customWidth="1"/>
    <col min="7429" max="7429" width="5.21875" style="1628" customWidth="1"/>
    <col min="7430" max="7430" width="112.88671875" style="1628" customWidth="1"/>
    <col min="7431" max="7431" width="9" style="1628" customWidth="1"/>
    <col min="7432" max="7432" width="15.33203125" style="1628" customWidth="1"/>
    <col min="7433" max="7433" width="33.6640625" style="1628" customWidth="1"/>
    <col min="7434" max="7435" width="15.88671875" style="1628" customWidth="1"/>
    <col min="7436" max="7436" width="27.44140625" style="1628" customWidth="1"/>
    <col min="7437" max="7438" width="9" style="1628" customWidth="1"/>
    <col min="7439" max="7439" width="9.109375"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73.7773437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28" style="1628" customWidth="1"/>
    <col min="7466" max="7466" width="19.21875" style="1628" customWidth="1"/>
    <col min="7467" max="7468" width="23" style="1628" customWidth="1"/>
    <col min="7469" max="7469" width="9" style="1628" customWidth="1"/>
    <col min="7470" max="7680" width="8.88671875" style="1628"/>
    <col min="7681" max="7681" width="112.88671875" style="1628" customWidth="1"/>
    <col min="7682" max="7682" width="7.109375" style="1628" customWidth="1"/>
    <col min="7683" max="7683" width="15.88671875" style="1628" customWidth="1"/>
    <col min="7684" max="7684" width="7.109375" style="1628" customWidth="1"/>
    <col min="7685" max="7685" width="5.21875" style="1628" customWidth="1"/>
    <col min="7686" max="7686" width="112.88671875" style="1628" customWidth="1"/>
    <col min="7687" max="7687" width="9" style="1628" customWidth="1"/>
    <col min="7688" max="7688" width="15.33203125" style="1628" customWidth="1"/>
    <col min="7689" max="7689" width="33.6640625" style="1628" customWidth="1"/>
    <col min="7690" max="7691" width="15.88671875" style="1628" customWidth="1"/>
    <col min="7692" max="7692" width="27.44140625" style="1628" customWidth="1"/>
    <col min="7693" max="7694" width="9" style="1628" customWidth="1"/>
    <col min="7695" max="7695" width="9.109375"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73.7773437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28" style="1628" customWidth="1"/>
    <col min="7722" max="7722" width="19.21875" style="1628" customWidth="1"/>
    <col min="7723" max="7724" width="23" style="1628" customWidth="1"/>
    <col min="7725" max="7725" width="9" style="1628" customWidth="1"/>
    <col min="7726" max="7936" width="8.88671875" style="1628"/>
    <col min="7937" max="7937" width="112.88671875" style="1628" customWidth="1"/>
    <col min="7938" max="7938" width="7.109375" style="1628" customWidth="1"/>
    <col min="7939" max="7939" width="15.88671875" style="1628" customWidth="1"/>
    <col min="7940" max="7940" width="7.109375" style="1628" customWidth="1"/>
    <col min="7941" max="7941" width="5.21875" style="1628" customWidth="1"/>
    <col min="7942" max="7942" width="112.88671875" style="1628" customWidth="1"/>
    <col min="7943" max="7943" width="9" style="1628" customWidth="1"/>
    <col min="7944" max="7944" width="15.33203125" style="1628" customWidth="1"/>
    <col min="7945" max="7945" width="33.6640625" style="1628" customWidth="1"/>
    <col min="7946" max="7947" width="15.88671875" style="1628" customWidth="1"/>
    <col min="7948" max="7948" width="27.44140625" style="1628" customWidth="1"/>
    <col min="7949" max="7950" width="9" style="1628" customWidth="1"/>
    <col min="7951" max="7951" width="9.109375"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73.7773437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28" style="1628" customWidth="1"/>
    <col min="7978" max="7978" width="19.21875" style="1628" customWidth="1"/>
    <col min="7979" max="7980" width="23" style="1628" customWidth="1"/>
    <col min="7981" max="7981" width="9" style="1628" customWidth="1"/>
    <col min="7982" max="8192" width="8.88671875" style="1628"/>
    <col min="8193" max="8193" width="112.88671875" style="1628" customWidth="1"/>
    <col min="8194" max="8194" width="7.109375" style="1628" customWidth="1"/>
    <col min="8195" max="8195" width="15.88671875" style="1628" customWidth="1"/>
    <col min="8196" max="8196" width="7.109375" style="1628" customWidth="1"/>
    <col min="8197" max="8197" width="5.21875" style="1628" customWidth="1"/>
    <col min="8198" max="8198" width="112.88671875" style="1628" customWidth="1"/>
    <col min="8199" max="8199" width="9" style="1628" customWidth="1"/>
    <col min="8200" max="8200" width="15.33203125" style="1628" customWidth="1"/>
    <col min="8201" max="8201" width="33.6640625" style="1628" customWidth="1"/>
    <col min="8202" max="8203" width="15.88671875" style="1628" customWidth="1"/>
    <col min="8204" max="8204" width="27.44140625" style="1628" customWidth="1"/>
    <col min="8205" max="8206" width="9" style="1628" customWidth="1"/>
    <col min="8207" max="8207" width="9.109375"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73.7773437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28" style="1628" customWidth="1"/>
    <col min="8234" max="8234" width="19.21875" style="1628" customWidth="1"/>
    <col min="8235" max="8236" width="23" style="1628" customWidth="1"/>
    <col min="8237" max="8237" width="9" style="1628" customWidth="1"/>
    <col min="8238" max="8448" width="8.88671875" style="1628"/>
    <col min="8449" max="8449" width="112.88671875" style="1628" customWidth="1"/>
    <col min="8450" max="8450" width="7.109375" style="1628" customWidth="1"/>
    <col min="8451" max="8451" width="15.88671875" style="1628" customWidth="1"/>
    <col min="8452" max="8452" width="7.109375" style="1628" customWidth="1"/>
    <col min="8453" max="8453" width="5.21875" style="1628" customWidth="1"/>
    <col min="8454" max="8454" width="112.88671875" style="1628" customWidth="1"/>
    <col min="8455" max="8455" width="9" style="1628" customWidth="1"/>
    <col min="8456" max="8456" width="15.33203125" style="1628" customWidth="1"/>
    <col min="8457" max="8457" width="33.6640625" style="1628" customWidth="1"/>
    <col min="8458" max="8459" width="15.88671875" style="1628" customWidth="1"/>
    <col min="8460" max="8460" width="27.44140625" style="1628" customWidth="1"/>
    <col min="8461" max="8462" width="9" style="1628" customWidth="1"/>
    <col min="8463" max="8463" width="9.109375"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73.7773437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28" style="1628" customWidth="1"/>
    <col min="8490" max="8490" width="19.21875" style="1628" customWidth="1"/>
    <col min="8491" max="8492" width="23" style="1628" customWidth="1"/>
    <col min="8493" max="8493" width="9" style="1628" customWidth="1"/>
    <col min="8494" max="8704" width="8.88671875" style="1628"/>
    <col min="8705" max="8705" width="112.88671875" style="1628" customWidth="1"/>
    <col min="8706" max="8706" width="7.109375" style="1628" customWidth="1"/>
    <col min="8707" max="8707" width="15.88671875" style="1628" customWidth="1"/>
    <col min="8708" max="8708" width="7.109375" style="1628" customWidth="1"/>
    <col min="8709" max="8709" width="5.21875" style="1628" customWidth="1"/>
    <col min="8710" max="8710" width="112.88671875" style="1628" customWidth="1"/>
    <col min="8711" max="8711" width="9" style="1628" customWidth="1"/>
    <col min="8712" max="8712" width="15.33203125" style="1628" customWidth="1"/>
    <col min="8713" max="8713" width="33.6640625" style="1628" customWidth="1"/>
    <col min="8714" max="8715" width="15.88671875" style="1628" customWidth="1"/>
    <col min="8716" max="8716" width="27.44140625" style="1628" customWidth="1"/>
    <col min="8717" max="8718" width="9" style="1628" customWidth="1"/>
    <col min="8719" max="8719" width="9.109375"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73.7773437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28" style="1628" customWidth="1"/>
    <col min="8746" max="8746" width="19.21875" style="1628" customWidth="1"/>
    <col min="8747" max="8748" width="23" style="1628" customWidth="1"/>
    <col min="8749" max="8749" width="9" style="1628" customWidth="1"/>
    <col min="8750" max="8960" width="8.88671875" style="1628"/>
    <col min="8961" max="8961" width="112.88671875" style="1628" customWidth="1"/>
    <col min="8962" max="8962" width="7.109375" style="1628" customWidth="1"/>
    <col min="8963" max="8963" width="15.88671875" style="1628" customWidth="1"/>
    <col min="8964" max="8964" width="7.109375" style="1628" customWidth="1"/>
    <col min="8965" max="8965" width="5.21875" style="1628" customWidth="1"/>
    <col min="8966" max="8966" width="112.88671875" style="1628" customWidth="1"/>
    <col min="8967" max="8967" width="9" style="1628" customWidth="1"/>
    <col min="8968" max="8968" width="15.33203125" style="1628" customWidth="1"/>
    <col min="8969" max="8969" width="33.6640625" style="1628" customWidth="1"/>
    <col min="8970" max="8971" width="15.88671875" style="1628" customWidth="1"/>
    <col min="8972" max="8972" width="27.44140625" style="1628" customWidth="1"/>
    <col min="8973" max="8974" width="9" style="1628" customWidth="1"/>
    <col min="8975" max="8975" width="9.109375"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73.7773437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28" style="1628" customWidth="1"/>
    <col min="9002" max="9002" width="19.21875" style="1628" customWidth="1"/>
    <col min="9003" max="9004" width="23" style="1628" customWidth="1"/>
    <col min="9005" max="9005" width="9" style="1628" customWidth="1"/>
    <col min="9006" max="9216" width="8.88671875" style="1628"/>
    <col min="9217" max="9217" width="112.88671875" style="1628" customWidth="1"/>
    <col min="9218" max="9218" width="7.109375" style="1628" customWidth="1"/>
    <col min="9219" max="9219" width="15.88671875" style="1628" customWidth="1"/>
    <col min="9220" max="9220" width="7.109375" style="1628" customWidth="1"/>
    <col min="9221" max="9221" width="5.21875" style="1628" customWidth="1"/>
    <col min="9222" max="9222" width="112.88671875" style="1628" customWidth="1"/>
    <col min="9223" max="9223" width="9" style="1628" customWidth="1"/>
    <col min="9224" max="9224" width="15.33203125" style="1628" customWidth="1"/>
    <col min="9225" max="9225" width="33.6640625" style="1628" customWidth="1"/>
    <col min="9226" max="9227" width="15.88671875" style="1628" customWidth="1"/>
    <col min="9228" max="9228" width="27.44140625" style="1628" customWidth="1"/>
    <col min="9229" max="9230" width="9" style="1628" customWidth="1"/>
    <col min="9231" max="9231" width="9.109375"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73.7773437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28" style="1628" customWidth="1"/>
    <col min="9258" max="9258" width="19.21875" style="1628" customWidth="1"/>
    <col min="9259" max="9260" width="23" style="1628" customWidth="1"/>
    <col min="9261" max="9261" width="9" style="1628" customWidth="1"/>
    <col min="9262" max="9472" width="8.88671875" style="1628"/>
    <col min="9473" max="9473" width="112.88671875" style="1628" customWidth="1"/>
    <col min="9474" max="9474" width="7.109375" style="1628" customWidth="1"/>
    <col min="9475" max="9475" width="15.88671875" style="1628" customWidth="1"/>
    <col min="9476" max="9476" width="7.109375" style="1628" customWidth="1"/>
    <col min="9477" max="9477" width="5.21875" style="1628" customWidth="1"/>
    <col min="9478" max="9478" width="112.88671875" style="1628" customWidth="1"/>
    <col min="9479" max="9479" width="9" style="1628" customWidth="1"/>
    <col min="9480" max="9480" width="15.33203125" style="1628" customWidth="1"/>
    <col min="9481" max="9481" width="33.6640625" style="1628" customWidth="1"/>
    <col min="9482" max="9483" width="15.88671875" style="1628" customWidth="1"/>
    <col min="9484" max="9484" width="27.44140625" style="1628" customWidth="1"/>
    <col min="9485" max="9486" width="9" style="1628" customWidth="1"/>
    <col min="9487" max="9487" width="9.109375"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73.7773437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28" style="1628" customWidth="1"/>
    <col min="9514" max="9514" width="19.21875" style="1628" customWidth="1"/>
    <col min="9515" max="9516" width="23" style="1628" customWidth="1"/>
    <col min="9517" max="9517" width="9" style="1628" customWidth="1"/>
    <col min="9518" max="9728" width="8.88671875" style="1628"/>
    <col min="9729" max="9729" width="112.88671875" style="1628" customWidth="1"/>
    <col min="9730" max="9730" width="7.109375" style="1628" customWidth="1"/>
    <col min="9731" max="9731" width="15.88671875" style="1628" customWidth="1"/>
    <col min="9732" max="9732" width="7.109375" style="1628" customWidth="1"/>
    <col min="9733" max="9733" width="5.21875" style="1628" customWidth="1"/>
    <col min="9734" max="9734" width="112.88671875" style="1628" customWidth="1"/>
    <col min="9735" max="9735" width="9" style="1628" customWidth="1"/>
    <col min="9736" max="9736" width="15.33203125" style="1628" customWidth="1"/>
    <col min="9737" max="9737" width="33.6640625" style="1628" customWidth="1"/>
    <col min="9738" max="9739" width="15.88671875" style="1628" customWidth="1"/>
    <col min="9740" max="9740" width="27.44140625" style="1628" customWidth="1"/>
    <col min="9741" max="9742" width="9" style="1628" customWidth="1"/>
    <col min="9743" max="9743" width="9.109375"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73.7773437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28" style="1628" customWidth="1"/>
    <col min="9770" max="9770" width="19.21875" style="1628" customWidth="1"/>
    <col min="9771" max="9772" width="23" style="1628" customWidth="1"/>
    <col min="9773" max="9773" width="9" style="1628" customWidth="1"/>
    <col min="9774" max="9984" width="8.88671875" style="1628"/>
    <col min="9985" max="9985" width="112.88671875" style="1628" customWidth="1"/>
    <col min="9986" max="9986" width="7.109375" style="1628" customWidth="1"/>
    <col min="9987" max="9987" width="15.88671875" style="1628" customWidth="1"/>
    <col min="9988" max="9988" width="7.109375" style="1628" customWidth="1"/>
    <col min="9989" max="9989" width="5.21875" style="1628" customWidth="1"/>
    <col min="9990" max="9990" width="112.88671875" style="1628" customWidth="1"/>
    <col min="9991" max="9991" width="9" style="1628" customWidth="1"/>
    <col min="9992" max="9992" width="15.33203125" style="1628" customWidth="1"/>
    <col min="9993" max="9993" width="33.6640625" style="1628" customWidth="1"/>
    <col min="9994" max="9995" width="15.88671875" style="1628" customWidth="1"/>
    <col min="9996" max="9996" width="27.44140625" style="1628" customWidth="1"/>
    <col min="9997" max="9998" width="9" style="1628" customWidth="1"/>
    <col min="9999" max="9999" width="9.109375"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73.7773437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28" style="1628" customWidth="1"/>
    <col min="10026" max="10026" width="19.21875" style="1628" customWidth="1"/>
    <col min="10027" max="10028" width="23" style="1628" customWidth="1"/>
    <col min="10029" max="10029" width="9" style="1628" customWidth="1"/>
    <col min="10030" max="10240" width="8.88671875" style="1628"/>
    <col min="10241" max="10241" width="112.88671875" style="1628" customWidth="1"/>
    <col min="10242" max="10242" width="7.109375" style="1628" customWidth="1"/>
    <col min="10243" max="10243" width="15.88671875" style="1628" customWidth="1"/>
    <col min="10244" max="10244" width="7.109375" style="1628" customWidth="1"/>
    <col min="10245" max="10245" width="5.21875" style="1628" customWidth="1"/>
    <col min="10246" max="10246" width="112.88671875" style="1628" customWidth="1"/>
    <col min="10247" max="10247" width="9" style="1628" customWidth="1"/>
    <col min="10248" max="10248" width="15.33203125" style="1628" customWidth="1"/>
    <col min="10249" max="10249" width="33.6640625" style="1628" customWidth="1"/>
    <col min="10250" max="10251" width="15.88671875" style="1628" customWidth="1"/>
    <col min="10252" max="10252" width="27.44140625" style="1628" customWidth="1"/>
    <col min="10253" max="10254" width="9" style="1628" customWidth="1"/>
    <col min="10255" max="10255" width="9.109375"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73.7773437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28" style="1628" customWidth="1"/>
    <col min="10282" max="10282" width="19.21875" style="1628" customWidth="1"/>
    <col min="10283" max="10284" width="23" style="1628" customWidth="1"/>
    <col min="10285" max="10285" width="9" style="1628" customWidth="1"/>
    <col min="10286" max="10496" width="8.88671875" style="1628"/>
    <col min="10497" max="10497" width="112.88671875" style="1628" customWidth="1"/>
    <col min="10498" max="10498" width="7.109375" style="1628" customWidth="1"/>
    <col min="10499" max="10499" width="15.88671875" style="1628" customWidth="1"/>
    <col min="10500" max="10500" width="7.109375" style="1628" customWidth="1"/>
    <col min="10501" max="10501" width="5.21875" style="1628" customWidth="1"/>
    <col min="10502" max="10502" width="112.88671875" style="1628" customWidth="1"/>
    <col min="10503" max="10503" width="9" style="1628" customWidth="1"/>
    <col min="10504" max="10504" width="15.33203125" style="1628" customWidth="1"/>
    <col min="10505" max="10505" width="33.6640625" style="1628" customWidth="1"/>
    <col min="10506" max="10507" width="15.88671875" style="1628" customWidth="1"/>
    <col min="10508" max="10508" width="27.44140625" style="1628" customWidth="1"/>
    <col min="10509" max="10510" width="9" style="1628" customWidth="1"/>
    <col min="10511" max="10511" width="9.109375"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73.7773437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28" style="1628" customWidth="1"/>
    <col min="10538" max="10538" width="19.21875" style="1628" customWidth="1"/>
    <col min="10539" max="10540" width="23" style="1628" customWidth="1"/>
    <col min="10541" max="10541" width="9" style="1628" customWidth="1"/>
    <col min="10542" max="10752" width="8.88671875" style="1628"/>
    <col min="10753" max="10753" width="112.88671875" style="1628" customWidth="1"/>
    <col min="10754" max="10754" width="7.109375" style="1628" customWidth="1"/>
    <col min="10755" max="10755" width="15.88671875" style="1628" customWidth="1"/>
    <col min="10756" max="10756" width="7.109375" style="1628" customWidth="1"/>
    <col min="10757" max="10757" width="5.21875" style="1628" customWidth="1"/>
    <col min="10758" max="10758" width="112.88671875" style="1628" customWidth="1"/>
    <col min="10759" max="10759" width="9" style="1628" customWidth="1"/>
    <col min="10760" max="10760" width="15.33203125" style="1628" customWidth="1"/>
    <col min="10761" max="10761" width="33.6640625" style="1628" customWidth="1"/>
    <col min="10762" max="10763" width="15.88671875" style="1628" customWidth="1"/>
    <col min="10764" max="10764" width="27.44140625" style="1628" customWidth="1"/>
    <col min="10765" max="10766" width="9" style="1628" customWidth="1"/>
    <col min="10767" max="10767" width="9.109375"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73.7773437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28" style="1628" customWidth="1"/>
    <col min="10794" max="10794" width="19.21875" style="1628" customWidth="1"/>
    <col min="10795" max="10796" width="23" style="1628" customWidth="1"/>
    <col min="10797" max="10797" width="9" style="1628" customWidth="1"/>
    <col min="10798" max="11008" width="8.88671875" style="1628"/>
    <col min="11009" max="11009" width="112.88671875" style="1628" customWidth="1"/>
    <col min="11010" max="11010" width="7.109375" style="1628" customWidth="1"/>
    <col min="11011" max="11011" width="15.88671875" style="1628" customWidth="1"/>
    <col min="11012" max="11012" width="7.109375" style="1628" customWidth="1"/>
    <col min="11013" max="11013" width="5.21875" style="1628" customWidth="1"/>
    <col min="11014" max="11014" width="112.88671875" style="1628" customWidth="1"/>
    <col min="11015" max="11015" width="9" style="1628" customWidth="1"/>
    <col min="11016" max="11016" width="15.33203125" style="1628" customWidth="1"/>
    <col min="11017" max="11017" width="33.6640625" style="1628" customWidth="1"/>
    <col min="11018" max="11019" width="15.88671875" style="1628" customWidth="1"/>
    <col min="11020" max="11020" width="27.44140625" style="1628" customWidth="1"/>
    <col min="11021" max="11022" width="9" style="1628" customWidth="1"/>
    <col min="11023" max="11023" width="9.109375"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73.7773437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28" style="1628" customWidth="1"/>
    <col min="11050" max="11050" width="19.21875" style="1628" customWidth="1"/>
    <col min="11051" max="11052" width="23" style="1628" customWidth="1"/>
    <col min="11053" max="11053" width="9" style="1628" customWidth="1"/>
    <col min="11054" max="11264" width="8.88671875" style="1628"/>
    <col min="11265" max="11265" width="112.88671875" style="1628" customWidth="1"/>
    <col min="11266" max="11266" width="7.109375" style="1628" customWidth="1"/>
    <col min="11267" max="11267" width="15.88671875" style="1628" customWidth="1"/>
    <col min="11268" max="11268" width="7.109375" style="1628" customWidth="1"/>
    <col min="11269" max="11269" width="5.21875" style="1628" customWidth="1"/>
    <col min="11270" max="11270" width="112.88671875" style="1628" customWidth="1"/>
    <col min="11271" max="11271" width="9" style="1628" customWidth="1"/>
    <col min="11272" max="11272" width="15.33203125" style="1628" customWidth="1"/>
    <col min="11273" max="11273" width="33.6640625" style="1628" customWidth="1"/>
    <col min="11274" max="11275" width="15.88671875" style="1628" customWidth="1"/>
    <col min="11276" max="11276" width="27.44140625" style="1628" customWidth="1"/>
    <col min="11277" max="11278" width="9" style="1628" customWidth="1"/>
    <col min="11279" max="11279" width="9.109375"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73.7773437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28" style="1628" customWidth="1"/>
    <col min="11306" max="11306" width="19.21875" style="1628" customWidth="1"/>
    <col min="11307" max="11308" width="23" style="1628" customWidth="1"/>
    <col min="11309" max="11309" width="9" style="1628" customWidth="1"/>
    <col min="11310" max="11520" width="8.88671875" style="1628"/>
    <col min="11521" max="11521" width="112.88671875" style="1628" customWidth="1"/>
    <col min="11522" max="11522" width="7.109375" style="1628" customWidth="1"/>
    <col min="11523" max="11523" width="15.88671875" style="1628" customWidth="1"/>
    <col min="11524" max="11524" width="7.109375" style="1628" customWidth="1"/>
    <col min="11525" max="11525" width="5.21875" style="1628" customWidth="1"/>
    <col min="11526" max="11526" width="112.88671875" style="1628" customWidth="1"/>
    <col min="11527" max="11527" width="9" style="1628" customWidth="1"/>
    <col min="11528" max="11528" width="15.33203125" style="1628" customWidth="1"/>
    <col min="11529" max="11529" width="33.6640625" style="1628" customWidth="1"/>
    <col min="11530" max="11531" width="15.88671875" style="1628" customWidth="1"/>
    <col min="11532" max="11532" width="27.44140625" style="1628" customWidth="1"/>
    <col min="11533" max="11534" width="9" style="1628" customWidth="1"/>
    <col min="11535" max="11535" width="9.109375"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73.7773437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28" style="1628" customWidth="1"/>
    <col min="11562" max="11562" width="19.21875" style="1628" customWidth="1"/>
    <col min="11563" max="11564" width="23" style="1628" customWidth="1"/>
    <col min="11565" max="11565" width="9" style="1628" customWidth="1"/>
    <col min="11566" max="11776" width="8.88671875" style="1628"/>
    <col min="11777" max="11777" width="112.88671875" style="1628" customWidth="1"/>
    <col min="11778" max="11778" width="7.109375" style="1628" customWidth="1"/>
    <col min="11779" max="11779" width="15.88671875" style="1628" customWidth="1"/>
    <col min="11780" max="11780" width="7.109375" style="1628" customWidth="1"/>
    <col min="11781" max="11781" width="5.21875" style="1628" customWidth="1"/>
    <col min="11782" max="11782" width="112.88671875" style="1628" customWidth="1"/>
    <col min="11783" max="11783" width="9" style="1628" customWidth="1"/>
    <col min="11784" max="11784" width="15.33203125" style="1628" customWidth="1"/>
    <col min="11785" max="11785" width="33.6640625" style="1628" customWidth="1"/>
    <col min="11786" max="11787" width="15.88671875" style="1628" customWidth="1"/>
    <col min="11788" max="11788" width="27.44140625" style="1628" customWidth="1"/>
    <col min="11789" max="11790" width="9" style="1628" customWidth="1"/>
    <col min="11791" max="11791" width="9.109375"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73.7773437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28" style="1628" customWidth="1"/>
    <col min="11818" max="11818" width="19.21875" style="1628" customWidth="1"/>
    <col min="11819" max="11820" width="23" style="1628" customWidth="1"/>
    <col min="11821" max="11821" width="9" style="1628" customWidth="1"/>
    <col min="11822" max="12032" width="8.88671875" style="1628"/>
    <col min="12033" max="12033" width="112.88671875" style="1628" customWidth="1"/>
    <col min="12034" max="12034" width="7.109375" style="1628" customWidth="1"/>
    <col min="12035" max="12035" width="15.88671875" style="1628" customWidth="1"/>
    <col min="12036" max="12036" width="7.109375" style="1628" customWidth="1"/>
    <col min="12037" max="12037" width="5.21875" style="1628" customWidth="1"/>
    <col min="12038" max="12038" width="112.88671875" style="1628" customWidth="1"/>
    <col min="12039" max="12039" width="9" style="1628" customWidth="1"/>
    <col min="12040" max="12040" width="15.33203125" style="1628" customWidth="1"/>
    <col min="12041" max="12041" width="33.6640625" style="1628" customWidth="1"/>
    <col min="12042" max="12043" width="15.88671875" style="1628" customWidth="1"/>
    <col min="12044" max="12044" width="27.44140625" style="1628" customWidth="1"/>
    <col min="12045" max="12046" width="9" style="1628" customWidth="1"/>
    <col min="12047" max="12047" width="9.109375"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73.7773437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28" style="1628" customWidth="1"/>
    <col min="12074" max="12074" width="19.21875" style="1628" customWidth="1"/>
    <col min="12075" max="12076" width="23" style="1628" customWidth="1"/>
    <col min="12077" max="12077" width="9" style="1628" customWidth="1"/>
    <col min="12078" max="12288" width="8.88671875" style="1628"/>
    <col min="12289" max="12289" width="112.88671875" style="1628" customWidth="1"/>
    <col min="12290" max="12290" width="7.109375" style="1628" customWidth="1"/>
    <col min="12291" max="12291" width="15.88671875" style="1628" customWidth="1"/>
    <col min="12292" max="12292" width="7.109375" style="1628" customWidth="1"/>
    <col min="12293" max="12293" width="5.21875" style="1628" customWidth="1"/>
    <col min="12294" max="12294" width="112.88671875" style="1628" customWidth="1"/>
    <col min="12295" max="12295" width="9" style="1628" customWidth="1"/>
    <col min="12296" max="12296" width="15.33203125" style="1628" customWidth="1"/>
    <col min="12297" max="12297" width="33.6640625" style="1628" customWidth="1"/>
    <col min="12298" max="12299" width="15.88671875" style="1628" customWidth="1"/>
    <col min="12300" max="12300" width="27.44140625" style="1628" customWidth="1"/>
    <col min="12301" max="12302" width="9" style="1628" customWidth="1"/>
    <col min="12303" max="12303" width="9.109375"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73.7773437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28" style="1628" customWidth="1"/>
    <col min="12330" max="12330" width="19.21875" style="1628" customWidth="1"/>
    <col min="12331" max="12332" width="23" style="1628" customWidth="1"/>
    <col min="12333" max="12333" width="9" style="1628" customWidth="1"/>
    <col min="12334" max="12544" width="8.88671875" style="1628"/>
    <col min="12545" max="12545" width="112.88671875" style="1628" customWidth="1"/>
    <col min="12546" max="12546" width="7.109375" style="1628" customWidth="1"/>
    <col min="12547" max="12547" width="15.88671875" style="1628" customWidth="1"/>
    <col min="12548" max="12548" width="7.109375" style="1628" customWidth="1"/>
    <col min="12549" max="12549" width="5.21875" style="1628" customWidth="1"/>
    <col min="12550" max="12550" width="112.88671875" style="1628" customWidth="1"/>
    <col min="12551" max="12551" width="9" style="1628" customWidth="1"/>
    <col min="12552" max="12552" width="15.33203125" style="1628" customWidth="1"/>
    <col min="12553" max="12553" width="33.6640625" style="1628" customWidth="1"/>
    <col min="12554" max="12555" width="15.88671875" style="1628" customWidth="1"/>
    <col min="12556" max="12556" width="27.44140625" style="1628" customWidth="1"/>
    <col min="12557" max="12558" width="9" style="1628" customWidth="1"/>
    <col min="12559" max="12559" width="9.109375"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73.7773437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28" style="1628" customWidth="1"/>
    <col min="12586" max="12586" width="19.21875" style="1628" customWidth="1"/>
    <col min="12587" max="12588" width="23" style="1628" customWidth="1"/>
    <col min="12589" max="12589" width="9" style="1628" customWidth="1"/>
    <col min="12590" max="12800" width="8.88671875" style="1628"/>
    <col min="12801" max="12801" width="112.88671875" style="1628" customWidth="1"/>
    <col min="12802" max="12802" width="7.109375" style="1628" customWidth="1"/>
    <col min="12803" max="12803" width="15.88671875" style="1628" customWidth="1"/>
    <col min="12804" max="12804" width="7.109375" style="1628" customWidth="1"/>
    <col min="12805" max="12805" width="5.21875" style="1628" customWidth="1"/>
    <col min="12806" max="12806" width="112.88671875" style="1628" customWidth="1"/>
    <col min="12807" max="12807" width="9" style="1628" customWidth="1"/>
    <col min="12808" max="12808" width="15.33203125" style="1628" customWidth="1"/>
    <col min="12809" max="12809" width="33.6640625" style="1628" customWidth="1"/>
    <col min="12810" max="12811" width="15.88671875" style="1628" customWidth="1"/>
    <col min="12812" max="12812" width="27.44140625" style="1628" customWidth="1"/>
    <col min="12813" max="12814" width="9" style="1628" customWidth="1"/>
    <col min="12815" max="12815" width="9.109375"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73.7773437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28" style="1628" customWidth="1"/>
    <col min="12842" max="12842" width="19.21875" style="1628" customWidth="1"/>
    <col min="12843" max="12844" width="23" style="1628" customWidth="1"/>
    <col min="12845" max="12845" width="9" style="1628" customWidth="1"/>
    <col min="12846" max="13056" width="8.88671875" style="1628"/>
    <col min="13057" max="13057" width="112.88671875" style="1628" customWidth="1"/>
    <col min="13058" max="13058" width="7.109375" style="1628" customWidth="1"/>
    <col min="13059" max="13059" width="15.88671875" style="1628" customWidth="1"/>
    <col min="13060" max="13060" width="7.109375" style="1628" customWidth="1"/>
    <col min="13061" max="13061" width="5.21875" style="1628" customWidth="1"/>
    <col min="13062" max="13062" width="112.88671875" style="1628" customWidth="1"/>
    <col min="13063" max="13063" width="9" style="1628" customWidth="1"/>
    <col min="13064" max="13064" width="15.33203125" style="1628" customWidth="1"/>
    <col min="13065" max="13065" width="33.6640625" style="1628" customWidth="1"/>
    <col min="13066" max="13067" width="15.88671875" style="1628" customWidth="1"/>
    <col min="13068" max="13068" width="27.44140625" style="1628" customWidth="1"/>
    <col min="13069" max="13070" width="9" style="1628" customWidth="1"/>
    <col min="13071" max="13071" width="9.109375"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73.7773437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28" style="1628" customWidth="1"/>
    <col min="13098" max="13098" width="19.21875" style="1628" customWidth="1"/>
    <col min="13099" max="13100" width="23" style="1628" customWidth="1"/>
    <col min="13101" max="13101" width="9" style="1628" customWidth="1"/>
    <col min="13102" max="13312" width="8.88671875" style="1628"/>
    <col min="13313" max="13313" width="112.88671875" style="1628" customWidth="1"/>
    <col min="13314" max="13314" width="7.109375" style="1628" customWidth="1"/>
    <col min="13315" max="13315" width="15.88671875" style="1628" customWidth="1"/>
    <col min="13316" max="13316" width="7.109375" style="1628" customWidth="1"/>
    <col min="13317" max="13317" width="5.21875" style="1628" customWidth="1"/>
    <col min="13318" max="13318" width="112.88671875" style="1628" customWidth="1"/>
    <col min="13319" max="13319" width="9" style="1628" customWidth="1"/>
    <col min="13320" max="13320" width="15.33203125" style="1628" customWidth="1"/>
    <col min="13321" max="13321" width="33.6640625" style="1628" customWidth="1"/>
    <col min="13322" max="13323" width="15.88671875" style="1628" customWidth="1"/>
    <col min="13324" max="13324" width="27.44140625" style="1628" customWidth="1"/>
    <col min="13325" max="13326" width="9" style="1628" customWidth="1"/>
    <col min="13327" max="13327" width="9.109375"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73.7773437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28" style="1628" customWidth="1"/>
    <col min="13354" max="13354" width="19.21875" style="1628" customWidth="1"/>
    <col min="13355" max="13356" width="23" style="1628" customWidth="1"/>
    <col min="13357" max="13357" width="9" style="1628" customWidth="1"/>
    <col min="13358" max="13568" width="8.88671875" style="1628"/>
    <col min="13569" max="13569" width="112.88671875" style="1628" customWidth="1"/>
    <col min="13570" max="13570" width="7.109375" style="1628" customWidth="1"/>
    <col min="13571" max="13571" width="15.88671875" style="1628" customWidth="1"/>
    <col min="13572" max="13572" width="7.109375" style="1628" customWidth="1"/>
    <col min="13573" max="13573" width="5.21875" style="1628" customWidth="1"/>
    <col min="13574" max="13574" width="112.88671875" style="1628" customWidth="1"/>
    <col min="13575" max="13575" width="9" style="1628" customWidth="1"/>
    <col min="13576" max="13576" width="15.33203125" style="1628" customWidth="1"/>
    <col min="13577" max="13577" width="33.6640625" style="1628" customWidth="1"/>
    <col min="13578" max="13579" width="15.88671875" style="1628" customWidth="1"/>
    <col min="13580" max="13580" width="27.44140625" style="1628" customWidth="1"/>
    <col min="13581" max="13582" width="9" style="1628" customWidth="1"/>
    <col min="13583" max="13583" width="9.109375"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73.7773437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28" style="1628" customWidth="1"/>
    <col min="13610" max="13610" width="19.21875" style="1628" customWidth="1"/>
    <col min="13611" max="13612" width="23" style="1628" customWidth="1"/>
    <col min="13613" max="13613" width="9" style="1628" customWidth="1"/>
    <col min="13614" max="13824" width="8.88671875" style="1628"/>
    <col min="13825" max="13825" width="112.88671875" style="1628" customWidth="1"/>
    <col min="13826" max="13826" width="7.109375" style="1628" customWidth="1"/>
    <col min="13827" max="13827" width="15.88671875" style="1628" customWidth="1"/>
    <col min="13828" max="13828" width="7.109375" style="1628" customWidth="1"/>
    <col min="13829" max="13829" width="5.21875" style="1628" customWidth="1"/>
    <col min="13830" max="13830" width="112.88671875" style="1628" customWidth="1"/>
    <col min="13831" max="13831" width="9" style="1628" customWidth="1"/>
    <col min="13832" max="13832" width="15.33203125" style="1628" customWidth="1"/>
    <col min="13833" max="13833" width="33.6640625" style="1628" customWidth="1"/>
    <col min="13834" max="13835" width="15.88671875" style="1628" customWidth="1"/>
    <col min="13836" max="13836" width="27.44140625" style="1628" customWidth="1"/>
    <col min="13837" max="13838" width="9" style="1628" customWidth="1"/>
    <col min="13839" max="13839" width="9.109375"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73.7773437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28" style="1628" customWidth="1"/>
    <col min="13866" max="13866" width="19.21875" style="1628" customWidth="1"/>
    <col min="13867" max="13868" width="23" style="1628" customWidth="1"/>
    <col min="13869" max="13869" width="9" style="1628" customWidth="1"/>
    <col min="13870" max="14080" width="8.88671875" style="1628"/>
    <col min="14081" max="14081" width="112.88671875" style="1628" customWidth="1"/>
    <col min="14082" max="14082" width="7.109375" style="1628" customWidth="1"/>
    <col min="14083" max="14083" width="15.88671875" style="1628" customWidth="1"/>
    <col min="14084" max="14084" width="7.109375" style="1628" customWidth="1"/>
    <col min="14085" max="14085" width="5.21875" style="1628" customWidth="1"/>
    <col min="14086" max="14086" width="112.88671875" style="1628" customWidth="1"/>
    <col min="14087" max="14087" width="9" style="1628" customWidth="1"/>
    <col min="14088" max="14088" width="15.33203125" style="1628" customWidth="1"/>
    <col min="14089" max="14089" width="33.6640625" style="1628" customWidth="1"/>
    <col min="14090" max="14091" width="15.88671875" style="1628" customWidth="1"/>
    <col min="14092" max="14092" width="27.44140625" style="1628" customWidth="1"/>
    <col min="14093" max="14094" width="9" style="1628" customWidth="1"/>
    <col min="14095" max="14095" width="9.109375"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73.7773437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28" style="1628" customWidth="1"/>
    <col min="14122" max="14122" width="19.21875" style="1628" customWidth="1"/>
    <col min="14123" max="14124" width="23" style="1628" customWidth="1"/>
    <col min="14125" max="14125" width="9" style="1628" customWidth="1"/>
    <col min="14126" max="14336" width="8.88671875" style="1628"/>
    <col min="14337" max="14337" width="112.88671875" style="1628" customWidth="1"/>
    <col min="14338" max="14338" width="7.109375" style="1628" customWidth="1"/>
    <col min="14339" max="14339" width="15.88671875" style="1628" customWidth="1"/>
    <col min="14340" max="14340" width="7.109375" style="1628" customWidth="1"/>
    <col min="14341" max="14341" width="5.21875" style="1628" customWidth="1"/>
    <col min="14342" max="14342" width="112.88671875" style="1628" customWidth="1"/>
    <col min="14343" max="14343" width="9" style="1628" customWidth="1"/>
    <col min="14344" max="14344" width="15.33203125" style="1628" customWidth="1"/>
    <col min="14345" max="14345" width="33.6640625" style="1628" customWidth="1"/>
    <col min="14346" max="14347" width="15.88671875" style="1628" customWidth="1"/>
    <col min="14348" max="14348" width="27.44140625" style="1628" customWidth="1"/>
    <col min="14349" max="14350" width="9" style="1628" customWidth="1"/>
    <col min="14351" max="14351" width="9.109375"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73.7773437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28" style="1628" customWidth="1"/>
    <col min="14378" max="14378" width="19.21875" style="1628" customWidth="1"/>
    <col min="14379" max="14380" width="23" style="1628" customWidth="1"/>
    <col min="14381" max="14381" width="9" style="1628" customWidth="1"/>
    <col min="14382" max="14592" width="8.88671875" style="1628"/>
    <col min="14593" max="14593" width="112.88671875" style="1628" customWidth="1"/>
    <col min="14594" max="14594" width="7.109375" style="1628" customWidth="1"/>
    <col min="14595" max="14595" width="15.88671875" style="1628" customWidth="1"/>
    <col min="14596" max="14596" width="7.109375" style="1628" customWidth="1"/>
    <col min="14597" max="14597" width="5.21875" style="1628" customWidth="1"/>
    <col min="14598" max="14598" width="112.88671875" style="1628" customWidth="1"/>
    <col min="14599" max="14599" width="9" style="1628" customWidth="1"/>
    <col min="14600" max="14600" width="15.33203125" style="1628" customWidth="1"/>
    <col min="14601" max="14601" width="33.6640625" style="1628" customWidth="1"/>
    <col min="14602" max="14603" width="15.88671875" style="1628" customWidth="1"/>
    <col min="14604" max="14604" width="27.44140625" style="1628" customWidth="1"/>
    <col min="14605" max="14606" width="9" style="1628" customWidth="1"/>
    <col min="14607" max="14607" width="9.109375"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73.7773437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28" style="1628" customWidth="1"/>
    <col min="14634" max="14634" width="19.21875" style="1628" customWidth="1"/>
    <col min="14635" max="14636" width="23" style="1628" customWidth="1"/>
    <col min="14637" max="14637" width="9" style="1628" customWidth="1"/>
    <col min="14638" max="14848" width="8.88671875" style="1628"/>
    <col min="14849" max="14849" width="112.88671875" style="1628" customWidth="1"/>
    <col min="14850" max="14850" width="7.109375" style="1628" customWidth="1"/>
    <col min="14851" max="14851" width="15.88671875" style="1628" customWidth="1"/>
    <col min="14852" max="14852" width="7.109375" style="1628" customWidth="1"/>
    <col min="14853" max="14853" width="5.21875" style="1628" customWidth="1"/>
    <col min="14854" max="14854" width="112.88671875" style="1628" customWidth="1"/>
    <col min="14855" max="14855" width="9" style="1628" customWidth="1"/>
    <col min="14856" max="14856" width="15.33203125" style="1628" customWidth="1"/>
    <col min="14857" max="14857" width="33.6640625" style="1628" customWidth="1"/>
    <col min="14858" max="14859" width="15.88671875" style="1628" customWidth="1"/>
    <col min="14860" max="14860" width="27.44140625" style="1628" customWidth="1"/>
    <col min="14861" max="14862" width="9" style="1628" customWidth="1"/>
    <col min="14863" max="14863" width="9.109375"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73.7773437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28" style="1628" customWidth="1"/>
    <col min="14890" max="14890" width="19.21875" style="1628" customWidth="1"/>
    <col min="14891" max="14892" width="23" style="1628" customWidth="1"/>
    <col min="14893" max="14893" width="9" style="1628" customWidth="1"/>
    <col min="14894" max="15104" width="8.88671875" style="1628"/>
    <col min="15105" max="15105" width="112.88671875" style="1628" customWidth="1"/>
    <col min="15106" max="15106" width="7.109375" style="1628" customWidth="1"/>
    <col min="15107" max="15107" width="15.88671875" style="1628" customWidth="1"/>
    <col min="15108" max="15108" width="7.109375" style="1628" customWidth="1"/>
    <col min="15109" max="15109" width="5.21875" style="1628" customWidth="1"/>
    <col min="15110" max="15110" width="112.88671875" style="1628" customWidth="1"/>
    <col min="15111" max="15111" width="9" style="1628" customWidth="1"/>
    <col min="15112" max="15112" width="15.33203125" style="1628" customWidth="1"/>
    <col min="15113" max="15113" width="33.6640625" style="1628" customWidth="1"/>
    <col min="15114" max="15115" width="15.88671875" style="1628" customWidth="1"/>
    <col min="15116" max="15116" width="27.44140625" style="1628" customWidth="1"/>
    <col min="15117" max="15118" width="9" style="1628" customWidth="1"/>
    <col min="15119" max="15119" width="9.109375"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73.7773437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28" style="1628" customWidth="1"/>
    <col min="15146" max="15146" width="19.21875" style="1628" customWidth="1"/>
    <col min="15147" max="15148" width="23" style="1628" customWidth="1"/>
    <col min="15149" max="15149" width="9" style="1628" customWidth="1"/>
    <col min="15150" max="15360" width="8.88671875" style="1628"/>
    <col min="15361" max="15361" width="112.88671875" style="1628" customWidth="1"/>
    <col min="15362" max="15362" width="7.109375" style="1628" customWidth="1"/>
    <col min="15363" max="15363" width="15.88671875" style="1628" customWidth="1"/>
    <col min="15364" max="15364" width="7.109375" style="1628" customWidth="1"/>
    <col min="15365" max="15365" width="5.21875" style="1628" customWidth="1"/>
    <col min="15366" max="15366" width="112.88671875" style="1628" customWidth="1"/>
    <col min="15367" max="15367" width="9" style="1628" customWidth="1"/>
    <col min="15368" max="15368" width="15.33203125" style="1628" customWidth="1"/>
    <col min="15369" max="15369" width="33.6640625" style="1628" customWidth="1"/>
    <col min="15370" max="15371" width="15.88671875" style="1628" customWidth="1"/>
    <col min="15372" max="15372" width="27.44140625" style="1628" customWidth="1"/>
    <col min="15373" max="15374" width="9" style="1628" customWidth="1"/>
    <col min="15375" max="15375" width="9.109375"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73.7773437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28" style="1628" customWidth="1"/>
    <col min="15402" max="15402" width="19.21875" style="1628" customWidth="1"/>
    <col min="15403" max="15404" width="23" style="1628" customWidth="1"/>
    <col min="15405" max="15405" width="9" style="1628" customWidth="1"/>
    <col min="15406" max="15616" width="8.88671875" style="1628"/>
    <col min="15617" max="15617" width="112.88671875" style="1628" customWidth="1"/>
    <col min="15618" max="15618" width="7.109375" style="1628" customWidth="1"/>
    <col min="15619" max="15619" width="15.88671875" style="1628" customWidth="1"/>
    <col min="15620" max="15620" width="7.109375" style="1628" customWidth="1"/>
    <col min="15621" max="15621" width="5.21875" style="1628" customWidth="1"/>
    <col min="15622" max="15622" width="112.88671875" style="1628" customWidth="1"/>
    <col min="15623" max="15623" width="9" style="1628" customWidth="1"/>
    <col min="15624" max="15624" width="15.33203125" style="1628" customWidth="1"/>
    <col min="15625" max="15625" width="33.6640625" style="1628" customWidth="1"/>
    <col min="15626" max="15627" width="15.88671875" style="1628" customWidth="1"/>
    <col min="15628" max="15628" width="27.44140625" style="1628" customWidth="1"/>
    <col min="15629" max="15630" width="9" style="1628" customWidth="1"/>
    <col min="15631" max="15631" width="9.109375"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73.7773437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28" style="1628" customWidth="1"/>
    <col min="15658" max="15658" width="19.21875" style="1628" customWidth="1"/>
    <col min="15659" max="15660" width="23" style="1628" customWidth="1"/>
    <col min="15661" max="15661" width="9" style="1628" customWidth="1"/>
    <col min="15662" max="15872" width="8.88671875" style="1628"/>
    <col min="15873" max="15873" width="112.88671875" style="1628" customWidth="1"/>
    <col min="15874" max="15874" width="7.109375" style="1628" customWidth="1"/>
    <col min="15875" max="15875" width="15.88671875" style="1628" customWidth="1"/>
    <col min="15876" max="15876" width="7.109375" style="1628" customWidth="1"/>
    <col min="15877" max="15877" width="5.21875" style="1628" customWidth="1"/>
    <col min="15878" max="15878" width="112.88671875" style="1628" customWidth="1"/>
    <col min="15879" max="15879" width="9" style="1628" customWidth="1"/>
    <col min="15880" max="15880" width="15.33203125" style="1628" customWidth="1"/>
    <col min="15881" max="15881" width="33.6640625" style="1628" customWidth="1"/>
    <col min="15882" max="15883" width="15.88671875" style="1628" customWidth="1"/>
    <col min="15884" max="15884" width="27.44140625" style="1628" customWidth="1"/>
    <col min="15885" max="15886" width="9" style="1628" customWidth="1"/>
    <col min="15887" max="15887" width="9.109375"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73.7773437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28" style="1628" customWidth="1"/>
    <col min="15914" max="15914" width="19.21875" style="1628" customWidth="1"/>
    <col min="15915" max="15916" width="23" style="1628" customWidth="1"/>
    <col min="15917" max="15917" width="9" style="1628" customWidth="1"/>
    <col min="15918" max="16128" width="8.88671875" style="1628"/>
    <col min="16129" max="16129" width="112.88671875" style="1628" customWidth="1"/>
    <col min="16130" max="16130" width="7.109375" style="1628" customWidth="1"/>
    <col min="16131" max="16131" width="15.88671875" style="1628" customWidth="1"/>
    <col min="16132" max="16132" width="7.109375" style="1628" customWidth="1"/>
    <col min="16133" max="16133" width="5.21875" style="1628" customWidth="1"/>
    <col min="16134" max="16134" width="112.88671875" style="1628" customWidth="1"/>
    <col min="16135" max="16135" width="9" style="1628" customWidth="1"/>
    <col min="16136" max="16136" width="15.33203125" style="1628" customWidth="1"/>
    <col min="16137" max="16137" width="33.6640625" style="1628" customWidth="1"/>
    <col min="16138" max="16139" width="15.88671875" style="1628" customWidth="1"/>
    <col min="16140" max="16140" width="27.44140625" style="1628" customWidth="1"/>
    <col min="16141" max="16142" width="9" style="1628" customWidth="1"/>
    <col min="16143" max="16143" width="9.109375"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73.7773437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28"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c r="AS1" s="1628" t="s">
        <v>3121</v>
      </c>
    </row>
    <row r="2" spans="1:45">
      <c r="A2" s="1628" t="s">
        <v>3122</v>
      </c>
      <c r="B2" s="1628" t="s">
        <v>3123</v>
      </c>
      <c r="C2" s="1628" t="s">
        <v>3124</v>
      </c>
      <c r="D2" s="1628" t="s">
        <v>3125</v>
      </c>
      <c r="E2" s="1628" t="s">
        <v>1327</v>
      </c>
      <c r="F2" s="1628" t="s">
        <v>3122</v>
      </c>
      <c r="G2" s="1628" t="s">
        <v>3126</v>
      </c>
      <c r="H2" s="1628" t="s">
        <v>3127</v>
      </c>
      <c r="I2" s="1628" t="s">
        <v>3128</v>
      </c>
      <c r="J2" s="1628">
        <v>90959</v>
      </c>
      <c r="K2" s="1628">
        <v>272877</v>
      </c>
      <c r="L2" s="1628" t="s">
        <v>3129</v>
      </c>
      <c r="M2" s="1628" t="s">
        <v>1327</v>
      </c>
      <c r="N2" s="1628" t="s">
        <v>1327</v>
      </c>
      <c r="O2" s="1628" t="s">
        <v>1327</v>
      </c>
      <c r="P2" s="1628" t="s">
        <v>1327</v>
      </c>
      <c r="Q2" s="1628" t="s">
        <v>1327</v>
      </c>
      <c r="R2" s="1628" t="s">
        <v>1327</v>
      </c>
      <c r="S2" s="1628" t="s">
        <v>1327</v>
      </c>
      <c r="T2" s="1628" t="s">
        <v>1327</v>
      </c>
      <c r="U2" s="1628" t="s">
        <v>1327</v>
      </c>
      <c r="V2" s="1628" t="s">
        <v>1327</v>
      </c>
      <c r="W2" s="1628" t="s">
        <v>3130</v>
      </c>
      <c r="X2" s="1628" t="s">
        <v>3131</v>
      </c>
      <c r="Y2" s="1628" t="s">
        <v>3132</v>
      </c>
      <c r="Z2" s="1628" t="s">
        <v>3132</v>
      </c>
      <c r="AA2" s="1628" t="s">
        <v>3132</v>
      </c>
      <c r="AB2" s="1628" t="s">
        <v>3133</v>
      </c>
      <c r="AC2" s="1628" t="s">
        <v>3134</v>
      </c>
      <c r="AD2" s="1628" t="s">
        <v>3135</v>
      </c>
      <c r="AE2" s="1628">
        <v>15000</v>
      </c>
      <c r="AF2" s="1628">
        <v>75000</v>
      </c>
      <c r="AG2" s="1628">
        <v>88000</v>
      </c>
      <c r="AH2" s="1628">
        <v>549.70000000000005</v>
      </c>
      <c r="AI2" s="1628">
        <v>644.98</v>
      </c>
      <c r="AJ2" s="1628">
        <v>2748.49</v>
      </c>
      <c r="AK2" s="1628">
        <v>3224.9</v>
      </c>
      <c r="AL2" s="1628" t="s">
        <v>1327</v>
      </c>
      <c r="AM2" s="1628" t="s">
        <v>1327</v>
      </c>
      <c r="AN2" s="1628">
        <v>17.329999999999998</v>
      </c>
      <c r="AO2" s="1628" t="s">
        <v>3136</v>
      </c>
      <c r="AP2" s="1628" t="s">
        <v>1327</v>
      </c>
      <c r="AQ2" s="1628" t="s">
        <v>1327</v>
      </c>
      <c r="AR2" s="1628" t="s">
        <v>1327</v>
      </c>
      <c r="AS2" s="1628" t="s">
        <v>3137</v>
      </c>
    </row>
    <row r="3" spans="1:45">
      <c r="A3" s="1628" t="s">
        <v>3138</v>
      </c>
      <c r="B3" s="1628" t="s">
        <v>3123</v>
      </c>
      <c r="C3" s="1628" t="s">
        <v>3124</v>
      </c>
      <c r="D3" s="1628" t="s">
        <v>3125</v>
      </c>
      <c r="E3" s="1628" t="s">
        <v>1327</v>
      </c>
      <c r="F3" s="1628" t="s">
        <v>3138</v>
      </c>
      <c r="G3" s="1628" t="s">
        <v>3126</v>
      </c>
      <c r="H3" s="1628" t="s">
        <v>3139</v>
      </c>
      <c r="I3" s="1628" t="s">
        <v>3128</v>
      </c>
      <c r="J3" s="1628">
        <v>77590</v>
      </c>
      <c r="K3" s="1628">
        <v>93108</v>
      </c>
      <c r="L3" s="1628" t="s">
        <v>3140</v>
      </c>
      <c r="M3" s="1628" t="s">
        <v>1327</v>
      </c>
      <c r="N3" s="1628" t="s">
        <v>1327</v>
      </c>
      <c r="O3" s="1628" t="s">
        <v>1327</v>
      </c>
      <c r="P3" s="1628" t="s">
        <v>1327</v>
      </c>
      <c r="Q3" s="1628" t="s">
        <v>1327</v>
      </c>
      <c r="R3" s="1628" t="s">
        <v>1327</v>
      </c>
      <c r="S3" s="1628" t="s">
        <v>1327</v>
      </c>
      <c r="T3" s="1628" t="s">
        <v>1327</v>
      </c>
      <c r="U3" s="1628" t="s">
        <v>1327</v>
      </c>
      <c r="V3" s="1628" t="s">
        <v>1327</v>
      </c>
      <c r="W3" s="1628" t="s">
        <v>3130</v>
      </c>
      <c r="X3" s="1628" t="s">
        <v>3131</v>
      </c>
      <c r="Y3" s="1628" t="s">
        <v>3141</v>
      </c>
      <c r="Z3" s="1628" t="s">
        <v>3141</v>
      </c>
      <c r="AA3" s="1628" t="s">
        <v>3141</v>
      </c>
      <c r="AB3" s="1628" t="s">
        <v>3142</v>
      </c>
      <c r="AC3" s="1628" t="s">
        <v>3134</v>
      </c>
      <c r="AD3" s="1628" t="s">
        <v>3143</v>
      </c>
      <c r="AE3" s="1628">
        <v>10213.200000000001</v>
      </c>
      <c r="AF3" s="1628">
        <v>51066</v>
      </c>
      <c r="AG3" s="1628">
        <v>51100</v>
      </c>
      <c r="AH3" s="1628">
        <v>438.77</v>
      </c>
      <c r="AI3" s="1628">
        <v>439.06</v>
      </c>
      <c r="AJ3" s="1628">
        <v>5484.59</v>
      </c>
      <c r="AK3" s="1628">
        <v>5488.25</v>
      </c>
      <c r="AL3" s="1628" t="s">
        <v>1327</v>
      </c>
      <c r="AM3" s="1628" t="s">
        <v>1327</v>
      </c>
      <c r="AN3" s="1628">
        <v>7.0000000000000007E-2</v>
      </c>
      <c r="AO3" s="1628" t="s">
        <v>3136</v>
      </c>
      <c r="AP3" s="1628" t="s">
        <v>1327</v>
      </c>
      <c r="AQ3" s="1628" t="s">
        <v>1327</v>
      </c>
      <c r="AR3" s="1628" t="s">
        <v>1327</v>
      </c>
      <c r="AS3" s="1628" t="s">
        <v>3144</v>
      </c>
    </row>
    <row r="4" spans="1:45" s="2961" customFormat="1">
      <c r="A4" s="2961" t="s">
        <v>3145</v>
      </c>
      <c r="B4" s="2961" t="s">
        <v>3123</v>
      </c>
      <c r="C4" s="2961" t="s">
        <v>3124</v>
      </c>
      <c r="D4" s="2961" t="s">
        <v>3125</v>
      </c>
      <c r="E4" s="2961" t="s">
        <v>1327</v>
      </c>
      <c r="F4" s="2961" t="s">
        <v>3145</v>
      </c>
      <c r="G4" s="2961" t="s">
        <v>3126</v>
      </c>
      <c r="H4" s="2961" t="s">
        <v>3146</v>
      </c>
      <c r="I4" s="2961" t="s">
        <v>3128</v>
      </c>
      <c r="J4" s="2961">
        <v>36122</v>
      </c>
      <c r="K4" s="2961">
        <v>65019.6</v>
      </c>
      <c r="L4" s="2961" t="s">
        <v>3147</v>
      </c>
      <c r="M4" s="2961" t="s">
        <v>1327</v>
      </c>
      <c r="N4" s="2961" t="s">
        <v>1327</v>
      </c>
      <c r="O4" s="2961" t="s">
        <v>1327</v>
      </c>
      <c r="P4" s="2961" t="s">
        <v>1327</v>
      </c>
      <c r="Q4" s="2961" t="s">
        <v>1327</v>
      </c>
      <c r="R4" s="2961" t="s">
        <v>1327</v>
      </c>
      <c r="S4" s="2961" t="s">
        <v>1327</v>
      </c>
      <c r="T4" s="2961" t="s">
        <v>1327</v>
      </c>
      <c r="U4" s="2961" t="s">
        <v>1327</v>
      </c>
      <c r="V4" s="2961" t="s">
        <v>1327</v>
      </c>
      <c r="W4" s="2961" t="s">
        <v>3130</v>
      </c>
      <c r="X4" s="2961" t="s">
        <v>3148</v>
      </c>
      <c r="Y4" s="2961" t="s">
        <v>3149</v>
      </c>
      <c r="Z4" s="2961" t="s">
        <v>3149</v>
      </c>
      <c r="AA4" s="2961" t="s">
        <v>3149</v>
      </c>
      <c r="AB4" s="2961" t="s">
        <v>3150</v>
      </c>
      <c r="AC4" s="2961" t="s">
        <v>3134</v>
      </c>
      <c r="AD4" s="2961" t="s">
        <v>3151</v>
      </c>
      <c r="AE4" s="2961">
        <v>4440</v>
      </c>
      <c r="AF4" s="2961">
        <v>22200</v>
      </c>
      <c r="AG4" s="2961">
        <v>27500</v>
      </c>
      <c r="AH4" s="2961">
        <v>409.72</v>
      </c>
      <c r="AI4" s="2961">
        <v>507.54</v>
      </c>
      <c r="AJ4" s="2961">
        <v>3414.35</v>
      </c>
      <c r="AK4" s="2961">
        <v>4229.4799999999996</v>
      </c>
      <c r="AL4" s="2961" t="s">
        <v>1327</v>
      </c>
      <c r="AM4" s="2961" t="s">
        <v>1327</v>
      </c>
      <c r="AN4" s="2961">
        <v>23.87</v>
      </c>
      <c r="AO4" s="2961" t="s">
        <v>3136</v>
      </c>
      <c r="AP4" s="2961" t="s">
        <v>1327</v>
      </c>
      <c r="AQ4" s="2961" t="s">
        <v>1327</v>
      </c>
      <c r="AR4" s="2961" t="s">
        <v>1327</v>
      </c>
      <c r="AS4" s="2961" t="s">
        <v>3152</v>
      </c>
    </row>
    <row r="5" spans="1:45">
      <c r="A5" s="1628" t="s">
        <v>3153</v>
      </c>
      <c r="B5" s="1628" t="s">
        <v>3123</v>
      </c>
      <c r="C5" s="1628" t="s">
        <v>3124</v>
      </c>
      <c r="D5" s="1628" t="s">
        <v>3125</v>
      </c>
      <c r="E5" s="1628" t="s">
        <v>1327</v>
      </c>
      <c r="F5" s="1628" t="s">
        <v>3153</v>
      </c>
      <c r="G5" s="1628" t="s">
        <v>3126</v>
      </c>
      <c r="H5" s="1628" t="s">
        <v>3154</v>
      </c>
      <c r="I5" s="1628" t="s">
        <v>3128</v>
      </c>
      <c r="J5" s="1628">
        <v>28566</v>
      </c>
      <c r="K5" s="1628">
        <v>28851.66</v>
      </c>
      <c r="L5" s="1628" t="s">
        <v>3155</v>
      </c>
      <c r="M5" s="1628" t="s">
        <v>1327</v>
      </c>
      <c r="N5" s="1628" t="s">
        <v>1327</v>
      </c>
      <c r="O5" s="1628" t="s">
        <v>1327</v>
      </c>
      <c r="P5" s="1628" t="s">
        <v>1327</v>
      </c>
      <c r="Q5" s="1628" t="s">
        <v>1327</v>
      </c>
      <c r="R5" s="1628" t="s">
        <v>1327</v>
      </c>
      <c r="S5" s="1628" t="s">
        <v>1327</v>
      </c>
      <c r="T5" s="1628" t="s">
        <v>1327</v>
      </c>
      <c r="U5" s="1628" t="s">
        <v>1327</v>
      </c>
      <c r="V5" s="1628" t="s">
        <v>1327</v>
      </c>
      <c r="W5" s="1628" t="s">
        <v>3130</v>
      </c>
      <c r="X5" s="1628" t="s">
        <v>3156</v>
      </c>
      <c r="Y5" s="1628" t="s">
        <v>3157</v>
      </c>
      <c r="Z5" s="1628" t="s">
        <v>3157</v>
      </c>
      <c r="AA5" s="1628" t="s">
        <v>3157</v>
      </c>
      <c r="AB5" s="1628" t="s">
        <v>3158</v>
      </c>
      <c r="AC5" s="1628" t="s">
        <v>3134</v>
      </c>
      <c r="AD5" s="1628" t="s">
        <v>3159</v>
      </c>
      <c r="AE5" s="1628">
        <v>778.2</v>
      </c>
      <c r="AF5" s="1628">
        <v>3891</v>
      </c>
      <c r="AG5" s="1628">
        <v>3891</v>
      </c>
      <c r="AH5" s="1628">
        <v>90.81</v>
      </c>
      <c r="AI5" s="1628">
        <v>90.81</v>
      </c>
      <c r="AJ5" s="1628">
        <v>1348.62</v>
      </c>
      <c r="AK5" s="1628">
        <v>1348.61</v>
      </c>
      <c r="AL5" s="1628" t="s">
        <v>1327</v>
      </c>
      <c r="AM5" s="1628" t="s">
        <v>1327</v>
      </c>
      <c r="AN5" s="1628">
        <v>0</v>
      </c>
      <c r="AO5" s="1628" t="s">
        <v>3136</v>
      </c>
      <c r="AP5" s="1628" t="s">
        <v>1327</v>
      </c>
      <c r="AQ5" s="1628" t="s">
        <v>1327</v>
      </c>
      <c r="AR5" s="1628" t="s">
        <v>1327</v>
      </c>
      <c r="AS5" s="1628" t="s">
        <v>3160</v>
      </c>
    </row>
    <row r="6" spans="1:45" s="2961" customFormat="1">
      <c r="A6" s="2961" t="s">
        <v>3161</v>
      </c>
      <c r="B6" s="2961" t="s">
        <v>3123</v>
      </c>
      <c r="C6" s="2961" t="s">
        <v>3124</v>
      </c>
      <c r="D6" s="2961" t="s">
        <v>3125</v>
      </c>
      <c r="E6" s="2961" t="s">
        <v>1327</v>
      </c>
      <c r="F6" s="2961" t="s">
        <v>3161</v>
      </c>
      <c r="G6" s="2961" t="s">
        <v>3126</v>
      </c>
      <c r="H6" s="2961" t="s">
        <v>3162</v>
      </c>
      <c r="I6" s="2961" t="s">
        <v>3128</v>
      </c>
      <c r="J6" s="2961">
        <v>54466</v>
      </c>
      <c r="K6" s="2961">
        <v>98038.8</v>
      </c>
      <c r="L6" s="2961" t="s">
        <v>3163</v>
      </c>
      <c r="M6" s="2961" t="s">
        <v>1327</v>
      </c>
      <c r="N6" s="2961" t="s">
        <v>1327</v>
      </c>
      <c r="O6" s="2961" t="s">
        <v>1327</v>
      </c>
      <c r="P6" s="2961" t="s">
        <v>1327</v>
      </c>
      <c r="Q6" s="2961" t="s">
        <v>1327</v>
      </c>
      <c r="R6" s="2961" t="s">
        <v>1327</v>
      </c>
      <c r="S6" s="2961" t="s">
        <v>1327</v>
      </c>
      <c r="T6" s="2961" t="s">
        <v>1327</v>
      </c>
      <c r="U6" s="2961" t="s">
        <v>1327</v>
      </c>
      <c r="V6" s="2961" t="s">
        <v>1327</v>
      </c>
      <c r="W6" s="2961" t="s">
        <v>3130</v>
      </c>
      <c r="X6" s="2961" t="s">
        <v>3164</v>
      </c>
      <c r="Y6" s="2961" t="s">
        <v>3165</v>
      </c>
      <c r="Z6" s="2961" t="s">
        <v>3165</v>
      </c>
      <c r="AA6" s="2961" t="s">
        <v>3165</v>
      </c>
      <c r="AB6" s="2961" t="s">
        <v>3166</v>
      </c>
      <c r="AC6" s="2961" t="s">
        <v>3134</v>
      </c>
      <c r="AD6" s="2961" t="s">
        <v>3167</v>
      </c>
      <c r="AE6" s="2961">
        <v>9200</v>
      </c>
      <c r="AF6" s="2961">
        <v>46000</v>
      </c>
      <c r="AG6" s="2961">
        <v>50300</v>
      </c>
      <c r="AH6" s="2961">
        <v>563.04</v>
      </c>
      <c r="AI6" s="2961">
        <v>615.66999999999996</v>
      </c>
      <c r="AJ6" s="2961">
        <v>4692.0200000000004</v>
      </c>
      <c r="AK6" s="2961">
        <v>5130.6099999999997</v>
      </c>
      <c r="AL6" s="2961" t="s">
        <v>1327</v>
      </c>
      <c r="AM6" s="2961" t="s">
        <v>1327</v>
      </c>
      <c r="AN6" s="2961">
        <v>9.35</v>
      </c>
      <c r="AO6" s="2961" t="s">
        <v>3136</v>
      </c>
      <c r="AP6" s="2961" t="s">
        <v>1327</v>
      </c>
      <c r="AQ6" s="2961" t="s">
        <v>1327</v>
      </c>
      <c r="AR6" s="2961" t="s">
        <v>1327</v>
      </c>
      <c r="AS6" s="2961" t="s">
        <v>3152</v>
      </c>
    </row>
    <row r="7" spans="1:45">
      <c r="A7" s="1628" t="s">
        <v>3168</v>
      </c>
      <c r="B7" s="1628" t="s">
        <v>3123</v>
      </c>
      <c r="C7" s="1628" t="s">
        <v>3124</v>
      </c>
      <c r="D7" s="1628" t="s">
        <v>3125</v>
      </c>
      <c r="E7" s="1628" t="s">
        <v>1327</v>
      </c>
      <c r="F7" s="1628" t="s">
        <v>3168</v>
      </c>
      <c r="G7" s="1628" t="s">
        <v>3126</v>
      </c>
      <c r="H7" s="1628" t="s">
        <v>3169</v>
      </c>
      <c r="I7" s="1628" t="s">
        <v>3128</v>
      </c>
      <c r="J7" s="1628">
        <v>48508</v>
      </c>
      <c r="K7" s="1628">
        <v>82463.600000000006</v>
      </c>
      <c r="L7" s="1628" t="s">
        <v>3170</v>
      </c>
      <c r="M7" s="1628" t="s">
        <v>1327</v>
      </c>
      <c r="N7" s="1628" t="s">
        <v>1327</v>
      </c>
      <c r="O7" s="1628" t="s">
        <v>1327</v>
      </c>
      <c r="P7" s="1628" t="s">
        <v>1327</v>
      </c>
      <c r="Q7" s="1628" t="s">
        <v>1327</v>
      </c>
      <c r="R7" s="1628" t="s">
        <v>1327</v>
      </c>
      <c r="S7" s="1628" t="s">
        <v>1327</v>
      </c>
      <c r="T7" s="1628" t="s">
        <v>1327</v>
      </c>
      <c r="U7" s="1628" t="s">
        <v>1327</v>
      </c>
      <c r="V7" s="1628" t="s">
        <v>1327</v>
      </c>
      <c r="W7" s="1628" t="s">
        <v>3130</v>
      </c>
      <c r="X7" s="1628" t="s">
        <v>3164</v>
      </c>
      <c r="Y7" s="1628" t="s">
        <v>3165</v>
      </c>
      <c r="Z7" s="1628" t="s">
        <v>3165</v>
      </c>
      <c r="AA7" s="1628" t="s">
        <v>3165</v>
      </c>
      <c r="AB7" s="1628" t="s">
        <v>3171</v>
      </c>
      <c r="AC7" s="1628" t="s">
        <v>3134</v>
      </c>
      <c r="AD7" s="1628" t="s">
        <v>3172</v>
      </c>
      <c r="AE7" s="1628">
        <v>9000</v>
      </c>
      <c r="AF7" s="1628">
        <v>45000</v>
      </c>
      <c r="AG7" s="1628">
        <v>45000</v>
      </c>
      <c r="AH7" s="1628">
        <v>618.45000000000005</v>
      </c>
      <c r="AI7" s="1628">
        <v>618.45000000000005</v>
      </c>
      <c r="AJ7" s="1628">
        <v>5456.95</v>
      </c>
      <c r="AK7" s="1628">
        <v>5456.94</v>
      </c>
      <c r="AL7" s="1628" t="s">
        <v>1327</v>
      </c>
      <c r="AM7" s="1628" t="s">
        <v>1327</v>
      </c>
      <c r="AN7" s="1628">
        <v>0</v>
      </c>
      <c r="AO7" s="1628" t="s">
        <v>3136</v>
      </c>
      <c r="AP7" s="1628" t="s">
        <v>1327</v>
      </c>
      <c r="AQ7" s="1628" t="s">
        <v>1327</v>
      </c>
      <c r="AR7" s="1628" t="s">
        <v>1327</v>
      </c>
      <c r="AS7" s="1628" t="s">
        <v>3152</v>
      </c>
    </row>
    <row r="8" spans="1:45">
      <c r="A8" s="1628" t="s">
        <v>3173</v>
      </c>
      <c r="B8" s="1628" t="s">
        <v>3123</v>
      </c>
      <c r="C8" s="1628" t="s">
        <v>3124</v>
      </c>
      <c r="D8" s="1628" t="s">
        <v>3125</v>
      </c>
      <c r="E8" s="1628" t="s">
        <v>1327</v>
      </c>
      <c r="F8" s="1628" t="s">
        <v>3173</v>
      </c>
      <c r="G8" s="1628" t="s">
        <v>3126</v>
      </c>
      <c r="H8" s="1628" t="s">
        <v>3174</v>
      </c>
      <c r="I8" s="1628" t="s">
        <v>3128</v>
      </c>
      <c r="J8" s="1628">
        <v>77425</v>
      </c>
      <c r="K8" s="1628">
        <v>162592.5</v>
      </c>
      <c r="L8" s="1628" t="s">
        <v>3175</v>
      </c>
      <c r="M8" s="1628" t="s">
        <v>1327</v>
      </c>
      <c r="N8" s="1628" t="s">
        <v>1327</v>
      </c>
      <c r="O8" s="1628" t="s">
        <v>1327</v>
      </c>
      <c r="P8" s="1628" t="s">
        <v>1327</v>
      </c>
      <c r="Q8" s="1628" t="s">
        <v>1327</v>
      </c>
      <c r="R8" s="1628" t="s">
        <v>1327</v>
      </c>
      <c r="S8" s="1628" t="s">
        <v>1327</v>
      </c>
      <c r="T8" s="1628" t="s">
        <v>1327</v>
      </c>
      <c r="U8" s="1628" t="s">
        <v>1327</v>
      </c>
      <c r="V8" s="1628" t="s">
        <v>1327</v>
      </c>
      <c r="W8" s="1628" t="s">
        <v>3130</v>
      </c>
      <c r="X8" s="1628" t="s">
        <v>3176</v>
      </c>
      <c r="Y8" s="1628" t="s">
        <v>3177</v>
      </c>
      <c r="Z8" s="1628" t="s">
        <v>3177</v>
      </c>
      <c r="AA8" s="1628" t="s">
        <v>3177</v>
      </c>
      <c r="AB8" s="1628" t="s">
        <v>3178</v>
      </c>
      <c r="AC8" s="1628" t="s">
        <v>3134</v>
      </c>
      <c r="AD8" s="1628" t="s">
        <v>3179</v>
      </c>
      <c r="AE8" s="1628">
        <v>11512</v>
      </c>
      <c r="AF8" s="1628">
        <v>57560</v>
      </c>
      <c r="AG8" s="1628">
        <v>57660</v>
      </c>
      <c r="AH8" s="1628">
        <v>495.62</v>
      </c>
      <c r="AI8" s="1628">
        <v>496.48</v>
      </c>
      <c r="AJ8" s="1628">
        <v>3540.13</v>
      </c>
      <c r="AK8" s="1628">
        <v>3546.28</v>
      </c>
      <c r="AL8" s="1628" t="s">
        <v>1327</v>
      </c>
      <c r="AM8" s="1628" t="s">
        <v>1327</v>
      </c>
      <c r="AN8" s="1628">
        <v>0.17</v>
      </c>
      <c r="AO8" s="1628" t="s">
        <v>3136</v>
      </c>
      <c r="AP8" s="1628" t="s">
        <v>1327</v>
      </c>
      <c r="AQ8" s="1628" t="s">
        <v>1327</v>
      </c>
      <c r="AR8" s="1628" t="s">
        <v>1327</v>
      </c>
      <c r="AS8" s="1628" t="s">
        <v>3152</v>
      </c>
    </row>
    <row r="9" spans="1:45">
      <c r="A9" s="1628" t="s">
        <v>3180</v>
      </c>
      <c r="B9" s="1628" t="s">
        <v>3123</v>
      </c>
      <c r="C9" s="1628" t="s">
        <v>3124</v>
      </c>
      <c r="D9" s="1628" t="s">
        <v>3125</v>
      </c>
      <c r="E9" s="1628" t="s">
        <v>1327</v>
      </c>
      <c r="F9" s="1628" t="s">
        <v>3180</v>
      </c>
      <c r="G9" s="1628" t="s">
        <v>3126</v>
      </c>
      <c r="H9" s="1628" t="s">
        <v>3181</v>
      </c>
      <c r="I9" s="1628" t="s">
        <v>3128</v>
      </c>
      <c r="J9" s="1628">
        <v>56943</v>
      </c>
      <c r="K9" s="1628">
        <v>113886</v>
      </c>
      <c r="L9" s="1628" t="s">
        <v>3182</v>
      </c>
      <c r="M9" s="1628" t="s">
        <v>1327</v>
      </c>
      <c r="N9" s="1628" t="s">
        <v>1327</v>
      </c>
      <c r="O9" s="1628" t="s">
        <v>1327</v>
      </c>
      <c r="P9" s="1628" t="s">
        <v>1327</v>
      </c>
      <c r="Q9" s="1628" t="s">
        <v>1327</v>
      </c>
      <c r="R9" s="1628" t="s">
        <v>1327</v>
      </c>
      <c r="S9" s="1628" t="s">
        <v>1327</v>
      </c>
      <c r="T9" s="1628" t="s">
        <v>1327</v>
      </c>
      <c r="U9" s="1628" t="s">
        <v>1327</v>
      </c>
      <c r="V9" s="1628" t="s">
        <v>1327</v>
      </c>
      <c r="W9" s="1628" t="s">
        <v>3130</v>
      </c>
      <c r="X9" s="1628" t="s">
        <v>3176</v>
      </c>
      <c r="Y9" s="1628" t="s">
        <v>3183</v>
      </c>
      <c r="Z9" s="1628" t="s">
        <v>3183</v>
      </c>
      <c r="AA9" s="1628" t="s">
        <v>3183</v>
      </c>
      <c r="AB9" s="1628" t="s">
        <v>3184</v>
      </c>
      <c r="AC9" s="1628" t="s">
        <v>3134</v>
      </c>
      <c r="AD9" s="1628" t="s">
        <v>3185</v>
      </c>
      <c r="AE9" s="1628">
        <v>34500</v>
      </c>
      <c r="AF9" s="1628">
        <v>69000</v>
      </c>
      <c r="AG9" s="1628">
        <v>69100</v>
      </c>
      <c r="AH9" s="1628">
        <v>807.83</v>
      </c>
      <c r="AI9" s="1628">
        <v>809</v>
      </c>
      <c r="AJ9" s="1628">
        <v>6058.69</v>
      </c>
      <c r="AK9" s="1628">
        <v>6067.47</v>
      </c>
      <c r="AL9" s="1628" t="s">
        <v>1327</v>
      </c>
      <c r="AM9" s="1628" t="s">
        <v>1327</v>
      </c>
      <c r="AN9" s="1628">
        <v>0.14000000000000001</v>
      </c>
      <c r="AO9" s="1628" t="s">
        <v>3136</v>
      </c>
      <c r="AP9" s="1628" t="s">
        <v>1327</v>
      </c>
      <c r="AQ9" s="1628" t="s">
        <v>1327</v>
      </c>
      <c r="AR9" s="1628" t="s">
        <v>1327</v>
      </c>
      <c r="AS9" s="1628" t="s">
        <v>3152</v>
      </c>
    </row>
    <row r="10" spans="1:45">
      <c r="A10" s="1628" t="s">
        <v>3186</v>
      </c>
      <c r="B10" s="1628" t="s">
        <v>3123</v>
      </c>
      <c r="C10" s="1628" t="s">
        <v>3124</v>
      </c>
      <c r="D10" s="1628" t="s">
        <v>3125</v>
      </c>
      <c r="E10" s="1628" t="s">
        <v>1327</v>
      </c>
      <c r="F10" s="1628" t="s">
        <v>3186</v>
      </c>
      <c r="G10" s="1628" t="s">
        <v>3126</v>
      </c>
      <c r="H10" s="1628" t="s">
        <v>3187</v>
      </c>
      <c r="I10" s="1628" t="s">
        <v>3128</v>
      </c>
      <c r="J10" s="1628">
        <v>70277</v>
      </c>
      <c r="K10" s="1628">
        <v>126498.6</v>
      </c>
      <c r="L10" s="1628" t="s">
        <v>3147</v>
      </c>
      <c r="M10" s="1628" t="s">
        <v>1327</v>
      </c>
      <c r="N10" s="1628" t="s">
        <v>1327</v>
      </c>
      <c r="O10" s="1628" t="s">
        <v>1327</v>
      </c>
      <c r="P10" s="1628" t="s">
        <v>1327</v>
      </c>
      <c r="Q10" s="1628" t="s">
        <v>1327</v>
      </c>
      <c r="R10" s="1628" t="s">
        <v>1327</v>
      </c>
      <c r="S10" s="1628" t="s">
        <v>1327</v>
      </c>
      <c r="T10" s="1628" t="s">
        <v>1327</v>
      </c>
      <c r="U10" s="1628" t="s">
        <v>1327</v>
      </c>
      <c r="V10" s="1628" t="s">
        <v>1327</v>
      </c>
      <c r="W10" s="1628" t="s">
        <v>3130</v>
      </c>
      <c r="X10" s="1628" t="s">
        <v>3176</v>
      </c>
      <c r="Y10" s="1628" t="s">
        <v>3183</v>
      </c>
      <c r="Z10" s="1628" t="s">
        <v>3183</v>
      </c>
      <c r="AA10" s="1628" t="s">
        <v>3183</v>
      </c>
      <c r="AB10" s="1628" t="s">
        <v>3188</v>
      </c>
      <c r="AC10" s="1628" t="s">
        <v>3134</v>
      </c>
      <c r="AD10" s="1628" t="s">
        <v>3189</v>
      </c>
      <c r="AE10" s="1628">
        <v>38500</v>
      </c>
      <c r="AF10" s="1628">
        <v>77000</v>
      </c>
      <c r="AG10" s="1628">
        <v>77100</v>
      </c>
      <c r="AH10" s="1628">
        <v>730.44</v>
      </c>
      <c r="AI10" s="1628">
        <v>731.39</v>
      </c>
      <c r="AJ10" s="1628">
        <v>6087.02</v>
      </c>
      <c r="AK10" s="1628">
        <v>6094.93</v>
      </c>
      <c r="AL10" s="1628" t="s">
        <v>1327</v>
      </c>
      <c r="AM10" s="1628" t="s">
        <v>1327</v>
      </c>
      <c r="AN10" s="1628">
        <v>0.13</v>
      </c>
      <c r="AO10" s="1628" t="s">
        <v>3136</v>
      </c>
      <c r="AP10" s="1628" t="s">
        <v>1327</v>
      </c>
      <c r="AQ10" s="1628" t="s">
        <v>1327</v>
      </c>
      <c r="AR10" s="1628" t="s">
        <v>1327</v>
      </c>
      <c r="AS10" s="1628" t="s">
        <v>3137</v>
      </c>
    </row>
    <row r="11" spans="1:45" s="2961" customFormat="1">
      <c r="A11" s="2961" t="s">
        <v>3190</v>
      </c>
      <c r="B11" s="2961" t="s">
        <v>3123</v>
      </c>
      <c r="C11" s="2961" t="s">
        <v>3191</v>
      </c>
      <c r="D11" s="2961" t="s">
        <v>3125</v>
      </c>
      <c r="E11" s="2961" t="s">
        <v>1327</v>
      </c>
      <c r="F11" s="2961" t="s">
        <v>3192</v>
      </c>
      <c r="G11" s="2961" t="s">
        <v>3126</v>
      </c>
      <c r="H11" s="2961" t="s">
        <v>3193</v>
      </c>
      <c r="I11" s="2961" t="s">
        <v>3194</v>
      </c>
      <c r="J11" s="2961">
        <v>33095</v>
      </c>
      <c r="K11" s="2961">
        <v>66190</v>
      </c>
      <c r="L11" s="2961" t="s">
        <v>3195</v>
      </c>
      <c r="M11" s="2961" t="s">
        <v>1327</v>
      </c>
      <c r="N11" s="2961" t="s">
        <v>3196</v>
      </c>
      <c r="O11" s="2961" t="s">
        <v>1327</v>
      </c>
      <c r="P11" s="2961" t="s">
        <v>1327</v>
      </c>
      <c r="Q11" s="2961" t="s">
        <v>1327</v>
      </c>
      <c r="R11" s="2961" t="s">
        <v>1327</v>
      </c>
      <c r="S11" s="2961" t="s">
        <v>1327</v>
      </c>
      <c r="T11" s="2961" t="s">
        <v>1327</v>
      </c>
      <c r="U11" s="2961" t="s">
        <v>1327</v>
      </c>
      <c r="V11" s="2961" t="s">
        <v>1327</v>
      </c>
      <c r="W11" s="2961" t="s">
        <v>3130</v>
      </c>
      <c r="X11" s="2961" t="s">
        <v>3197</v>
      </c>
      <c r="Y11" s="2961" t="s">
        <v>3164</v>
      </c>
      <c r="Z11" s="2961" t="s">
        <v>3164</v>
      </c>
      <c r="AA11" s="2961" t="s">
        <v>3164</v>
      </c>
      <c r="AB11" s="2961" t="s">
        <v>3198</v>
      </c>
      <c r="AC11" s="2961" t="s">
        <v>3134</v>
      </c>
      <c r="AD11" s="2961" t="s">
        <v>3199</v>
      </c>
      <c r="AE11" s="2961">
        <v>5200</v>
      </c>
      <c r="AF11" s="2961">
        <v>26000</v>
      </c>
      <c r="AG11" s="2961">
        <v>32000</v>
      </c>
      <c r="AH11" s="2961">
        <v>523.74</v>
      </c>
      <c r="AI11" s="2961">
        <v>644.61</v>
      </c>
      <c r="AJ11" s="2961">
        <v>3928.08</v>
      </c>
      <c r="AK11" s="2961">
        <v>4834.5600000000004</v>
      </c>
      <c r="AL11" s="2961" t="s">
        <v>1327</v>
      </c>
      <c r="AM11" s="2961" t="s">
        <v>1327</v>
      </c>
      <c r="AN11" s="2961">
        <v>23.08</v>
      </c>
      <c r="AO11" s="2961" t="s">
        <v>3200</v>
      </c>
      <c r="AP11" s="2961" t="s">
        <v>1327</v>
      </c>
      <c r="AQ11" s="2961" t="s">
        <v>1327</v>
      </c>
      <c r="AR11" s="2961" t="s">
        <v>1327</v>
      </c>
      <c r="AS11" s="2961" t="s">
        <v>3137</v>
      </c>
    </row>
    <row r="12" spans="1:45">
      <c r="A12" s="1628" t="s">
        <v>3201</v>
      </c>
      <c r="B12" s="1628" t="s">
        <v>3123</v>
      </c>
      <c r="C12" s="1628" t="s">
        <v>3191</v>
      </c>
      <c r="D12" s="1628" t="s">
        <v>3125</v>
      </c>
      <c r="E12" s="1628" t="s">
        <v>1327</v>
      </c>
      <c r="F12" s="1628" t="s">
        <v>3202</v>
      </c>
      <c r="G12" s="1628" t="s">
        <v>3126</v>
      </c>
      <c r="H12" s="1628" t="s">
        <v>3203</v>
      </c>
      <c r="I12" s="1628" t="s">
        <v>3204</v>
      </c>
      <c r="J12" s="1628">
        <v>25130</v>
      </c>
      <c r="K12" s="1628">
        <v>31412.5</v>
      </c>
      <c r="L12" s="1628" t="s">
        <v>3205</v>
      </c>
      <c r="M12" s="1628" t="s">
        <v>1327</v>
      </c>
      <c r="N12" s="1628" t="s">
        <v>3206</v>
      </c>
      <c r="O12" s="1628" t="s">
        <v>1327</v>
      </c>
      <c r="P12" s="1628" t="s">
        <v>1327</v>
      </c>
      <c r="Q12" s="1628" t="s">
        <v>1327</v>
      </c>
      <c r="R12" s="1628" t="s">
        <v>1327</v>
      </c>
      <c r="S12" s="1628" t="s">
        <v>1327</v>
      </c>
      <c r="T12" s="1628" t="s">
        <v>1327</v>
      </c>
      <c r="U12" s="1628" t="s">
        <v>1327</v>
      </c>
      <c r="V12" s="1628" t="s">
        <v>1327</v>
      </c>
      <c r="W12" s="1628" t="s">
        <v>3130</v>
      </c>
      <c r="X12" s="1628" t="s">
        <v>3207</v>
      </c>
      <c r="Y12" s="1628" t="s">
        <v>3208</v>
      </c>
      <c r="Z12" s="1628" t="s">
        <v>3208</v>
      </c>
      <c r="AA12" s="1628" t="s">
        <v>3208</v>
      </c>
      <c r="AB12" s="1628" t="s">
        <v>3209</v>
      </c>
      <c r="AC12" s="1628" t="s">
        <v>3134</v>
      </c>
      <c r="AD12" s="1628" t="s">
        <v>3210</v>
      </c>
      <c r="AE12" s="1628">
        <v>4400</v>
      </c>
      <c r="AF12" s="1628">
        <v>22000</v>
      </c>
      <c r="AG12" s="1628">
        <v>27100</v>
      </c>
      <c r="AH12" s="1628">
        <v>583.63</v>
      </c>
      <c r="AI12" s="1628">
        <v>718.93</v>
      </c>
      <c r="AJ12" s="1628">
        <v>7003.58</v>
      </c>
      <c r="AK12" s="1628">
        <v>8627.1299999999992</v>
      </c>
      <c r="AL12" s="1628" t="s">
        <v>1327</v>
      </c>
      <c r="AM12" s="1628" t="s">
        <v>1327</v>
      </c>
      <c r="AN12" s="1628">
        <v>23.18</v>
      </c>
      <c r="AO12" s="1628" t="s">
        <v>3211</v>
      </c>
      <c r="AP12" s="1628" t="s">
        <v>1327</v>
      </c>
      <c r="AQ12" s="1628" t="s">
        <v>1327</v>
      </c>
      <c r="AR12" s="1628" t="s">
        <v>1327</v>
      </c>
      <c r="AS12" s="1628" t="s">
        <v>3152</v>
      </c>
    </row>
    <row r="13" spans="1:45">
      <c r="A13" s="1628" t="s">
        <v>3212</v>
      </c>
      <c r="B13" s="1628" t="s">
        <v>3123</v>
      </c>
      <c r="C13" s="1628" t="s">
        <v>3124</v>
      </c>
      <c r="D13" s="1628" t="s">
        <v>3125</v>
      </c>
      <c r="E13" s="1628" t="s">
        <v>1327</v>
      </c>
      <c r="F13" s="1628" t="s">
        <v>3212</v>
      </c>
      <c r="G13" s="1628" t="s">
        <v>3126</v>
      </c>
      <c r="H13" s="1628" t="s">
        <v>3213</v>
      </c>
      <c r="I13" s="1628" t="s">
        <v>3128</v>
      </c>
      <c r="J13" s="1628">
        <v>61252</v>
      </c>
      <c r="K13" s="1628">
        <v>104128.4</v>
      </c>
      <c r="L13" s="1628" t="s">
        <v>3214</v>
      </c>
      <c r="M13" s="1628" t="s">
        <v>1327</v>
      </c>
      <c r="N13" s="1628" t="s">
        <v>1327</v>
      </c>
      <c r="O13" s="1628" t="s">
        <v>1327</v>
      </c>
      <c r="P13" s="1628" t="s">
        <v>1327</v>
      </c>
      <c r="Q13" s="1628" t="s">
        <v>1327</v>
      </c>
      <c r="R13" s="1628" t="s">
        <v>1327</v>
      </c>
      <c r="S13" s="1628" t="s">
        <v>1327</v>
      </c>
      <c r="T13" s="1628" t="s">
        <v>1327</v>
      </c>
      <c r="U13" s="1628" t="s">
        <v>1327</v>
      </c>
      <c r="V13" s="1628" t="s">
        <v>1327</v>
      </c>
      <c r="W13" s="1628" t="s">
        <v>3130</v>
      </c>
      <c r="X13" s="1628" t="s">
        <v>3215</v>
      </c>
      <c r="Y13" s="1628" t="s">
        <v>3216</v>
      </c>
      <c r="Z13" s="1628" t="s">
        <v>3216</v>
      </c>
      <c r="AA13" s="1628" t="s">
        <v>3216</v>
      </c>
      <c r="AB13" s="1628" t="s">
        <v>3217</v>
      </c>
      <c r="AC13" s="1628" t="s">
        <v>3134</v>
      </c>
      <c r="AD13" s="1628" t="s">
        <v>3218</v>
      </c>
      <c r="AE13" s="1628">
        <v>1161.4000000000001</v>
      </c>
      <c r="AF13" s="1628">
        <v>5807</v>
      </c>
      <c r="AG13" s="1628">
        <v>5807</v>
      </c>
      <c r="AH13" s="1628">
        <v>63.2</v>
      </c>
      <c r="AI13" s="1628">
        <v>63.2</v>
      </c>
      <c r="AJ13" s="1628">
        <v>557.66999999999996</v>
      </c>
      <c r="AK13" s="1628">
        <v>557.66999999999996</v>
      </c>
      <c r="AL13" s="1628" t="s">
        <v>1327</v>
      </c>
      <c r="AM13" s="1628" t="s">
        <v>1327</v>
      </c>
      <c r="AN13" s="1628">
        <v>0</v>
      </c>
      <c r="AO13" s="1628" t="s">
        <v>3136</v>
      </c>
      <c r="AP13" s="1628" t="s">
        <v>1327</v>
      </c>
      <c r="AQ13" s="1628" t="s">
        <v>1327</v>
      </c>
      <c r="AR13" s="1628" t="s">
        <v>1327</v>
      </c>
      <c r="AS13" s="1628" t="s">
        <v>3144</v>
      </c>
    </row>
    <row r="14" spans="1:45">
      <c r="A14" s="1628" t="s">
        <v>3219</v>
      </c>
      <c r="B14" s="1628" t="s">
        <v>3123</v>
      </c>
      <c r="C14" s="1628" t="s">
        <v>3124</v>
      </c>
      <c r="D14" s="1628" t="s">
        <v>3125</v>
      </c>
      <c r="E14" s="1628" t="s">
        <v>1327</v>
      </c>
      <c r="F14" s="1628" t="s">
        <v>3219</v>
      </c>
      <c r="G14" s="1628" t="s">
        <v>3126</v>
      </c>
      <c r="H14" s="1628" t="s">
        <v>3220</v>
      </c>
      <c r="I14" s="1628" t="s">
        <v>3221</v>
      </c>
      <c r="J14" s="1628">
        <v>15456</v>
      </c>
      <c r="K14" s="1628">
        <v>46368</v>
      </c>
      <c r="L14" s="1628" t="s">
        <v>3222</v>
      </c>
      <c r="M14" s="1628" t="s">
        <v>1327</v>
      </c>
      <c r="N14" s="1628" t="s">
        <v>1327</v>
      </c>
      <c r="O14" s="1628" t="s">
        <v>1327</v>
      </c>
      <c r="P14" s="1628" t="s">
        <v>1327</v>
      </c>
      <c r="Q14" s="1628" t="s">
        <v>1327</v>
      </c>
      <c r="R14" s="1628" t="s">
        <v>1327</v>
      </c>
      <c r="S14" s="1628" t="s">
        <v>1327</v>
      </c>
      <c r="T14" s="1628" t="s">
        <v>1327</v>
      </c>
      <c r="U14" s="1628" t="s">
        <v>1327</v>
      </c>
      <c r="V14" s="1628" t="s">
        <v>1327</v>
      </c>
      <c r="W14" s="1628" t="s">
        <v>3130</v>
      </c>
      <c r="X14" s="1628" t="s">
        <v>3223</v>
      </c>
      <c r="Y14" s="1628" t="s">
        <v>3224</v>
      </c>
      <c r="Z14" s="1628" t="s">
        <v>3224</v>
      </c>
      <c r="AA14" s="1628" t="s">
        <v>3224</v>
      </c>
      <c r="AB14" s="1628" t="s">
        <v>3225</v>
      </c>
      <c r="AC14" s="1628" t="s">
        <v>3134</v>
      </c>
      <c r="AD14" s="1628" t="s">
        <v>3226</v>
      </c>
      <c r="AE14" s="1628">
        <v>2320</v>
      </c>
      <c r="AF14" s="1628">
        <v>11600</v>
      </c>
      <c r="AG14" s="1628">
        <v>11600</v>
      </c>
      <c r="AH14" s="1628">
        <v>500.35</v>
      </c>
      <c r="AI14" s="1628">
        <v>500.35</v>
      </c>
      <c r="AJ14" s="1628">
        <v>2501.7199999999998</v>
      </c>
      <c r="AK14" s="1628">
        <v>2501.73</v>
      </c>
      <c r="AL14" s="1628" t="s">
        <v>1327</v>
      </c>
      <c r="AM14" s="1628" t="s">
        <v>1327</v>
      </c>
      <c r="AN14" s="1628">
        <v>0</v>
      </c>
      <c r="AO14" s="1628" t="s">
        <v>3136</v>
      </c>
      <c r="AP14" s="1628" t="s">
        <v>1327</v>
      </c>
      <c r="AQ14" s="1628" t="s">
        <v>1327</v>
      </c>
      <c r="AR14" s="1628" t="s">
        <v>1327</v>
      </c>
      <c r="AS14" s="1628" t="s">
        <v>3137</v>
      </c>
    </row>
    <row r="15" spans="1:45">
      <c r="A15" s="1628" t="s">
        <v>3227</v>
      </c>
      <c r="B15" s="1628" t="s">
        <v>3123</v>
      </c>
      <c r="C15" s="1628" t="s">
        <v>3124</v>
      </c>
      <c r="D15" s="1628" t="s">
        <v>3125</v>
      </c>
      <c r="E15" s="1628" t="s">
        <v>1327</v>
      </c>
      <c r="F15" s="1628" t="s">
        <v>3227</v>
      </c>
      <c r="G15" s="1628" t="s">
        <v>3126</v>
      </c>
      <c r="H15" s="1628" t="s">
        <v>3228</v>
      </c>
      <c r="I15" s="1628" t="s">
        <v>3221</v>
      </c>
      <c r="J15" s="1628">
        <v>32259</v>
      </c>
      <c r="K15" s="1628">
        <v>80647.5</v>
      </c>
      <c r="L15" s="1628" t="s">
        <v>3229</v>
      </c>
      <c r="M15" s="1628" t="s">
        <v>1327</v>
      </c>
      <c r="N15" s="1628" t="s">
        <v>1327</v>
      </c>
      <c r="O15" s="1628" t="s">
        <v>1327</v>
      </c>
      <c r="P15" s="1628" t="s">
        <v>1327</v>
      </c>
      <c r="Q15" s="1628" t="s">
        <v>1327</v>
      </c>
      <c r="R15" s="1628" t="s">
        <v>1327</v>
      </c>
      <c r="S15" s="1628" t="s">
        <v>1327</v>
      </c>
      <c r="T15" s="1628" t="s">
        <v>1327</v>
      </c>
      <c r="U15" s="1628" t="s">
        <v>1327</v>
      </c>
      <c r="V15" s="1628" t="s">
        <v>1327</v>
      </c>
      <c r="W15" s="1628" t="s">
        <v>3130</v>
      </c>
      <c r="X15" s="1628" t="s">
        <v>3223</v>
      </c>
      <c r="Y15" s="1628" t="s">
        <v>3224</v>
      </c>
      <c r="Z15" s="1628" t="s">
        <v>3224</v>
      </c>
      <c r="AA15" s="1628" t="s">
        <v>3224</v>
      </c>
      <c r="AB15" s="1628" t="s">
        <v>3230</v>
      </c>
      <c r="AC15" s="1628" t="s">
        <v>3134</v>
      </c>
      <c r="AD15" s="1628" t="s">
        <v>3226</v>
      </c>
      <c r="AE15" s="1628">
        <v>4840</v>
      </c>
      <c r="AF15" s="1628">
        <v>24200</v>
      </c>
      <c r="AG15" s="1628">
        <v>24200</v>
      </c>
      <c r="AH15" s="1628">
        <v>500.12</v>
      </c>
      <c r="AI15" s="1628">
        <v>500.12</v>
      </c>
      <c r="AJ15" s="1628">
        <v>3000.71</v>
      </c>
      <c r="AK15" s="1628">
        <v>3000.71</v>
      </c>
      <c r="AL15" s="1628" t="s">
        <v>1327</v>
      </c>
      <c r="AM15" s="1628" t="s">
        <v>1327</v>
      </c>
      <c r="AN15" s="1628">
        <v>0</v>
      </c>
      <c r="AO15" s="1628" t="s">
        <v>3136</v>
      </c>
      <c r="AP15" s="1628" t="s">
        <v>1327</v>
      </c>
      <c r="AQ15" s="1628" t="s">
        <v>1327</v>
      </c>
      <c r="AR15" s="1628" t="s">
        <v>1327</v>
      </c>
      <c r="AS15" s="1628" t="s">
        <v>3137</v>
      </c>
    </row>
    <row r="16" spans="1:45">
      <c r="A16" s="1628" t="s">
        <v>3231</v>
      </c>
      <c r="B16" s="1628" t="s">
        <v>3123</v>
      </c>
      <c r="C16" s="1628" t="s">
        <v>3191</v>
      </c>
      <c r="D16" s="1628" t="s">
        <v>3125</v>
      </c>
      <c r="E16" s="1628" t="s">
        <v>1327</v>
      </c>
      <c r="F16" s="1628" t="s">
        <v>3232</v>
      </c>
      <c r="G16" s="1628" t="s">
        <v>3126</v>
      </c>
      <c r="H16" s="1628" t="s">
        <v>3233</v>
      </c>
      <c r="I16" s="1628" t="s">
        <v>3234</v>
      </c>
      <c r="J16" s="1628">
        <v>84168</v>
      </c>
      <c r="K16" s="1628">
        <v>134668.79999999999</v>
      </c>
      <c r="L16" s="1628" t="s">
        <v>3235</v>
      </c>
      <c r="M16" s="1628" t="s">
        <v>1327</v>
      </c>
      <c r="N16" s="1628" t="s">
        <v>1327</v>
      </c>
      <c r="O16" s="1628" t="s">
        <v>1327</v>
      </c>
      <c r="P16" s="1628" t="s">
        <v>1327</v>
      </c>
      <c r="Q16" s="1628" t="s">
        <v>1327</v>
      </c>
      <c r="R16" s="1628" t="s">
        <v>1327</v>
      </c>
      <c r="S16" s="1628" t="s">
        <v>1327</v>
      </c>
      <c r="T16" s="1628" t="s">
        <v>1327</v>
      </c>
      <c r="U16" s="1628" t="s">
        <v>1327</v>
      </c>
      <c r="V16" s="1628" t="s">
        <v>1327</v>
      </c>
      <c r="W16" s="1628" t="s">
        <v>3236</v>
      </c>
      <c r="X16" s="1628" t="s">
        <v>3237</v>
      </c>
      <c r="Y16" s="1628" t="s">
        <v>3238</v>
      </c>
      <c r="Z16" s="1628" t="s">
        <v>3238</v>
      </c>
      <c r="AA16" s="1628" t="s">
        <v>3238</v>
      </c>
      <c r="AB16" s="1628" t="s">
        <v>3239</v>
      </c>
      <c r="AC16" s="1628" t="s">
        <v>3134</v>
      </c>
      <c r="AD16" s="1628" t="s">
        <v>3240</v>
      </c>
      <c r="AE16" s="1628">
        <v>4300</v>
      </c>
      <c r="AF16" s="1628">
        <v>21500</v>
      </c>
      <c r="AG16" s="1628">
        <v>21500</v>
      </c>
      <c r="AH16" s="1628">
        <v>170.29</v>
      </c>
      <c r="AI16" s="1628">
        <v>170.29</v>
      </c>
      <c r="AJ16" s="1628">
        <v>1596.5</v>
      </c>
      <c r="AK16" s="1628">
        <v>1596.5</v>
      </c>
      <c r="AL16" s="1628" t="s">
        <v>1327</v>
      </c>
      <c r="AM16" s="1628" t="s">
        <v>1327</v>
      </c>
      <c r="AN16" s="1628">
        <v>0</v>
      </c>
      <c r="AO16" s="1628" t="s">
        <v>3241</v>
      </c>
      <c r="AP16" s="1628" t="s">
        <v>1327</v>
      </c>
      <c r="AQ16" s="1628" t="s">
        <v>1327</v>
      </c>
      <c r="AR16" s="1628" t="s">
        <v>1327</v>
      </c>
      <c r="AS16" s="1628" t="s">
        <v>3160</v>
      </c>
    </row>
    <row r="17" spans="1:45">
      <c r="A17" s="1628" t="s">
        <v>3242</v>
      </c>
      <c r="B17" s="1628" t="s">
        <v>3123</v>
      </c>
      <c r="C17" s="1628" t="s">
        <v>3124</v>
      </c>
      <c r="D17" s="1628" t="s">
        <v>3125</v>
      </c>
      <c r="E17" s="1628" t="s">
        <v>1327</v>
      </c>
      <c r="F17" s="1628" t="s">
        <v>3242</v>
      </c>
      <c r="G17" s="1628" t="s">
        <v>3126</v>
      </c>
      <c r="H17" s="1628" t="s">
        <v>3243</v>
      </c>
      <c r="I17" s="1628" t="s">
        <v>3221</v>
      </c>
      <c r="J17" s="1628">
        <v>9095</v>
      </c>
      <c r="K17" s="1628">
        <v>10914</v>
      </c>
      <c r="L17" s="1628" t="s">
        <v>3244</v>
      </c>
      <c r="M17" s="1628" t="s">
        <v>1327</v>
      </c>
      <c r="N17" s="1628" t="s">
        <v>3196</v>
      </c>
      <c r="O17" s="1628" t="s">
        <v>1327</v>
      </c>
      <c r="P17" s="1628" t="s">
        <v>1327</v>
      </c>
      <c r="Q17" s="1628" t="s">
        <v>1327</v>
      </c>
      <c r="R17" s="1628" t="s">
        <v>1327</v>
      </c>
      <c r="S17" s="1628" t="s">
        <v>1327</v>
      </c>
      <c r="T17" s="1628" t="s">
        <v>1327</v>
      </c>
      <c r="U17" s="1628" t="s">
        <v>1327</v>
      </c>
      <c r="V17" s="1628" t="s">
        <v>1327</v>
      </c>
      <c r="W17" s="1628" t="s">
        <v>3236</v>
      </c>
      <c r="X17" s="1628" t="s">
        <v>3245</v>
      </c>
      <c r="Y17" s="1628" t="s">
        <v>3246</v>
      </c>
      <c r="Z17" s="1628" t="s">
        <v>3246</v>
      </c>
      <c r="AA17" s="1628" t="s">
        <v>3246</v>
      </c>
      <c r="AB17" s="1628" t="s">
        <v>3247</v>
      </c>
      <c r="AC17" s="1628" t="s">
        <v>3134</v>
      </c>
      <c r="AD17" s="1628" t="s">
        <v>3248</v>
      </c>
      <c r="AE17" s="1628">
        <v>178</v>
      </c>
      <c r="AF17" s="1628">
        <v>890</v>
      </c>
      <c r="AG17" s="1628">
        <v>890</v>
      </c>
      <c r="AH17" s="1628">
        <v>65.239999999999995</v>
      </c>
      <c r="AI17" s="1628">
        <v>65.239999999999995</v>
      </c>
      <c r="AJ17" s="1628">
        <v>815.46</v>
      </c>
      <c r="AK17" s="1628">
        <v>815.47</v>
      </c>
      <c r="AL17" s="1628" t="s">
        <v>1327</v>
      </c>
      <c r="AM17" s="1628" t="s">
        <v>1327</v>
      </c>
      <c r="AN17" s="1628">
        <v>0</v>
      </c>
      <c r="AO17" s="1628" t="s">
        <v>3136</v>
      </c>
      <c r="AP17" s="1628" t="s">
        <v>1327</v>
      </c>
      <c r="AQ17" s="1628" t="s">
        <v>1327</v>
      </c>
      <c r="AR17" s="1628" t="s">
        <v>1327</v>
      </c>
      <c r="AS17" s="1628" t="s">
        <v>3144</v>
      </c>
    </row>
    <row r="18" spans="1:45">
      <c r="A18" s="1628" t="s">
        <v>3249</v>
      </c>
      <c r="B18" s="1628" t="s">
        <v>3123</v>
      </c>
      <c r="C18" s="1628" t="s">
        <v>3124</v>
      </c>
      <c r="D18" s="1628" t="s">
        <v>3125</v>
      </c>
      <c r="E18" s="1628" t="s">
        <v>1327</v>
      </c>
      <c r="F18" s="1628" t="s">
        <v>3249</v>
      </c>
      <c r="G18" s="1628" t="s">
        <v>3126</v>
      </c>
      <c r="H18" s="1628" t="s">
        <v>3250</v>
      </c>
      <c r="I18" s="1628" t="s">
        <v>3221</v>
      </c>
      <c r="J18" s="1628">
        <v>100671</v>
      </c>
      <c r="K18" s="1628">
        <v>352348.5</v>
      </c>
      <c r="L18" s="1628" t="s">
        <v>3251</v>
      </c>
      <c r="M18" s="1628" t="s">
        <v>1327</v>
      </c>
      <c r="N18" s="1628" t="s">
        <v>1327</v>
      </c>
      <c r="O18" s="1628" t="s">
        <v>1327</v>
      </c>
      <c r="P18" s="1628" t="s">
        <v>1327</v>
      </c>
      <c r="Q18" s="1628" t="s">
        <v>1327</v>
      </c>
      <c r="R18" s="1628" t="s">
        <v>1327</v>
      </c>
      <c r="S18" s="1628" t="s">
        <v>1327</v>
      </c>
      <c r="T18" s="1628" t="s">
        <v>1327</v>
      </c>
      <c r="U18" s="1628" t="s">
        <v>1327</v>
      </c>
      <c r="V18" s="1628" t="s">
        <v>1327</v>
      </c>
      <c r="W18" s="1628" t="s">
        <v>3236</v>
      </c>
      <c r="X18" s="1628" t="s">
        <v>3252</v>
      </c>
      <c r="Y18" s="1628" t="s">
        <v>3253</v>
      </c>
      <c r="Z18" s="1628" t="s">
        <v>3253</v>
      </c>
      <c r="AA18" s="1628" t="s">
        <v>3253</v>
      </c>
      <c r="AB18" s="1628" t="s">
        <v>3254</v>
      </c>
      <c r="AC18" s="1628" t="s">
        <v>3134</v>
      </c>
      <c r="AD18" s="1628" t="s">
        <v>3255</v>
      </c>
      <c r="AE18" s="1628">
        <v>18000</v>
      </c>
      <c r="AF18" s="1628">
        <v>90000</v>
      </c>
      <c r="AG18" s="1628">
        <v>90200</v>
      </c>
      <c r="AH18" s="1628">
        <v>596</v>
      </c>
      <c r="AI18" s="1628">
        <v>597.33000000000004</v>
      </c>
      <c r="AJ18" s="1628">
        <v>2554.2800000000002</v>
      </c>
      <c r="AK18" s="1628">
        <v>2559.96</v>
      </c>
      <c r="AL18" s="1628" t="s">
        <v>1327</v>
      </c>
      <c r="AM18" s="1628" t="s">
        <v>1327</v>
      </c>
      <c r="AN18" s="1628">
        <v>0.22</v>
      </c>
      <c r="AO18" s="1628" t="s">
        <v>3136</v>
      </c>
      <c r="AP18" s="1628" t="s">
        <v>1327</v>
      </c>
      <c r="AQ18" s="1628" t="s">
        <v>1327</v>
      </c>
      <c r="AR18" s="1628" t="s">
        <v>1327</v>
      </c>
      <c r="AS18" s="1628" t="s">
        <v>3137</v>
      </c>
    </row>
    <row r="19" spans="1:45">
      <c r="A19" s="1628" t="s">
        <v>3256</v>
      </c>
      <c r="B19" s="1628" t="s">
        <v>3123</v>
      </c>
      <c r="C19" s="1628" t="s">
        <v>3124</v>
      </c>
      <c r="D19" s="1628" t="s">
        <v>3125</v>
      </c>
      <c r="E19" s="1628" t="s">
        <v>1327</v>
      </c>
      <c r="F19" s="1628" t="s">
        <v>3256</v>
      </c>
      <c r="G19" s="1628" t="s">
        <v>3126</v>
      </c>
      <c r="H19" s="1628" t="s">
        <v>3257</v>
      </c>
      <c r="I19" s="1628" t="s">
        <v>3221</v>
      </c>
      <c r="J19" s="1628">
        <v>102218</v>
      </c>
      <c r="K19" s="1628">
        <v>132883.4</v>
      </c>
      <c r="L19" s="1628" t="s">
        <v>3258</v>
      </c>
      <c r="M19" s="1628" t="s">
        <v>1327</v>
      </c>
      <c r="N19" s="1628" t="s">
        <v>1327</v>
      </c>
      <c r="O19" s="1628" t="s">
        <v>1327</v>
      </c>
      <c r="P19" s="1628" t="s">
        <v>1327</v>
      </c>
      <c r="Q19" s="1628" t="s">
        <v>1327</v>
      </c>
      <c r="R19" s="1628" t="s">
        <v>1327</v>
      </c>
      <c r="S19" s="1628" t="s">
        <v>1327</v>
      </c>
      <c r="T19" s="1628" t="s">
        <v>1327</v>
      </c>
      <c r="U19" s="1628" t="s">
        <v>1327</v>
      </c>
      <c r="V19" s="1628" t="s">
        <v>1327</v>
      </c>
      <c r="W19" s="1628" t="s">
        <v>3236</v>
      </c>
      <c r="X19" s="1628" t="s">
        <v>3259</v>
      </c>
      <c r="Y19" s="1628" t="s">
        <v>3260</v>
      </c>
      <c r="Z19" s="1628" t="s">
        <v>3260</v>
      </c>
      <c r="AA19" s="1628" t="s">
        <v>3260</v>
      </c>
      <c r="AB19" s="1628" t="s">
        <v>3261</v>
      </c>
      <c r="AC19" s="1628" t="s">
        <v>3134</v>
      </c>
      <c r="AD19" s="1628" t="s">
        <v>3262</v>
      </c>
      <c r="AE19" s="1628">
        <v>20460</v>
      </c>
      <c r="AF19" s="1628">
        <v>102300</v>
      </c>
      <c r="AG19" s="1628">
        <v>102300</v>
      </c>
      <c r="AH19" s="1628">
        <v>667.2</v>
      </c>
      <c r="AI19" s="1628">
        <v>667.2</v>
      </c>
      <c r="AJ19" s="1628">
        <v>7698.47</v>
      </c>
      <c r="AK19" s="1628">
        <v>7698.47</v>
      </c>
      <c r="AL19" s="1628" t="s">
        <v>1327</v>
      </c>
      <c r="AM19" s="1628" t="s">
        <v>1327</v>
      </c>
      <c r="AN19" s="1628">
        <v>0</v>
      </c>
      <c r="AO19" s="1628" t="s">
        <v>3136</v>
      </c>
      <c r="AP19" s="1628" t="s">
        <v>1327</v>
      </c>
      <c r="AQ19" s="1628" t="s">
        <v>1327</v>
      </c>
      <c r="AR19" s="1628" t="s">
        <v>1327</v>
      </c>
      <c r="AS19" s="1628" t="s">
        <v>3152</v>
      </c>
    </row>
    <row r="20" spans="1:45">
      <c r="A20" s="1628" t="s">
        <v>3263</v>
      </c>
      <c r="B20" s="1628" t="s">
        <v>3123</v>
      </c>
      <c r="C20" s="1628" t="s">
        <v>3124</v>
      </c>
      <c r="D20" s="1628" t="s">
        <v>3125</v>
      </c>
      <c r="E20" s="1628" t="s">
        <v>1327</v>
      </c>
      <c r="F20" s="1628" t="s">
        <v>3263</v>
      </c>
      <c r="G20" s="1628" t="s">
        <v>3126</v>
      </c>
      <c r="H20" s="1628" t="s">
        <v>3264</v>
      </c>
      <c r="I20" s="1628" t="s">
        <v>3221</v>
      </c>
      <c r="J20" s="1628">
        <v>136206</v>
      </c>
      <c r="K20" s="1628">
        <v>149826.6</v>
      </c>
      <c r="L20" s="1628" t="s">
        <v>3265</v>
      </c>
      <c r="M20" s="1628" t="s">
        <v>1327</v>
      </c>
      <c r="N20" s="1628" t="s">
        <v>1327</v>
      </c>
      <c r="O20" s="1628" t="s">
        <v>1327</v>
      </c>
      <c r="P20" s="1628" t="s">
        <v>1327</v>
      </c>
      <c r="Q20" s="1628" t="s">
        <v>1327</v>
      </c>
      <c r="R20" s="1628" t="s">
        <v>1327</v>
      </c>
      <c r="S20" s="1628" t="s">
        <v>1327</v>
      </c>
      <c r="T20" s="1628" t="s">
        <v>1327</v>
      </c>
      <c r="U20" s="1628" t="s">
        <v>1327</v>
      </c>
      <c r="V20" s="1628" t="s">
        <v>1327</v>
      </c>
      <c r="W20" s="1628" t="s">
        <v>3236</v>
      </c>
      <c r="X20" s="1628" t="s">
        <v>3266</v>
      </c>
      <c r="Y20" s="1628" t="s">
        <v>3267</v>
      </c>
      <c r="Z20" s="1628" t="s">
        <v>3267</v>
      </c>
      <c r="AA20" s="1628" t="s">
        <v>3267</v>
      </c>
      <c r="AB20" s="1628" t="s">
        <v>3268</v>
      </c>
      <c r="AC20" s="1628" t="s">
        <v>3134</v>
      </c>
      <c r="AD20" s="1628" t="s">
        <v>3269</v>
      </c>
      <c r="AE20" s="1628">
        <v>27020</v>
      </c>
      <c r="AF20" s="1628">
        <v>135100</v>
      </c>
      <c r="AG20" s="1628">
        <v>135100</v>
      </c>
      <c r="AH20" s="1628">
        <v>661.25</v>
      </c>
      <c r="AI20" s="1628">
        <v>661.25</v>
      </c>
      <c r="AJ20" s="1628">
        <v>9017.09</v>
      </c>
      <c r="AK20" s="1628">
        <v>9017.09</v>
      </c>
      <c r="AL20" s="1628" t="s">
        <v>1327</v>
      </c>
      <c r="AM20" s="1628" t="s">
        <v>1327</v>
      </c>
      <c r="AN20" s="1628">
        <v>0</v>
      </c>
      <c r="AO20" s="1628" t="s">
        <v>3136</v>
      </c>
      <c r="AP20" s="1628" t="s">
        <v>1327</v>
      </c>
      <c r="AQ20" s="1628" t="s">
        <v>1327</v>
      </c>
      <c r="AR20" s="1628" t="s">
        <v>1327</v>
      </c>
      <c r="AS20" s="1628" t="s">
        <v>3137</v>
      </c>
    </row>
    <row r="21" spans="1:45">
      <c r="A21" s="1628" t="s">
        <v>3270</v>
      </c>
      <c r="B21" s="1628" t="s">
        <v>3123</v>
      </c>
      <c r="C21" s="1628" t="s">
        <v>3124</v>
      </c>
      <c r="D21" s="1628" t="s">
        <v>3125</v>
      </c>
      <c r="E21" s="1628" t="s">
        <v>1327</v>
      </c>
      <c r="F21" s="1628" t="s">
        <v>3270</v>
      </c>
      <c r="G21" s="1628" t="s">
        <v>3126</v>
      </c>
      <c r="H21" s="1628" t="s">
        <v>3271</v>
      </c>
      <c r="I21" s="1628" t="s">
        <v>3221</v>
      </c>
      <c r="J21" s="1628">
        <v>48654</v>
      </c>
      <c r="K21" s="1628">
        <v>63250.2</v>
      </c>
      <c r="L21" s="1628" t="s">
        <v>3258</v>
      </c>
      <c r="M21" s="1628" t="s">
        <v>1327</v>
      </c>
      <c r="N21" s="1628" t="s">
        <v>1327</v>
      </c>
      <c r="O21" s="1628" t="s">
        <v>1327</v>
      </c>
      <c r="P21" s="1628" t="s">
        <v>1327</v>
      </c>
      <c r="Q21" s="1628" t="s">
        <v>1327</v>
      </c>
      <c r="R21" s="1628" t="s">
        <v>1327</v>
      </c>
      <c r="S21" s="1628" t="s">
        <v>1327</v>
      </c>
      <c r="T21" s="1628" t="s">
        <v>1327</v>
      </c>
      <c r="U21" s="1628" t="s">
        <v>1327</v>
      </c>
      <c r="V21" s="1628" t="s">
        <v>1327</v>
      </c>
      <c r="W21" s="1628" t="s">
        <v>3236</v>
      </c>
      <c r="X21" s="1628" t="s">
        <v>3272</v>
      </c>
      <c r="Y21" s="1628" t="s">
        <v>3273</v>
      </c>
      <c r="Z21" s="1628" t="s">
        <v>3273</v>
      </c>
      <c r="AA21" s="1628" t="s">
        <v>3273</v>
      </c>
      <c r="AB21" s="1628" t="s">
        <v>3274</v>
      </c>
      <c r="AC21" s="1628" t="s">
        <v>3134</v>
      </c>
      <c r="AD21" s="1628" t="s">
        <v>3262</v>
      </c>
      <c r="AE21" s="1628">
        <v>9480</v>
      </c>
      <c r="AF21" s="1628">
        <v>47400</v>
      </c>
      <c r="AG21" s="1628">
        <v>50800</v>
      </c>
      <c r="AH21" s="1628">
        <v>649.48</v>
      </c>
      <c r="AI21" s="1628">
        <v>696.07</v>
      </c>
      <c r="AJ21" s="1628">
        <v>7494.04</v>
      </c>
      <c r="AK21" s="1628">
        <v>8031.6</v>
      </c>
      <c r="AL21" s="1628" t="s">
        <v>1327</v>
      </c>
      <c r="AM21" s="1628" t="s">
        <v>1327</v>
      </c>
      <c r="AN21" s="1628">
        <v>7.17</v>
      </c>
      <c r="AO21" s="1628" t="s">
        <v>3136</v>
      </c>
      <c r="AP21" s="1628" t="s">
        <v>1327</v>
      </c>
      <c r="AQ21" s="1628" t="s">
        <v>1327</v>
      </c>
      <c r="AR21" s="1628" t="s">
        <v>1327</v>
      </c>
      <c r="AS21" s="1628" t="s">
        <v>3137</v>
      </c>
    </row>
    <row r="22" spans="1:45">
      <c r="A22" s="1628" t="s">
        <v>3275</v>
      </c>
      <c r="B22" s="1628" t="s">
        <v>3123</v>
      </c>
      <c r="C22" s="1628" t="s">
        <v>3124</v>
      </c>
      <c r="D22" s="1628" t="s">
        <v>3125</v>
      </c>
      <c r="E22" s="1628" t="s">
        <v>1327</v>
      </c>
      <c r="F22" s="1628" t="s">
        <v>3275</v>
      </c>
      <c r="G22" s="1628" t="s">
        <v>3126</v>
      </c>
      <c r="H22" s="1628" t="s">
        <v>3276</v>
      </c>
      <c r="I22" s="1628" t="s">
        <v>3221</v>
      </c>
      <c r="J22" s="1628">
        <v>54454</v>
      </c>
      <c r="K22" s="1628">
        <v>108908</v>
      </c>
      <c r="L22" s="1628" t="s">
        <v>3182</v>
      </c>
      <c r="M22" s="1628" t="s">
        <v>1327</v>
      </c>
      <c r="N22" s="1628" t="s">
        <v>1327</v>
      </c>
      <c r="O22" s="1628" t="s">
        <v>1327</v>
      </c>
      <c r="P22" s="1628" t="s">
        <v>1327</v>
      </c>
      <c r="Q22" s="1628" t="s">
        <v>1327</v>
      </c>
      <c r="R22" s="1628" t="s">
        <v>1327</v>
      </c>
      <c r="S22" s="1628" t="s">
        <v>1327</v>
      </c>
      <c r="T22" s="1628" t="s">
        <v>1327</v>
      </c>
      <c r="U22" s="1628" t="s">
        <v>1327</v>
      </c>
      <c r="V22" s="1628" t="s">
        <v>1327</v>
      </c>
      <c r="W22" s="1628" t="s">
        <v>3236</v>
      </c>
      <c r="X22" s="1628" t="s">
        <v>3277</v>
      </c>
      <c r="Y22" s="1628" t="s">
        <v>3278</v>
      </c>
      <c r="Z22" s="1628" t="s">
        <v>3278</v>
      </c>
      <c r="AA22" s="1628" t="s">
        <v>3278</v>
      </c>
      <c r="AB22" s="1628" t="s">
        <v>3279</v>
      </c>
      <c r="AC22" s="1628" t="s">
        <v>3134</v>
      </c>
      <c r="AD22" s="1628" t="s">
        <v>3199</v>
      </c>
      <c r="AE22" s="1628">
        <v>15140</v>
      </c>
      <c r="AF22" s="1628">
        <v>75700</v>
      </c>
      <c r="AG22" s="1628">
        <v>86000</v>
      </c>
      <c r="AH22" s="1628">
        <v>926.78</v>
      </c>
      <c r="AI22" s="1628">
        <v>1052.8800000000001</v>
      </c>
      <c r="AJ22" s="1628">
        <v>6950.82</v>
      </c>
      <c r="AK22" s="1628">
        <v>7896.56</v>
      </c>
      <c r="AL22" s="1628" t="s">
        <v>1327</v>
      </c>
      <c r="AM22" s="1628" t="s">
        <v>1327</v>
      </c>
      <c r="AN22" s="1628">
        <v>13.61</v>
      </c>
      <c r="AO22" s="1628" t="s">
        <v>3136</v>
      </c>
      <c r="AP22" s="1628" t="s">
        <v>1327</v>
      </c>
      <c r="AQ22" s="1628" t="s">
        <v>1327</v>
      </c>
      <c r="AR22" s="1628" t="s">
        <v>1327</v>
      </c>
      <c r="AS22" s="1628" t="s">
        <v>3152</v>
      </c>
    </row>
    <row r="23" spans="1:45">
      <c r="A23" s="1628" t="s">
        <v>3280</v>
      </c>
      <c r="B23" s="1628" t="s">
        <v>3123</v>
      </c>
      <c r="C23" s="1628" t="s">
        <v>3124</v>
      </c>
      <c r="D23" s="1628" t="s">
        <v>3125</v>
      </c>
      <c r="E23" s="1628" t="s">
        <v>1327</v>
      </c>
      <c r="F23" s="1628" t="s">
        <v>3280</v>
      </c>
      <c r="G23" s="1628" t="s">
        <v>3126</v>
      </c>
      <c r="H23" s="1628" t="s">
        <v>3281</v>
      </c>
      <c r="I23" s="1628" t="s">
        <v>3221</v>
      </c>
      <c r="J23" s="1628">
        <v>35461</v>
      </c>
      <c r="K23" s="1628">
        <v>70922</v>
      </c>
      <c r="L23" s="1628" t="s">
        <v>3182</v>
      </c>
      <c r="M23" s="1628" t="s">
        <v>1327</v>
      </c>
      <c r="N23" s="1628" t="s">
        <v>1327</v>
      </c>
      <c r="O23" s="1628" t="s">
        <v>1327</v>
      </c>
      <c r="P23" s="1628" t="s">
        <v>1327</v>
      </c>
      <c r="Q23" s="1628" t="s">
        <v>1327</v>
      </c>
      <c r="R23" s="1628" t="s">
        <v>1327</v>
      </c>
      <c r="S23" s="1628" t="s">
        <v>1327</v>
      </c>
      <c r="T23" s="1628" t="s">
        <v>1327</v>
      </c>
      <c r="U23" s="1628" t="s">
        <v>1327</v>
      </c>
      <c r="V23" s="1628" t="s">
        <v>1327</v>
      </c>
      <c r="W23" s="1628" t="s">
        <v>3236</v>
      </c>
      <c r="X23" s="1628" t="s">
        <v>3282</v>
      </c>
      <c r="Y23" s="1628" t="s">
        <v>3278</v>
      </c>
      <c r="Z23" s="1628" t="s">
        <v>3278</v>
      </c>
      <c r="AA23" s="1628" t="s">
        <v>3278</v>
      </c>
      <c r="AB23" s="1628" t="s">
        <v>3283</v>
      </c>
      <c r="AC23" s="1628" t="s">
        <v>3134</v>
      </c>
      <c r="AD23" s="1628" t="s">
        <v>3284</v>
      </c>
      <c r="AE23" s="1628">
        <v>10600</v>
      </c>
      <c r="AF23" s="1628">
        <v>53000</v>
      </c>
      <c r="AG23" s="1628">
        <v>59200</v>
      </c>
      <c r="AH23" s="1628">
        <v>996.4</v>
      </c>
      <c r="AI23" s="1628">
        <v>1112.96</v>
      </c>
      <c r="AJ23" s="1628">
        <v>7472.99</v>
      </c>
      <c r="AK23" s="1628">
        <v>8347.2000000000007</v>
      </c>
      <c r="AL23" s="1628" t="s">
        <v>1327</v>
      </c>
      <c r="AM23" s="1628" t="s">
        <v>1327</v>
      </c>
      <c r="AN23" s="1628">
        <v>11.7</v>
      </c>
      <c r="AO23" s="1628" t="s">
        <v>3136</v>
      </c>
      <c r="AP23" s="1628" t="s">
        <v>1327</v>
      </c>
      <c r="AQ23" s="1628" t="s">
        <v>1327</v>
      </c>
      <c r="AR23" s="1628" t="s">
        <v>1327</v>
      </c>
      <c r="AS23" s="1628" t="s">
        <v>3152</v>
      </c>
    </row>
    <row r="24" spans="1:45">
      <c r="A24" s="1628" t="s">
        <v>3285</v>
      </c>
      <c r="B24" s="1628" t="s">
        <v>3123</v>
      </c>
      <c r="C24" s="1628" t="s">
        <v>3124</v>
      </c>
      <c r="D24" s="1628" t="s">
        <v>3125</v>
      </c>
      <c r="E24" s="1628" t="s">
        <v>1327</v>
      </c>
      <c r="F24" s="1628" t="s">
        <v>3285</v>
      </c>
      <c r="G24" s="1628" t="s">
        <v>3126</v>
      </c>
      <c r="H24" s="1628" t="s">
        <v>3286</v>
      </c>
      <c r="I24" s="1628" t="s">
        <v>3221</v>
      </c>
      <c r="J24" s="1628">
        <v>79005</v>
      </c>
      <c r="K24" s="1628">
        <v>142209</v>
      </c>
      <c r="L24" s="1628" t="s">
        <v>3163</v>
      </c>
      <c r="M24" s="1628" t="s">
        <v>1327</v>
      </c>
      <c r="N24" s="1628" t="s">
        <v>1327</v>
      </c>
      <c r="O24" s="1628" t="s">
        <v>1327</v>
      </c>
      <c r="P24" s="1628" t="s">
        <v>1327</v>
      </c>
      <c r="Q24" s="1628" t="s">
        <v>1327</v>
      </c>
      <c r="R24" s="1628" t="s">
        <v>1327</v>
      </c>
      <c r="S24" s="1628" t="s">
        <v>1327</v>
      </c>
      <c r="T24" s="1628" t="s">
        <v>1327</v>
      </c>
      <c r="U24" s="1628" t="s">
        <v>1327</v>
      </c>
      <c r="V24" s="1628" t="s">
        <v>1327</v>
      </c>
      <c r="W24" s="1628" t="s">
        <v>3236</v>
      </c>
      <c r="X24" s="1628" t="s">
        <v>3282</v>
      </c>
      <c r="Y24" s="1628" t="s">
        <v>3287</v>
      </c>
      <c r="Z24" s="1628" t="s">
        <v>3287</v>
      </c>
      <c r="AA24" s="1628" t="s">
        <v>3287</v>
      </c>
      <c r="AB24" s="1628" t="s">
        <v>3288</v>
      </c>
      <c r="AC24" s="1628" t="s">
        <v>3134</v>
      </c>
      <c r="AD24" s="1628" t="s">
        <v>3199</v>
      </c>
      <c r="AE24" s="1628">
        <v>22600</v>
      </c>
      <c r="AF24" s="1628">
        <v>113000</v>
      </c>
      <c r="AG24" s="1628">
        <v>113500</v>
      </c>
      <c r="AH24" s="1628">
        <v>953.53</v>
      </c>
      <c r="AI24" s="1628">
        <v>957.75</v>
      </c>
      <c r="AJ24" s="1628">
        <v>7946.05</v>
      </c>
      <c r="AK24" s="1628">
        <v>7981.21</v>
      </c>
      <c r="AL24" s="1628" t="s">
        <v>1327</v>
      </c>
      <c r="AM24" s="1628" t="s">
        <v>1327</v>
      </c>
      <c r="AN24" s="1628">
        <v>0.44</v>
      </c>
      <c r="AO24" s="1628" t="s">
        <v>3136</v>
      </c>
      <c r="AP24" s="1628" t="s">
        <v>1327</v>
      </c>
      <c r="AQ24" s="1628" t="s">
        <v>1327</v>
      </c>
      <c r="AR24" s="1628" t="s">
        <v>1327</v>
      </c>
      <c r="AS24" s="1628" t="s">
        <v>3137</v>
      </c>
    </row>
    <row r="25" spans="1:45">
      <c r="A25" s="1628" t="s">
        <v>3289</v>
      </c>
      <c r="B25" s="1628" t="s">
        <v>3123</v>
      </c>
      <c r="C25" s="1628" t="s">
        <v>3124</v>
      </c>
      <c r="D25" s="1628" t="s">
        <v>3125</v>
      </c>
      <c r="E25" s="1628" t="s">
        <v>1327</v>
      </c>
      <c r="F25" s="1628" t="s">
        <v>3289</v>
      </c>
      <c r="G25" s="1628" t="s">
        <v>3126</v>
      </c>
      <c r="H25" s="1628" t="s">
        <v>3290</v>
      </c>
      <c r="I25" s="1628" t="s">
        <v>3221</v>
      </c>
      <c r="J25" s="1628">
        <v>35117</v>
      </c>
      <c r="K25" s="1628">
        <v>52675.5</v>
      </c>
      <c r="L25" s="1628" t="s">
        <v>3291</v>
      </c>
      <c r="M25" s="1628" t="s">
        <v>1327</v>
      </c>
      <c r="N25" s="1628" t="s">
        <v>1327</v>
      </c>
      <c r="O25" s="1628" t="s">
        <v>1327</v>
      </c>
      <c r="P25" s="1628" t="s">
        <v>1327</v>
      </c>
      <c r="Q25" s="1628" t="s">
        <v>1327</v>
      </c>
      <c r="R25" s="1628" t="s">
        <v>1327</v>
      </c>
      <c r="S25" s="1628" t="s">
        <v>1327</v>
      </c>
      <c r="T25" s="1628" t="s">
        <v>1327</v>
      </c>
      <c r="U25" s="1628" t="s">
        <v>1327</v>
      </c>
      <c r="V25" s="1628" t="s">
        <v>1327</v>
      </c>
      <c r="W25" s="1628" t="s">
        <v>3236</v>
      </c>
      <c r="X25" s="1628" t="s">
        <v>3282</v>
      </c>
      <c r="Y25" s="1628" t="s">
        <v>3287</v>
      </c>
      <c r="Z25" s="1628" t="s">
        <v>3287</v>
      </c>
      <c r="AA25" s="1628" t="s">
        <v>3287</v>
      </c>
      <c r="AB25" s="1628" t="s">
        <v>3292</v>
      </c>
      <c r="AC25" s="1628" t="s">
        <v>3134</v>
      </c>
      <c r="AD25" s="1628" t="s">
        <v>3185</v>
      </c>
      <c r="AE25" s="1628">
        <v>840</v>
      </c>
      <c r="AF25" s="1628">
        <v>4200</v>
      </c>
      <c r="AG25" s="1628">
        <v>4200</v>
      </c>
      <c r="AH25" s="1628">
        <v>79.73</v>
      </c>
      <c r="AI25" s="1628">
        <v>79.73</v>
      </c>
      <c r="AJ25" s="1628">
        <v>797.33</v>
      </c>
      <c r="AK25" s="1628">
        <v>797.33</v>
      </c>
      <c r="AL25" s="1628" t="s">
        <v>1327</v>
      </c>
      <c r="AM25" s="1628" t="s">
        <v>1327</v>
      </c>
      <c r="AN25" s="1628">
        <v>0</v>
      </c>
      <c r="AO25" s="1628" t="s">
        <v>3136</v>
      </c>
      <c r="AP25" s="1628" t="s">
        <v>1327</v>
      </c>
      <c r="AQ25" s="1628" t="s">
        <v>1327</v>
      </c>
      <c r="AR25" s="1628" t="s">
        <v>1327</v>
      </c>
      <c r="AS25" s="1628" t="s">
        <v>3137</v>
      </c>
    </row>
    <row r="26" spans="1:45">
      <c r="A26" s="1628" t="s">
        <v>3293</v>
      </c>
      <c r="B26" s="1628" t="s">
        <v>3123</v>
      </c>
      <c r="C26" s="1628" t="s">
        <v>3124</v>
      </c>
      <c r="D26" s="1628" t="s">
        <v>3125</v>
      </c>
      <c r="E26" s="1628" t="s">
        <v>1327</v>
      </c>
      <c r="F26" s="1628" t="s">
        <v>3293</v>
      </c>
      <c r="G26" s="1628" t="s">
        <v>3126</v>
      </c>
      <c r="H26" s="1628" t="s">
        <v>3294</v>
      </c>
      <c r="I26" s="1628" t="s">
        <v>3221</v>
      </c>
      <c r="J26" s="1628">
        <v>90005</v>
      </c>
      <c r="K26" s="1628">
        <v>180010</v>
      </c>
      <c r="L26" s="1628" t="s">
        <v>3182</v>
      </c>
      <c r="M26" s="1628" t="s">
        <v>1327</v>
      </c>
      <c r="N26" s="1628" t="s">
        <v>1327</v>
      </c>
      <c r="O26" s="1628" t="s">
        <v>1327</v>
      </c>
      <c r="P26" s="1628" t="s">
        <v>1327</v>
      </c>
      <c r="Q26" s="1628" t="s">
        <v>1327</v>
      </c>
      <c r="R26" s="1628" t="s">
        <v>1327</v>
      </c>
      <c r="S26" s="1628" t="s">
        <v>1327</v>
      </c>
      <c r="T26" s="1628" t="s">
        <v>1327</v>
      </c>
      <c r="U26" s="1628" t="s">
        <v>1327</v>
      </c>
      <c r="V26" s="1628" t="s">
        <v>1327</v>
      </c>
      <c r="W26" s="1628" t="s">
        <v>3236</v>
      </c>
      <c r="X26" s="1628" t="s">
        <v>3295</v>
      </c>
      <c r="Y26" s="1628" t="s">
        <v>3296</v>
      </c>
      <c r="Z26" s="1628" t="s">
        <v>3296</v>
      </c>
      <c r="AA26" s="1628" t="s">
        <v>3296</v>
      </c>
      <c r="AB26" s="1628" t="s">
        <v>3297</v>
      </c>
      <c r="AC26" s="1628" t="s">
        <v>3134</v>
      </c>
      <c r="AD26" s="1628" t="s">
        <v>3298</v>
      </c>
      <c r="AE26" s="1628">
        <v>15120</v>
      </c>
      <c r="AF26" s="1628">
        <v>75600</v>
      </c>
      <c r="AG26" s="1628">
        <v>75600</v>
      </c>
      <c r="AH26" s="1628">
        <v>559.97</v>
      </c>
      <c r="AI26" s="1628">
        <v>559.97</v>
      </c>
      <c r="AJ26" s="1628">
        <v>4199.76</v>
      </c>
      <c r="AK26" s="1628">
        <v>4199.7700000000004</v>
      </c>
      <c r="AL26" s="1628" t="s">
        <v>1327</v>
      </c>
      <c r="AM26" s="1628" t="s">
        <v>1327</v>
      </c>
      <c r="AN26" s="1628">
        <v>0</v>
      </c>
      <c r="AO26" s="1628" t="s">
        <v>3136</v>
      </c>
      <c r="AP26" s="1628" t="s">
        <v>1327</v>
      </c>
      <c r="AQ26" s="1628" t="s">
        <v>1327</v>
      </c>
      <c r="AR26" s="1628" t="s">
        <v>1327</v>
      </c>
      <c r="AS26" s="1628" t="s">
        <v>3144</v>
      </c>
    </row>
    <row r="27" spans="1:45">
      <c r="A27" s="1628" t="s">
        <v>3299</v>
      </c>
      <c r="B27" s="1628" t="s">
        <v>3123</v>
      </c>
      <c r="C27" s="1628" t="s">
        <v>3124</v>
      </c>
      <c r="D27" s="1628" t="s">
        <v>3125</v>
      </c>
      <c r="E27" s="1628" t="s">
        <v>1327</v>
      </c>
      <c r="F27" s="1628" t="s">
        <v>3299</v>
      </c>
      <c r="G27" s="1628" t="s">
        <v>3126</v>
      </c>
      <c r="H27" s="1628" t="s">
        <v>3300</v>
      </c>
      <c r="I27" s="1628" t="s">
        <v>3221</v>
      </c>
      <c r="J27" s="1628">
        <v>88057</v>
      </c>
      <c r="K27" s="1628">
        <v>158502.6</v>
      </c>
      <c r="L27" s="1628" t="s">
        <v>3147</v>
      </c>
      <c r="M27" s="1628" t="s">
        <v>1327</v>
      </c>
      <c r="N27" s="1628" t="s">
        <v>1327</v>
      </c>
      <c r="O27" s="1628" t="s">
        <v>1327</v>
      </c>
      <c r="P27" s="1628" t="s">
        <v>1327</v>
      </c>
      <c r="Q27" s="1628" t="s">
        <v>1327</v>
      </c>
      <c r="R27" s="1628" t="s">
        <v>1327</v>
      </c>
      <c r="S27" s="1628" t="s">
        <v>1327</v>
      </c>
      <c r="T27" s="1628" t="s">
        <v>1327</v>
      </c>
      <c r="U27" s="1628" t="s">
        <v>1327</v>
      </c>
      <c r="V27" s="1628" t="s">
        <v>1327</v>
      </c>
      <c r="W27" s="1628" t="s">
        <v>3236</v>
      </c>
      <c r="X27" s="1628" t="s">
        <v>3295</v>
      </c>
      <c r="Y27" s="1628" t="s">
        <v>3296</v>
      </c>
      <c r="Z27" s="1628" t="s">
        <v>3296</v>
      </c>
      <c r="AA27" s="1628" t="s">
        <v>3296</v>
      </c>
      <c r="AB27" s="1628" t="s">
        <v>3301</v>
      </c>
      <c r="AC27" s="1628" t="s">
        <v>3134</v>
      </c>
      <c r="AD27" s="1628" t="s">
        <v>3199</v>
      </c>
      <c r="AE27" s="1628">
        <v>13220</v>
      </c>
      <c r="AF27" s="1628">
        <v>66100</v>
      </c>
      <c r="AG27" s="1628">
        <v>66100</v>
      </c>
      <c r="AH27" s="1628">
        <v>500.43</v>
      </c>
      <c r="AI27" s="1628">
        <v>500.43</v>
      </c>
      <c r="AJ27" s="1628">
        <v>4170.2700000000004</v>
      </c>
      <c r="AK27" s="1628">
        <v>4170.2700000000004</v>
      </c>
      <c r="AL27" s="1628" t="s">
        <v>1327</v>
      </c>
      <c r="AM27" s="1628" t="s">
        <v>1327</v>
      </c>
      <c r="AN27" s="1628">
        <v>0</v>
      </c>
      <c r="AO27" s="1628" t="s">
        <v>3136</v>
      </c>
      <c r="AP27" s="1628" t="s">
        <v>1327</v>
      </c>
      <c r="AQ27" s="1628" t="s">
        <v>1327</v>
      </c>
      <c r="AR27" s="1628" t="s">
        <v>1327</v>
      </c>
      <c r="AS27" s="1628" t="s">
        <v>3144</v>
      </c>
    </row>
    <row r="28" spans="1:45">
      <c r="A28" s="1628" t="s">
        <v>3302</v>
      </c>
      <c r="B28" s="1628" t="s">
        <v>3123</v>
      </c>
      <c r="C28" s="1628" t="s">
        <v>3124</v>
      </c>
      <c r="D28" s="1628" t="s">
        <v>3125</v>
      </c>
      <c r="E28" s="1628" t="s">
        <v>1327</v>
      </c>
      <c r="F28" s="1628" t="s">
        <v>3302</v>
      </c>
      <c r="G28" s="1628" t="s">
        <v>3126</v>
      </c>
      <c r="H28" s="1628" t="s">
        <v>3303</v>
      </c>
      <c r="I28" s="1628" t="s">
        <v>3221</v>
      </c>
      <c r="J28" s="1628">
        <v>59225</v>
      </c>
      <c r="K28" s="1628">
        <v>118450</v>
      </c>
      <c r="L28" s="1628" t="s">
        <v>3182</v>
      </c>
      <c r="M28" s="1628" t="s">
        <v>1327</v>
      </c>
      <c r="N28" s="1628" t="s">
        <v>1327</v>
      </c>
      <c r="O28" s="1628" t="s">
        <v>1327</v>
      </c>
      <c r="P28" s="1628" t="s">
        <v>1327</v>
      </c>
      <c r="Q28" s="1628" t="s">
        <v>1327</v>
      </c>
      <c r="R28" s="1628" t="s">
        <v>1327</v>
      </c>
      <c r="S28" s="1628" t="s">
        <v>1327</v>
      </c>
      <c r="T28" s="1628" t="s">
        <v>3304</v>
      </c>
      <c r="U28" s="1628" t="s">
        <v>3304</v>
      </c>
      <c r="V28" s="1628" t="s">
        <v>1327</v>
      </c>
      <c r="W28" s="1628" t="s">
        <v>3236</v>
      </c>
      <c r="X28" s="1628" t="s">
        <v>3295</v>
      </c>
      <c r="Y28" s="1628" t="s">
        <v>3296</v>
      </c>
      <c r="Z28" s="1628" t="s">
        <v>3296</v>
      </c>
      <c r="AA28" s="1628" t="s">
        <v>3296</v>
      </c>
      <c r="AB28" s="1628" t="s">
        <v>3305</v>
      </c>
      <c r="AC28" s="1628" t="s">
        <v>3134</v>
      </c>
      <c r="AD28" s="1628" t="s">
        <v>3306</v>
      </c>
      <c r="AE28" s="1628">
        <v>9960</v>
      </c>
      <c r="AF28" s="1628">
        <v>49800</v>
      </c>
      <c r="AG28" s="1628">
        <v>54800</v>
      </c>
      <c r="AH28" s="1628">
        <v>560.57000000000005</v>
      </c>
      <c r="AI28" s="1628">
        <v>616.86</v>
      </c>
      <c r="AJ28" s="1628">
        <v>4204.3</v>
      </c>
      <c r="AK28" s="1628">
        <v>4626.42</v>
      </c>
      <c r="AL28" s="1628" t="s">
        <v>1327</v>
      </c>
      <c r="AM28" s="1628" t="s">
        <v>1327</v>
      </c>
      <c r="AN28" s="1628">
        <v>10.039999999999999</v>
      </c>
      <c r="AO28" s="1628" t="s">
        <v>3136</v>
      </c>
      <c r="AP28" s="1628" t="s">
        <v>1327</v>
      </c>
      <c r="AQ28" s="1628" t="s">
        <v>1327</v>
      </c>
      <c r="AR28" s="1628" t="s">
        <v>1327</v>
      </c>
      <c r="AS28" s="1628" t="s">
        <v>3144</v>
      </c>
    </row>
    <row r="29" spans="1:45">
      <c r="A29" s="1628" t="s">
        <v>3307</v>
      </c>
      <c r="B29" s="1628" t="s">
        <v>3123</v>
      </c>
      <c r="C29" s="1628" t="s">
        <v>3124</v>
      </c>
      <c r="D29" s="1628" t="s">
        <v>3125</v>
      </c>
      <c r="E29" s="1628" t="s">
        <v>1327</v>
      </c>
      <c r="F29" s="1628" t="s">
        <v>3307</v>
      </c>
      <c r="G29" s="1628" t="s">
        <v>3126</v>
      </c>
      <c r="H29" s="1628" t="s">
        <v>3308</v>
      </c>
      <c r="I29" s="1628" t="s">
        <v>3221</v>
      </c>
      <c r="J29" s="1628">
        <v>46882</v>
      </c>
      <c r="K29" s="1628">
        <v>84387.6</v>
      </c>
      <c r="L29" s="1628" t="s">
        <v>3147</v>
      </c>
      <c r="M29" s="1628" t="s">
        <v>1327</v>
      </c>
      <c r="N29" s="1628" t="s">
        <v>1327</v>
      </c>
      <c r="O29" s="1628" t="s">
        <v>1327</v>
      </c>
      <c r="P29" s="1628" t="s">
        <v>1327</v>
      </c>
      <c r="Q29" s="1628" t="s">
        <v>1327</v>
      </c>
      <c r="R29" s="1628" t="s">
        <v>1327</v>
      </c>
      <c r="S29" s="1628" t="s">
        <v>1327</v>
      </c>
      <c r="T29" s="1628" t="s">
        <v>1327</v>
      </c>
      <c r="U29" s="1628" t="s">
        <v>1327</v>
      </c>
      <c r="V29" s="1628" t="s">
        <v>1327</v>
      </c>
      <c r="W29" s="1628" t="s">
        <v>3236</v>
      </c>
      <c r="X29" s="1628" t="s">
        <v>3282</v>
      </c>
      <c r="Y29" s="1628" t="s">
        <v>3309</v>
      </c>
      <c r="Z29" s="1628" t="s">
        <v>3309</v>
      </c>
      <c r="AA29" s="1628" t="s">
        <v>3309</v>
      </c>
      <c r="AB29" s="1628" t="s">
        <v>3310</v>
      </c>
      <c r="AC29" s="1628" t="s">
        <v>3134</v>
      </c>
      <c r="AD29" s="1628" t="s">
        <v>3185</v>
      </c>
      <c r="AE29" s="1628">
        <v>10960</v>
      </c>
      <c r="AF29" s="1628">
        <v>54800</v>
      </c>
      <c r="AG29" s="1628">
        <v>54800</v>
      </c>
      <c r="AH29" s="1628">
        <v>779.26</v>
      </c>
      <c r="AI29" s="1628">
        <v>779.26</v>
      </c>
      <c r="AJ29" s="1628">
        <v>6493.84</v>
      </c>
      <c r="AK29" s="1628">
        <v>6493.85</v>
      </c>
      <c r="AL29" s="1628" t="s">
        <v>1327</v>
      </c>
      <c r="AM29" s="1628" t="s">
        <v>1327</v>
      </c>
      <c r="AN29" s="1628">
        <v>0</v>
      </c>
      <c r="AO29" s="1628" t="s">
        <v>3136</v>
      </c>
      <c r="AP29" s="1628" t="s">
        <v>1327</v>
      </c>
      <c r="AQ29" s="1628" t="s">
        <v>1327</v>
      </c>
      <c r="AR29" s="1628" t="s">
        <v>1327</v>
      </c>
      <c r="AS29" s="1628" t="s">
        <v>3137</v>
      </c>
    </row>
    <row r="30" spans="1:45">
      <c r="A30" s="1628" t="s">
        <v>3311</v>
      </c>
      <c r="B30" s="1628" t="s">
        <v>3123</v>
      </c>
      <c r="C30" s="1628" t="s">
        <v>3124</v>
      </c>
      <c r="D30" s="1628" t="s">
        <v>3125</v>
      </c>
      <c r="E30" s="1628" t="s">
        <v>1327</v>
      </c>
      <c r="F30" s="1628" t="s">
        <v>3311</v>
      </c>
      <c r="G30" s="1628" t="s">
        <v>3126</v>
      </c>
      <c r="H30" s="1628" t="s">
        <v>3312</v>
      </c>
      <c r="I30" s="1628" t="s">
        <v>3221</v>
      </c>
      <c r="J30" s="1628">
        <v>47806</v>
      </c>
      <c r="K30" s="1628">
        <v>95612</v>
      </c>
      <c r="L30" s="1628" t="s">
        <v>3313</v>
      </c>
      <c r="M30" s="1628" t="s">
        <v>1327</v>
      </c>
      <c r="N30" s="1628" t="s">
        <v>1327</v>
      </c>
      <c r="O30" s="1628" t="s">
        <v>1327</v>
      </c>
      <c r="P30" s="1628" t="s">
        <v>1327</v>
      </c>
      <c r="Q30" s="1628" t="s">
        <v>1327</v>
      </c>
      <c r="R30" s="1628" t="s">
        <v>1327</v>
      </c>
      <c r="S30" s="1628" t="s">
        <v>1327</v>
      </c>
      <c r="T30" s="1628" t="s">
        <v>1327</v>
      </c>
      <c r="U30" s="1628" t="s">
        <v>1327</v>
      </c>
      <c r="V30" s="1628" t="s">
        <v>1327</v>
      </c>
      <c r="W30" s="1628" t="s">
        <v>3236</v>
      </c>
      <c r="X30" s="1628" t="s">
        <v>3282</v>
      </c>
      <c r="Y30" s="1628" t="s">
        <v>3309</v>
      </c>
      <c r="Z30" s="1628" t="s">
        <v>3309</v>
      </c>
      <c r="AA30" s="1628" t="s">
        <v>3309</v>
      </c>
      <c r="AB30" s="1628" t="s">
        <v>3314</v>
      </c>
      <c r="AC30" s="1628" t="s">
        <v>3134</v>
      </c>
      <c r="AD30" s="1628" t="s">
        <v>3185</v>
      </c>
      <c r="AE30" s="1628">
        <v>12400</v>
      </c>
      <c r="AF30" s="1628">
        <v>62000</v>
      </c>
      <c r="AG30" s="1628">
        <v>62000</v>
      </c>
      <c r="AH30" s="1628">
        <v>864.61</v>
      </c>
      <c r="AI30" s="1628">
        <v>864.61</v>
      </c>
      <c r="AJ30" s="1628">
        <v>6484.54</v>
      </c>
      <c r="AK30" s="1628">
        <v>6484.53</v>
      </c>
      <c r="AL30" s="1628" t="s">
        <v>1327</v>
      </c>
      <c r="AM30" s="1628" t="s">
        <v>1327</v>
      </c>
      <c r="AN30" s="1628">
        <v>0</v>
      </c>
      <c r="AO30" s="1628" t="s">
        <v>3136</v>
      </c>
      <c r="AP30" s="1628" t="s">
        <v>1327</v>
      </c>
      <c r="AQ30" s="1628" t="s">
        <v>1327</v>
      </c>
      <c r="AR30" s="1628" t="s">
        <v>1327</v>
      </c>
      <c r="AS30" s="1628" t="s">
        <v>3137</v>
      </c>
    </row>
    <row r="31" spans="1:45">
      <c r="A31" s="1628" t="s">
        <v>3315</v>
      </c>
      <c r="B31" s="1628" t="s">
        <v>3123</v>
      </c>
      <c r="C31" s="1628" t="s">
        <v>3124</v>
      </c>
      <c r="D31" s="1628" t="s">
        <v>3125</v>
      </c>
      <c r="E31" s="1628" t="s">
        <v>1327</v>
      </c>
      <c r="F31" s="1628" t="s">
        <v>3315</v>
      </c>
      <c r="G31" s="1628" t="s">
        <v>3126</v>
      </c>
      <c r="H31" s="1628" t="s">
        <v>3316</v>
      </c>
      <c r="I31" s="1628" t="s">
        <v>3221</v>
      </c>
      <c r="J31" s="1628">
        <v>43700</v>
      </c>
      <c r="K31" s="1628">
        <v>48070</v>
      </c>
      <c r="L31" s="1628" t="s">
        <v>3265</v>
      </c>
      <c r="M31" s="1628" t="s">
        <v>1327</v>
      </c>
      <c r="N31" s="1628" t="s">
        <v>1327</v>
      </c>
      <c r="O31" s="1628" t="s">
        <v>1327</v>
      </c>
      <c r="P31" s="1628" t="s">
        <v>1327</v>
      </c>
      <c r="Q31" s="1628" t="s">
        <v>1327</v>
      </c>
      <c r="R31" s="1628" t="s">
        <v>1327</v>
      </c>
      <c r="S31" s="1628" t="s">
        <v>1327</v>
      </c>
      <c r="T31" s="1628" t="s">
        <v>1327</v>
      </c>
      <c r="U31" s="1628" t="s">
        <v>1327</v>
      </c>
      <c r="V31" s="1628" t="s">
        <v>1327</v>
      </c>
      <c r="W31" s="1628" t="s">
        <v>3236</v>
      </c>
      <c r="X31" s="1628" t="s">
        <v>3317</v>
      </c>
      <c r="Y31" s="1628" t="s">
        <v>3318</v>
      </c>
      <c r="Z31" s="1628" t="s">
        <v>3318</v>
      </c>
      <c r="AA31" s="1628" t="s">
        <v>3318</v>
      </c>
      <c r="AB31" s="1628" t="s">
        <v>3319</v>
      </c>
      <c r="AC31" s="1628" t="s">
        <v>3134</v>
      </c>
      <c r="AD31" s="1628" t="s">
        <v>3320</v>
      </c>
      <c r="AE31" s="1628">
        <v>7880</v>
      </c>
      <c r="AF31" s="1628">
        <v>39400</v>
      </c>
      <c r="AG31" s="1628">
        <v>46700</v>
      </c>
      <c r="AH31" s="1628">
        <v>601.07000000000005</v>
      </c>
      <c r="AI31" s="1628">
        <v>712.43</v>
      </c>
      <c r="AJ31" s="1628">
        <v>8196.3700000000008</v>
      </c>
      <c r="AK31" s="1628">
        <v>9715</v>
      </c>
      <c r="AL31" s="1628" t="s">
        <v>1327</v>
      </c>
      <c r="AM31" s="1628" t="s">
        <v>1327</v>
      </c>
      <c r="AN31" s="1628">
        <v>18.53</v>
      </c>
      <c r="AO31" s="1628" t="s">
        <v>3136</v>
      </c>
      <c r="AP31" s="1628" t="s">
        <v>1327</v>
      </c>
      <c r="AQ31" s="1628" t="s">
        <v>1327</v>
      </c>
      <c r="AR31" s="1628" t="s">
        <v>1327</v>
      </c>
      <c r="AS31" s="1628" t="s">
        <v>3152</v>
      </c>
    </row>
    <row r="32" spans="1:45">
      <c r="A32" s="1628" t="s">
        <v>3321</v>
      </c>
      <c r="B32" s="1628" t="s">
        <v>3123</v>
      </c>
      <c r="C32" s="1628" t="s">
        <v>3124</v>
      </c>
      <c r="D32" s="1628" t="s">
        <v>3125</v>
      </c>
      <c r="E32" s="1628" t="s">
        <v>1327</v>
      </c>
      <c r="F32" s="1628" t="s">
        <v>3321</v>
      </c>
      <c r="G32" s="1628" t="s">
        <v>3126</v>
      </c>
      <c r="H32" s="1628" t="s">
        <v>3322</v>
      </c>
      <c r="I32" s="1628" t="s">
        <v>3221</v>
      </c>
      <c r="J32" s="1628">
        <v>65257</v>
      </c>
      <c r="K32" s="1628">
        <v>130514</v>
      </c>
      <c r="L32" s="1628" t="s">
        <v>3323</v>
      </c>
      <c r="M32" s="1628" t="s">
        <v>1327</v>
      </c>
      <c r="N32" s="1628" t="s">
        <v>3206</v>
      </c>
      <c r="O32" s="1628" t="s">
        <v>1327</v>
      </c>
      <c r="P32" s="1628" t="s">
        <v>1327</v>
      </c>
      <c r="Q32" s="1628" t="s">
        <v>1327</v>
      </c>
      <c r="R32" s="1628" t="s">
        <v>1327</v>
      </c>
      <c r="S32" s="1628" t="s">
        <v>1327</v>
      </c>
      <c r="T32" s="1628" t="s">
        <v>1327</v>
      </c>
      <c r="U32" s="1628" t="s">
        <v>1327</v>
      </c>
      <c r="V32" s="1628" t="s">
        <v>1327</v>
      </c>
      <c r="W32" s="1628" t="s">
        <v>3236</v>
      </c>
      <c r="X32" s="1628" t="s">
        <v>3317</v>
      </c>
      <c r="Y32" s="1628" t="s">
        <v>3318</v>
      </c>
      <c r="Z32" s="1628" t="s">
        <v>3318</v>
      </c>
      <c r="AA32" s="1628" t="s">
        <v>3318</v>
      </c>
      <c r="AB32" s="1628" t="s">
        <v>3324</v>
      </c>
      <c r="AC32" s="1628" t="s">
        <v>3134</v>
      </c>
      <c r="AD32" s="1628" t="s">
        <v>3320</v>
      </c>
      <c r="AE32" s="1628">
        <v>19300</v>
      </c>
      <c r="AF32" s="1628">
        <v>96500</v>
      </c>
      <c r="AG32" s="1628">
        <v>104900</v>
      </c>
      <c r="AH32" s="1628">
        <v>985.85</v>
      </c>
      <c r="AI32" s="1628">
        <v>1071.6600000000001</v>
      </c>
      <c r="AJ32" s="1628">
        <v>7393.84</v>
      </c>
      <c r="AK32" s="1628">
        <v>8037.44</v>
      </c>
      <c r="AL32" s="1628" t="s">
        <v>1327</v>
      </c>
      <c r="AM32" s="1628" t="s">
        <v>1327</v>
      </c>
      <c r="AN32" s="1628">
        <v>8.6999999999999993</v>
      </c>
      <c r="AO32" s="1628" t="s">
        <v>3136</v>
      </c>
      <c r="AP32" s="1628" t="s">
        <v>1327</v>
      </c>
      <c r="AQ32" s="1628" t="s">
        <v>1327</v>
      </c>
      <c r="AR32" s="1628" t="s">
        <v>1327</v>
      </c>
      <c r="AS32" s="1628" t="s">
        <v>3152</v>
      </c>
    </row>
    <row r="33" spans="1:45">
      <c r="A33" s="1628" t="s">
        <v>3325</v>
      </c>
      <c r="B33" s="1628" t="s">
        <v>3123</v>
      </c>
      <c r="C33" s="1628" t="s">
        <v>3124</v>
      </c>
      <c r="D33" s="1628" t="s">
        <v>3125</v>
      </c>
      <c r="E33" s="1628" t="s">
        <v>1327</v>
      </c>
      <c r="F33" s="1628" t="s">
        <v>3325</v>
      </c>
      <c r="G33" s="1628" t="s">
        <v>3126</v>
      </c>
      <c r="H33" s="1628" t="s">
        <v>3326</v>
      </c>
      <c r="I33" s="1628" t="s">
        <v>3221</v>
      </c>
      <c r="J33" s="1628">
        <v>28276</v>
      </c>
      <c r="K33" s="1628">
        <v>56552</v>
      </c>
      <c r="L33" s="1628" t="s">
        <v>3327</v>
      </c>
      <c r="M33" s="1628" t="s">
        <v>1327</v>
      </c>
      <c r="N33" s="1628" t="s">
        <v>1327</v>
      </c>
      <c r="O33" s="1628" t="s">
        <v>1327</v>
      </c>
      <c r="P33" s="1628" t="s">
        <v>1327</v>
      </c>
      <c r="Q33" s="1628" t="s">
        <v>1327</v>
      </c>
      <c r="R33" s="1628" t="s">
        <v>1327</v>
      </c>
      <c r="S33" s="1628" t="s">
        <v>1327</v>
      </c>
      <c r="T33" s="1628" t="s">
        <v>1327</v>
      </c>
      <c r="U33" s="1628" t="s">
        <v>1327</v>
      </c>
      <c r="V33" s="1628" t="s">
        <v>1327</v>
      </c>
      <c r="W33" s="1628" t="s">
        <v>3236</v>
      </c>
      <c r="X33" s="1628" t="s">
        <v>3317</v>
      </c>
      <c r="Y33" s="1628" t="s">
        <v>3318</v>
      </c>
      <c r="Z33" s="1628" t="s">
        <v>3318</v>
      </c>
      <c r="AA33" s="1628" t="s">
        <v>3318</v>
      </c>
      <c r="AB33" s="1628" t="s">
        <v>3328</v>
      </c>
      <c r="AC33" s="1628" t="s">
        <v>3134</v>
      </c>
      <c r="AD33" s="1628" t="s">
        <v>3329</v>
      </c>
      <c r="AE33" s="1628">
        <v>2420</v>
      </c>
      <c r="AF33" s="1628">
        <v>12100</v>
      </c>
      <c r="AG33" s="1628">
        <v>12100</v>
      </c>
      <c r="AH33" s="1628">
        <v>285.27999999999997</v>
      </c>
      <c r="AI33" s="1628">
        <v>285.27999999999997</v>
      </c>
      <c r="AJ33" s="1628">
        <v>2139.62</v>
      </c>
      <c r="AK33" s="1628">
        <v>2139.61</v>
      </c>
      <c r="AL33" s="1628" t="s">
        <v>1327</v>
      </c>
      <c r="AM33" s="1628" t="s">
        <v>1327</v>
      </c>
      <c r="AN33" s="1628">
        <v>0</v>
      </c>
      <c r="AO33" s="1628" t="s">
        <v>3136</v>
      </c>
      <c r="AP33" s="1628" t="s">
        <v>1327</v>
      </c>
      <c r="AQ33" s="1628" t="s">
        <v>1327</v>
      </c>
      <c r="AR33" s="1628" t="s">
        <v>1327</v>
      </c>
      <c r="AS33" s="1628" t="s">
        <v>3160</v>
      </c>
    </row>
    <row r="34" spans="1:45">
      <c r="A34" s="1628" t="s">
        <v>3330</v>
      </c>
      <c r="B34" s="1628" t="s">
        <v>3123</v>
      </c>
      <c r="C34" s="1628" t="s">
        <v>3124</v>
      </c>
      <c r="D34" s="1628" t="s">
        <v>3125</v>
      </c>
      <c r="E34" s="1628" t="s">
        <v>1327</v>
      </c>
      <c r="F34" s="1628" t="s">
        <v>3330</v>
      </c>
      <c r="G34" s="1628" t="s">
        <v>3126</v>
      </c>
      <c r="H34" s="1628" t="s">
        <v>3331</v>
      </c>
      <c r="I34" s="1628" t="s">
        <v>3221</v>
      </c>
      <c r="J34" s="1628">
        <v>42529</v>
      </c>
      <c r="K34" s="1628">
        <v>63793.5</v>
      </c>
      <c r="L34" s="1628" t="s">
        <v>3332</v>
      </c>
      <c r="M34" s="1628" t="s">
        <v>1327</v>
      </c>
      <c r="N34" s="1628" t="s">
        <v>3333</v>
      </c>
      <c r="O34" s="1628" t="s">
        <v>3334</v>
      </c>
      <c r="P34" s="1628" t="s">
        <v>1327</v>
      </c>
      <c r="Q34" s="1628" t="s">
        <v>1327</v>
      </c>
      <c r="R34" s="1628" t="s">
        <v>1327</v>
      </c>
      <c r="S34" s="1628" t="s">
        <v>1327</v>
      </c>
      <c r="T34" s="1628" t="s">
        <v>1327</v>
      </c>
      <c r="U34" s="1628" t="s">
        <v>1327</v>
      </c>
      <c r="V34" s="1628" t="s">
        <v>1327</v>
      </c>
      <c r="W34" s="1628" t="s">
        <v>3236</v>
      </c>
      <c r="X34" s="1628" t="s">
        <v>3335</v>
      </c>
      <c r="Y34" s="1628" t="s">
        <v>3336</v>
      </c>
      <c r="Z34" s="1628" t="s">
        <v>3336</v>
      </c>
      <c r="AA34" s="1628" t="s">
        <v>3336</v>
      </c>
      <c r="AB34" s="1628" t="s">
        <v>3337</v>
      </c>
      <c r="AC34" s="1628" t="s">
        <v>3134</v>
      </c>
      <c r="AD34" s="1628" t="s">
        <v>3320</v>
      </c>
      <c r="AE34" s="1628">
        <v>3520</v>
      </c>
      <c r="AF34" s="1628">
        <v>17600</v>
      </c>
      <c r="AG34" s="1628">
        <v>24200</v>
      </c>
      <c r="AH34" s="1628">
        <v>275.89</v>
      </c>
      <c r="AI34" s="1628">
        <v>379.35</v>
      </c>
      <c r="AJ34" s="1628">
        <v>2758.9</v>
      </c>
      <c r="AK34" s="1628">
        <v>3793.48</v>
      </c>
      <c r="AL34" s="1628" t="s">
        <v>1327</v>
      </c>
      <c r="AM34" s="1628" t="s">
        <v>1327</v>
      </c>
      <c r="AN34" s="1628">
        <v>37.5</v>
      </c>
      <c r="AO34" s="1628" t="s">
        <v>3136</v>
      </c>
      <c r="AP34" s="1628" t="s">
        <v>1327</v>
      </c>
      <c r="AQ34" s="1628" t="s">
        <v>1327</v>
      </c>
      <c r="AR34" s="1628" t="s">
        <v>1327</v>
      </c>
      <c r="AS34" s="1628" t="s">
        <v>3137</v>
      </c>
    </row>
    <row r="35" spans="1:45">
      <c r="A35" s="1628" t="s">
        <v>3338</v>
      </c>
      <c r="B35" s="1628" t="s">
        <v>3123</v>
      </c>
      <c r="C35" s="1628" t="s">
        <v>3124</v>
      </c>
      <c r="D35" s="1628" t="s">
        <v>3125</v>
      </c>
      <c r="E35" s="1628" t="s">
        <v>1327</v>
      </c>
      <c r="F35" s="1628" t="s">
        <v>3338</v>
      </c>
      <c r="G35" s="1628" t="s">
        <v>3126</v>
      </c>
      <c r="H35" s="1628" t="s">
        <v>3339</v>
      </c>
      <c r="I35" s="1628" t="s">
        <v>3221</v>
      </c>
      <c r="J35" s="1628">
        <v>25491</v>
      </c>
      <c r="K35" s="1628">
        <v>33138.300000000003</v>
      </c>
      <c r="L35" s="1628" t="s">
        <v>3258</v>
      </c>
      <c r="M35" s="1628" t="s">
        <v>1327</v>
      </c>
      <c r="N35" s="1628" t="s">
        <v>1327</v>
      </c>
      <c r="O35" s="1628" t="s">
        <v>1327</v>
      </c>
      <c r="P35" s="1628" t="s">
        <v>1327</v>
      </c>
      <c r="Q35" s="1628" t="s">
        <v>1327</v>
      </c>
      <c r="R35" s="1628" t="s">
        <v>1327</v>
      </c>
      <c r="S35" s="1628" t="s">
        <v>1327</v>
      </c>
      <c r="T35" s="1628" t="s">
        <v>1327</v>
      </c>
      <c r="U35" s="1628" t="s">
        <v>1327</v>
      </c>
      <c r="V35" s="1628" t="s">
        <v>1327</v>
      </c>
      <c r="W35" s="1628" t="s">
        <v>3236</v>
      </c>
      <c r="X35" s="1628" t="s">
        <v>3340</v>
      </c>
      <c r="Y35" s="1628" t="s">
        <v>3341</v>
      </c>
      <c r="Z35" s="1628" t="s">
        <v>3341</v>
      </c>
      <c r="AA35" s="1628" t="s">
        <v>3341</v>
      </c>
      <c r="AB35" s="1628" t="s">
        <v>3342</v>
      </c>
      <c r="AC35" s="1628" t="s">
        <v>3134</v>
      </c>
      <c r="AD35" s="1628" t="s">
        <v>3185</v>
      </c>
      <c r="AE35" s="1628">
        <v>530</v>
      </c>
      <c r="AF35" s="1628">
        <v>2650</v>
      </c>
      <c r="AG35" s="1628">
        <v>2650</v>
      </c>
      <c r="AH35" s="1628">
        <v>69.31</v>
      </c>
      <c r="AI35" s="1628">
        <v>69.31</v>
      </c>
      <c r="AJ35" s="1628">
        <v>799.67</v>
      </c>
      <c r="AK35" s="1628">
        <v>799.67</v>
      </c>
      <c r="AL35" s="1628" t="s">
        <v>1327</v>
      </c>
      <c r="AM35" s="1628" t="s">
        <v>1327</v>
      </c>
      <c r="AN35" s="1628">
        <v>0</v>
      </c>
      <c r="AO35" s="1628" t="s">
        <v>3343</v>
      </c>
      <c r="AP35" s="1628" t="s">
        <v>1327</v>
      </c>
      <c r="AQ35" s="1628" t="s">
        <v>1327</v>
      </c>
      <c r="AR35" s="1628" t="s">
        <v>1327</v>
      </c>
      <c r="AS35" s="1628" t="s">
        <v>3152</v>
      </c>
    </row>
    <row r="36" spans="1:45">
      <c r="A36" s="1628" t="s">
        <v>3344</v>
      </c>
      <c r="B36" s="1628" t="s">
        <v>3123</v>
      </c>
      <c r="C36" s="1628" t="s">
        <v>3124</v>
      </c>
      <c r="D36" s="1628" t="s">
        <v>3125</v>
      </c>
      <c r="E36" s="1628" t="s">
        <v>1327</v>
      </c>
      <c r="F36" s="1628" t="s">
        <v>3344</v>
      </c>
      <c r="G36" s="1628" t="s">
        <v>3126</v>
      </c>
      <c r="H36" s="1628" t="s">
        <v>3345</v>
      </c>
      <c r="I36" s="1628" t="s">
        <v>3221</v>
      </c>
      <c r="J36" s="1628">
        <v>27975</v>
      </c>
      <c r="K36" s="1628">
        <v>27975</v>
      </c>
      <c r="L36" s="1628" t="s">
        <v>3346</v>
      </c>
      <c r="M36" s="1628" t="s">
        <v>1327</v>
      </c>
      <c r="N36" s="1628" t="s">
        <v>3347</v>
      </c>
      <c r="O36" s="1628" t="s">
        <v>1327</v>
      </c>
      <c r="P36" s="1628" t="s">
        <v>1327</v>
      </c>
      <c r="Q36" s="1628" t="s">
        <v>1327</v>
      </c>
      <c r="R36" s="1628" t="s">
        <v>1327</v>
      </c>
      <c r="S36" s="1628" t="s">
        <v>1327</v>
      </c>
      <c r="T36" s="1628" t="s">
        <v>1327</v>
      </c>
      <c r="U36" s="1628" t="s">
        <v>1327</v>
      </c>
      <c r="V36" s="1628" t="s">
        <v>1327</v>
      </c>
      <c r="W36" s="1628" t="s">
        <v>3236</v>
      </c>
      <c r="X36" s="1628" t="s">
        <v>3348</v>
      </c>
      <c r="Y36" s="1628" t="s">
        <v>3349</v>
      </c>
      <c r="Z36" s="1628" t="s">
        <v>3349</v>
      </c>
      <c r="AA36" s="1628" t="s">
        <v>3349</v>
      </c>
      <c r="AB36" s="1628" t="s">
        <v>3350</v>
      </c>
      <c r="AC36" s="1628" t="s">
        <v>3134</v>
      </c>
      <c r="AD36" s="1628" t="s">
        <v>3320</v>
      </c>
      <c r="AE36" s="1628">
        <v>2560</v>
      </c>
      <c r="AF36" s="1628">
        <v>12800</v>
      </c>
      <c r="AG36" s="1628">
        <v>19500</v>
      </c>
      <c r="AH36" s="1628">
        <v>305.02999999999997</v>
      </c>
      <c r="AI36" s="1628">
        <v>464.7</v>
      </c>
      <c r="AJ36" s="1628">
        <v>4575.51</v>
      </c>
      <c r="AK36" s="1628">
        <v>6970.51</v>
      </c>
      <c r="AL36" s="1628" t="s">
        <v>1327</v>
      </c>
      <c r="AM36" s="1628" t="s">
        <v>1327</v>
      </c>
      <c r="AN36" s="1628">
        <v>52.34</v>
      </c>
      <c r="AO36" s="1628" t="s">
        <v>3136</v>
      </c>
      <c r="AP36" s="1628" t="s">
        <v>1327</v>
      </c>
      <c r="AQ36" s="1628" t="s">
        <v>1327</v>
      </c>
      <c r="AR36" s="1628" t="s">
        <v>1327</v>
      </c>
      <c r="AS36" s="1628" t="s">
        <v>3137</v>
      </c>
    </row>
    <row r="37" spans="1:45">
      <c r="A37" s="1628" t="s">
        <v>3351</v>
      </c>
      <c r="B37" s="1628" t="s">
        <v>3123</v>
      </c>
      <c r="C37" s="1628" t="s">
        <v>3124</v>
      </c>
      <c r="D37" s="1628" t="s">
        <v>3125</v>
      </c>
      <c r="E37" s="1628" t="s">
        <v>1327</v>
      </c>
      <c r="F37" s="1628" t="s">
        <v>3351</v>
      </c>
      <c r="G37" s="1628" t="s">
        <v>3126</v>
      </c>
      <c r="H37" s="1628" t="s">
        <v>3352</v>
      </c>
      <c r="I37" s="1628" t="s">
        <v>3221</v>
      </c>
      <c r="J37" s="1628">
        <v>38201</v>
      </c>
      <c r="K37" s="1628">
        <v>72581.899999999994</v>
      </c>
      <c r="L37" s="1628" t="s">
        <v>3353</v>
      </c>
      <c r="M37" s="1628" t="s">
        <v>1327</v>
      </c>
      <c r="N37" s="1628" t="s">
        <v>3347</v>
      </c>
      <c r="O37" s="1628" t="s">
        <v>1327</v>
      </c>
      <c r="P37" s="1628" t="s">
        <v>1327</v>
      </c>
      <c r="Q37" s="1628" t="s">
        <v>1327</v>
      </c>
      <c r="R37" s="1628" t="s">
        <v>1327</v>
      </c>
      <c r="S37" s="1628" t="s">
        <v>1327</v>
      </c>
      <c r="T37" s="1628" t="s">
        <v>1327</v>
      </c>
      <c r="U37" s="1628" t="s">
        <v>1327</v>
      </c>
      <c r="V37" s="1628" t="s">
        <v>1327</v>
      </c>
      <c r="W37" s="1628" t="s">
        <v>3236</v>
      </c>
      <c r="X37" s="1628" t="s">
        <v>3354</v>
      </c>
      <c r="Y37" s="1628" t="s">
        <v>3355</v>
      </c>
      <c r="Z37" s="1628" t="s">
        <v>3355</v>
      </c>
      <c r="AA37" s="1628" t="s">
        <v>3355</v>
      </c>
      <c r="AB37" s="1628" t="s">
        <v>3356</v>
      </c>
      <c r="AC37" s="1628" t="s">
        <v>3134</v>
      </c>
      <c r="AD37" s="1628" t="s">
        <v>3357</v>
      </c>
      <c r="AE37" s="1628">
        <v>5080</v>
      </c>
      <c r="AF37" s="1628">
        <v>25400</v>
      </c>
      <c r="AG37" s="1628">
        <v>47700</v>
      </c>
      <c r="AH37" s="1628">
        <v>443.27</v>
      </c>
      <c r="AI37" s="1628">
        <v>832.44</v>
      </c>
      <c r="AJ37" s="1628">
        <v>3499.49</v>
      </c>
      <c r="AK37" s="1628">
        <v>6571.89</v>
      </c>
      <c r="AL37" s="1628" t="s">
        <v>1327</v>
      </c>
      <c r="AM37" s="1628" t="s">
        <v>1327</v>
      </c>
      <c r="AN37" s="1628">
        <v>87.8</v>
      </c>
      <c r="AO37" s="1628" t="s">
        <v>3136</v>
      </c>
      <c r="AP37" s="1628" t="s">
        <v>1327</v>
      </c>
      <c r="AQ37" s="1628" t="s">
        <v>1327</v>
      </c>
      <c r="AR37" s="1628" t="s">
        <v>1327</v>
      </c>
      <c r="AS37" s="1628" t="s">
        <v>3152</v>
      </c>
    </row>
    <row r="38" spans="1:45">
      <c r="A38" s="1628" t="s">
        <v>3358</v>
      </c>
      <c r="B38" s="1628" t="s">
        <v>3123</v>
      </c>
      <c r="C38" s="1628" t="s">
        <v>3124</v>
      </c>
      <c r="D38" s="1628" t="s">
        <v>3125</v>
      </c>
      <c r="E38" s="1628" t="s">
        <v>1327</v>
      </c>
      <c r="F38" s="1628" t="s">
        <v>3358</v>
      </c>
      <c r="G38" s="1628" t="s">
        <v>3126</v>
      </c>
      <c r="H38" s="1628" t="s">
        <v>3359</v>
      </c>
      <c r="I38" s="1628" t="s">
        <v>3221</v>
      </c>
      <c r="J38" s="1628">
        <v>25986</v>
      </c>
      <c r="K38" s="1628">
        <v>46774.8</v>
      </c>
      <c r="L38" s="1628" t="s">
        <v>3147</v>
      </c>
      <c r="M38" s="1628" t="s">
        <v>1327</v>
      </c>
      <c r="N38" s="1628" t="s">
        <v>3360</v>
      </c>
      <c r="O38" s="1628" t="s">
        <v>1327</v>
      </c>
      <c r="P38" s="1628" t="s">
        <v>1327</v>
      </c>
      <c r="Q38" s="1628" t="s">
        <v>1327</v>
      </c>
      <c r="R38" s="1628" t="s">
        <v>1327</v>
      </c>
      <c r="S38" s="1628" t="s">
        <v>1327</v>
      </c>
      <c r="T38" s="1628" t="s">
        <v>1327</v>
      </c>
      <c r="U38" s="1628" t="s">
        <v>1327</v>
      </c>
      <c r="V38" s="1628" t="s">
        <v>1327</v>
      </c>
      <c r="W38" s="1628" t="s">
        <v>3236</v>
      </c>
      <c r="X38" s="1628" t="s">
        <v>3361</v>
      </c>
      <c r="Y38" s="1628" t="s">
        <v>3362</v>
      </c>
      <c r="Z38" s="1628" t="s">
        <v>3362</v>
      </c>
      <c r="AA38" s="1628" t="s">
        <v>3362</v>
      </c>
      <c r="AB38" s="1628" t="s">
        <v>3363</v>
      </c>
      <c r="AC38" s="1628" t="s">
        <v>3134</v>
      </c>
      <c r="AD38" s="1628" t="s">
        <v>3320</v>
      </c>
      <c r="AE38" s="1628">
        <v>6400</v>
      </c>
      <c r="AF38" s="1628">
        <v>32000</v>
      </c>
      <c r="AG38" s="1628">
        <v>42100</v>
      </c>
      <c r="AH38" s="1628">
        <v>820.95</v>
      </c>
      <c r="AI38" s="1628">
        <v>1080.07</v>
      </c>
      <c r="AJ38" s="1628">
        <v>6841.29</v>
      </c>
      <c r="AK38" s="1628">
        <v>9000.56</v>
      </c>
      <c r="AL38" s="1628" t="s">
        <v>1327</v>
      </c>
      <c r="AM38" s="1628" t="s">
        <v>1327</v>
      </c>
      <c r="AN38" s="1628">
        <v>31.56</v>
      </c>
      <c r="AO38" s="1628" t="s">
        <v>3136</v>
      </c>
      <c r="AP38" s="1628" t="s">
        <v>1327</v>
      </c>
      <c r="AQ38" s="1628" t="s">
        <v>1327</v>
      </c>
      <c r="AR38" s="1628" t="s">
        <v>1327</v>
      </c>
      <c r="AS38" s="1628" t="s">
        <v>3152</v>
      </c>
    </row>
    <row r="39" spans="1:45">
      <c r="A39" s="1628" t="s">
        <v>3364</v>
      </c>
      <c r="B39" s="1628" t="s">
        <v>3123</v>
      </c>
      <c r="C39" s="1628" t="s">
        <v>3124</v>
      </c>
      <c r="D39" s="1628" t="s">
        <v>3125</v>
      </c>
      <c r="E39" s="1628" t="s">
        <v>1327</v>
      </c>
      <c r="F39" s="1628" t="s">
        <v>3364</v>
      </c>
      <c r="G39" s="1628" t="s">
        <v>3126</v>
      </c>
      <c r="H39" s="1628" t="s">
        <v>3365</v>
      </c>
      <c r="I39" s="1628" t="s">
        <v>3221</v>
      </c>
      <c r="J39" s="1628">
        <v>113635</v>
      </c>
      <c r="K39" s="1628">
        <v>227270</v>
      </c>
      <c r="L39" s="1628" t="s">
        <v>3182</v>
      </c>
      <c r="M39" s="1628" t="s">
        <v>1327</v>
      </c>
      <c r="N39" s="1628" t="s">
        <v>3366</v>
      </c>
      <c r="O39" s="1628" t="s">
        <v>3367</v>
      </c>
      <c r="P39" s="1628" t="s">
        <v>1327</v>
      </c>
      <c r="Q39" s="1628" t="s">
        <v>1327</v>
      </c>
      <c r="R39" s="1628" t="s">
        <v>1327</v>
      </c>
      <c r="S39" s="1628" t="s">
        <v>1327</v>
      </c>
      <c r="T39" s="1628" t="s">
        <v>1327</v>
      </c>
      <c r="U39" s="1628" t="s">
        <v>1327</v>
      </c>
      <c r="V39" s="1628" t="s">
        <v>1327</v>
      </c>
      <c r="W39" s="1628" t="s">
        <v>3236</v>
      </c>
      <c r="X39" s="1628" t="s">
        <v>3368</v>
      </c>
      <c r="Y39" s="1628" t="s">
        <v>3369</v>
      </c>
      <c r="Z39" s="1628" t="s">
        <v>3369</v>
      </c>
      <c r="AA39" s="1628" t="s">
        <v>3369</v>
      </c>
      <c r="AB39" s="1628" t="s">
        <v>3370</v>
      </c>
      <c r="AC39" s="1628" t="s">
        <v>3134</v>
      </c>
      <c r="AD39" s="1628" t="s">
        <v>3298</v>
      </c>
      <c r="AE39" s="1628">
        <v>23820</v>
      </c>
      <c r="AF39" s="1628">
        <v>119100</v>
      </c>
      <c r="AG39" s="1628">
        <v>119100</v>
      </c>
      <c r="AH39" s="1628">
        <v>698.73</v>
      </c>
      <c r="AI39" s="1628">
        <v>698.73</v>
      </c>
      <c r="AJ39" s="1628">
        <v>5240.46</v>
      </c>
      <c r="AK39" s="1628">
        <v>5240.46</v>
      </c>
      <c r="AL39" s="1628" t="s">
        <v>1327</v>
      </c>
      <c r="AM39" s="1628" t="s">
        <v>1327</v>
      </c>
      <c r="AN39" s="1628">
        <v>0</v>
      </c>
      <c r="AO39" s="1628" t="s">
        <v>3136</v>
      </c>
      <c r="AP39" s="1628" t="s">
        <v>1327</v>
      </c>
      <c r="AQ39" s="1628" t="s">
        <v>1327</v>
      </c>
      <c r="AR39" s="1628" t="s">
        <v>1327</v>
      </c>
      <c r="AS39" s="1628" t="s">
        <v>3144</v>
      </c>
    </row>
    <row r="40" spans="1:45">
      <c r="A40" s="1628" t="s">
        <v>3371</v>
      </c>
      <c r="B40" s="1628" t="s">
        <v>3123</v>
      </c>
      <c r="C40" s="1628" t="s">
        <v>3124</v>
      </c>
      <c r="D40" s="1628" t="s">
        <v>3125</v>
      </c>
      <c r="E40" s="1628" t="s">
        <v>1327</v>
      </c>
      <c r="F40" s="1628" t="s">
        <v>3371</v>
      </c>
      <c r="G40" s="1628" t="s">
        <v>3126</v>
      </c>
      <c r="H40" s="1628" t="s">
        <v>3372</v>
      </c>
      <c r="I40" s="1628" t="s">
        <v>3221</v>
      </c>
      <c r="J40" s="1628">
        <v>115424</v>
      </c>
      <c r="K40" s="1628">
        <v>230848</v>
      </c>
      <c r="L40" s="1628" t="s">
        <v>3323</v>
      </c>
      <c r="M40" s="1628" t="s">
        <v>1327</v>
      </c>
      <c r="N40" s="1628" t="s">
        <v>3366</v>
      </c>
      <c r="O40" s="1628" t="s">
        <v>3373</v>
      </c>
      <c r="P40" s="1628" t="s">
        <v>1327</v>
      </c>
      <c r="Q40" s="1628" t="s">
        <v>1327</v>
      </c>
      <c r="R40" s="1628" t="s">
        <v>1327</v>
      </c>
      <c r="S40" s="1628" t="s">
        <v>1327</v>
      </c>
      <c r="T40" s="1628" t="s">
        <v>1327</v>
      </c>
      <c r="U40" s="1628" t="s">
        <v>1327</v>
      </c>
      <c r="V40" s="1628" t="s">
        <v>1327</v>
      </c>
      <c r="W40" s="1628" t="s">
        <v>3236</v>
      </c>
      <c r="X40" s="1628" t="s">
        <v>3374</v>
      </c>
      <c r="Y40" s="1628" t="s">
        <v>3340</v>
      </c>
      <c r="Z40" s="1628" t="s">
        <v>3340</v>
      </c>
      <c r="AA40" s="1628" t="s">
        <v>3340</v>
      </c>
      <c r="AB40" s="1628" t="s">
        <v>3375</v>
      </c>
      <c r="AC40" s="1628" t="s">
        <v>3134</v>
      </c>
      <c r="AD40" s="1628" t="s">
        <v>3199</v>
      </c>
      <c r="AE40" s="1628">
        <v>34040</v>
      </c>
      <c r="AF40" s="1628">
        <v>170200</v>
      </c>
      <c r="AG40" s="1628">
        <v>198000</v>
      </c>
      <c r="AH40" s="1628">
        <v>983.04</v>
      </c>
      <c r="AI40" s="1628">
        <v>1143.6099999999999</v>
      </c>
      <c r="AJ40" s="1628">
        <v>7372.81</v>
      </c>
      <c r="AK40" s="1628">
        <v>8577.06</v>
      </c>
      <c r="AL40" s="1628" t="s">
        <v>1327</v>
      </c>
      <c r="AM40" s="1628" t="s">
        <v>1327</v>
      </c>
      <c r="AN40" s="1628">
        <v>16.329999999999998</v>
      </c>
      <c r="AO40" s="1628" t="s">
        <v>3136</v>
      </c>
      <c r="AP40" s="1628" t="s">
        <v>1327</v>
      </c>
      <c r="AQ40" s="1628" t="s">
        <v>1327</v>
      </c>
      <c r="AR40" s="1628" t="s">
        <v>1327</v>
      </c>
      <c r="AS40" s="1628" t="s">
        <v>3137</v>
      </c>
    </row>
    <row r="41" spans="1:45">
      <c r="A41" s="1628" t="s">
        <v>3376</v>
      </c>
      <c r="B41" s="1628" t="s">
        <v>3123</v>
      </c>
      <c r="C41" s="1628" t="s">
        <v>3124</v>
      </c>
      <c r="D41" s="1628" t="s">
        <v>3125</v>
      </c>
      <c r="E41" s="1628" t="s">
        <v>1327</v>
      </c>
      <c r="F41" s="1628" t="s">
        <v>3376</v>
      </c>
      <c r="G41" s="1628" t="s">
        <v>3126</v>
      </c>
      <c r="H41" s="1628" t="s">
        <v>3377</v>
      </c>
      <c r="I41" s="1628" t="s">
        <v>3221</v>
      </c>
      <c r="J41" s="1628">
        <v>20730</v>
      </c>
      <c r="K41" s="1628">
        <v>26949</v>
      </c>
      <c r="L41" s="1628" t="s">
        <v>3258</v>
      </c>
      <c r="M41" s="1628" t="s">
        <v>1327</v>
      </c>
      <c r="N41" s="1628" t="s">
        <v>3347</v>
      </c>
      <c r="O41" s="1628" t="s">
        <v>3378</v>
      </c>
      <c r="P41" s="1628" t="s">
        <v>1327</v>
      </c>
      <c r="Q41" s="1628" t="s">
        <v>1327</v>
      </c>
      <c r="R41" s="1628" t="s">
        <v>1327</v>
      </c>
      <c r="S41" s="1628" t="s">
        <v>1327</v>
      </c>
      <c r="T41" s="1628" t="s">
        <v>1327</v>
      </c>
      <c r="U41" s="1628" t="s">
        <v>1327</v>
      </c>
      <c r="V41" s="1628" t="s">
        <v>1327</v>
      </c>
      <c r="W41" s="1628" t="s">
        <v>3236</v>
      </c>
      <c r="X41" s="1628" t="s">
        <v>3379</v>
      </c>
      <c r="Y41" s="1628" t="s">
        <v>3380</v>
      </c>
      <c r="Z41" s="1628" t="s">
        <v>3380</v>
      </c>
      <c r="AA41" s="1628" t="s">
        <v>3380</v>
      </c>
      <c r="AB41" s="1628" t="s">
        <v>3381</v>
      </c>
      <c r="AC41" s="1628" t="s">
        <v>3134</v>
      </c>
      <c r="AD41" s="1628" t="s">
        <v>3382</v>
      </c>
      <c r="AE41" s="1628">
        <v>3500</v>
      </c>
      <c r="AF41" s="1628">
        <v>17500</v>
      </c>
      <c r="AG41" s="1628">
        <v>17600</v>
      </c>
      <c r="AH41" s="1628">
        <v>562.79</v>
      </c>
      <c r="AI41" s="1628">
        <v>566.01</v>
      </c>
      <c r="AJ41" s="1628">
        <v>6493.74</v>
      </c>
      <c r="AK41" s="1628">
        <v>6530.85</v>
      </c>
      <c r="AL41" s="1628" t="s">
        <v>1327</v>
      </c>
      <c r="AM41" s="1628" t="s">
        <v>1327</v>
      </c>
      <c r="AN41" s="1628">
        <v>0.56999999999999995</v>
      </c>
      <c r="AO41" s="1628" t="s">
        <v>3136</v>
      </c>
      <c r="AP41" s="1628" t="s">
        <v>1327</v>
      </c>
      <c r="AQ41" s="1628" t="s">
        <v>1327</v>
      </c>
      <c r="AR41" s="1628" t="s">
        <v>1327</v>
      </c>
      <c r="AS41" s="1628" t="s">
        <v>3144</v>
      </c>
    </row>
    <row r="42" spans="1:45">
      <c r="A42" s="1628" t="s">
        <v>3383</v>
      </c>
      <c r="B42" s="1628" t="s">
        <v>3123</v>
      </c>
      <c r="C42" s="1628" t="s">
        <v>3124</v>
      </c>
      <c r="D42" s="1628" t="s">
        <v>3125</v>
      </c>
      <c r="E42" s="1628" t="s">
        <v>1327</v>
      </c>
      <c r="F42" s="1628" t="s">
        <v>3383</v>
      </c>
      <c r="G42" s="1628" t="s">
        <v>3126</v>
      </c>
      <c r="H42" s="1628" t="s">
        <v>3384</v>
      </c>
      <c r="I42" s="1628" t="s">
        <v>3221</v>
      </c>
      <c r="J42" s="1628">
        <v>32948</v>
      </c>
      <c r="K42" s="1628">
        <v>65896</v>
      </c>
      <c r="L42" s="1628" t="s">
        <v>3182</v>
      </c>
      <c r="M42" s="1628" t="s">
        <v>1327</v>
      </c>
      <c r="N42" s="1628" t="s">
        <v>3366</v>
      </c>
      <c r="O42" s="1628" t="s">
        <v>3367</v>
      </c>
      <c r="P42" s="1628" t="s">
        <v>1327</v>
      </c>
      <c r="Q42" s="1628" t="s">
        <v>1327</v>
      </c>
      <c r="R42" s="1628" t="s">
        <v>1327</v>
      </c>
      <c r="S42" s="1628" t="s">
        <v>1327</v>
      </c>
      <c r="T42" s="1628" t="s">
        <v>1327</v>
      </c>
      <c r="U42" s="1628" t="s">
        <v>1327</v>
      </c>
      <c r="V42" s="1628" t="s">
        <v>1327</v>
      </c>
      <c r="W42" s="1628" t="s">
        <v>3236</v>
      </c>
      <c r="X42" s="1628" t="s">
        <v>3379</v>
      </c>
      <c r="Y42" s="1628" t="s">
        <v>3380</v>
      </c>
      <c r="Z42" s="1628" t="s">
        <v>3380</v>
      </c>
      <c r="AA42" s="1628" t="s">
        <v>3380</v>
      </c>
      <c r="AB42" s="1628" t="s">
        <v>3385</v>
      </c>
      <c r="AC42" s="1628" t="s">
        <v>3134</v>
      </c>
      <c r="AD42" s="1628" t="s">
        <v>3185</v>
      </c>
      <c r="AE42" s="1628">
        <v>1080</v>
      </c>
      <c r="AF42" s="1628">
        <v>5400</v>
      </c>
      <c r="AG42" s="1628">
        <v>5400</v>
      </c>
      <c r="AH42" s="1628">
        <v>109.26</v>
      </c>
      <c r="AI42" s="1628">
        <v>109.26</v>
      </c>
      <c r="AJ42" s="1628">
        <v>819.47</v>
      </c>
      <c r="AK42" s="1628">
        <v>819.47</v>
      </c>
      <c r="AL42" s="1628" t="s">
        <v>1327</v>
      </c>
      <c r="AM42" s="1628" t="s">
        <v>1327</v>
      </c>
      <c r="AN42" s="1628">
        <v>0</v>
      </c>
      <c r="AO42" s="1628" t="s">
        <v>3136</v>
      </c>
      <c r="AP42" s="1628" t="s">
        <v>1327</v>
      </c>
      <c r="AQ42" s="1628" t="s">
        <v>1327</v>
      </c>
      <c r="AR42" s="1628" t="s">
        <v>1327</v>
      </c>
      <c r="AS42" s="1628" t="s">
        <v>3152</v>
      </c>
    </row>
    <row r="43" spans="1:45">
      <c r="A43" s="1628" t="s">
        <v>3386</v>
      </c>
      <c r="B43" s="1628" t="s">
        <v>3123</v>
      </c>
      <c r="C43" s="1628" t="s">
        <v>3124</v>
      </c>
      <c r="D43" s="1628" t="s">
        <v>3125</v>
      </c>
      <c r="E43" s="1628" t="s">
        <v>1327</v>
      </c>
      <c r="F43" s="1628" t="s">
        <v>3386</v>
      </c>
      <c r="G43" s="1628" t="s">
        <v>3126</v>
      </c>
      <c r="H43" s="1628" t="s">
        <v>3387</v>
      </c>
      <c r="I43" s="1628" t="s">
        <v>3221</v>
      </c>
      <c r="J43" s="1628">
        <v>52633</v>
      </c>
      <c r="K43" s="1628">
        <v>94739.4</v>
      </c>
      <c r="L43" s="1628" t="s">
        <v>3147</v>
      </c>
      <c r="M43" s="1628" t="s">
        <v>1327</v>
      </c>
      <c r="N43" s="1628" t="s">
        <v>3347</v>
      </c>
      <c r="O43" s="1628" t="s">
        <v>3388</v>
      </c>
      <c r="P43" s="1628" t="s">
        <v>1327</v>
      </c>
      <c r="Q43" s="1628" t="s">
        <v>1327</v>
      </c>
      <c r="R43" s="1628" t="s">
        <v>1327</v>
      </c>
      <c r="S43" s="1628" t="s">
        <v>1327</v>
      </c>
      <c r="T43" s="1628" t="s">
        <v>1327</v>
      </c>
      <c r="U43" s="1628" t="s">
        <v>1327</v>
      </c>
      <c r="V43" s="1628" t="s">
        <v>1327</v>
      </c>
      <c r="W43" s="1628" t="s">
        <v>3236</v>
      </c>
      <c r="X43" s="1628" t="s">
        <v>3389</v>
      </c>
      <c r="Y43" s="1628" t="s">
        <v>3390</v>
      </c>
      <c r="Z43" s="1628" t="s">
        <v>3390</v>
      </c>
      <c r="AA43" s="1628" t="s">
        <v>3390</v>
      </c>
      <c r="AB43" s="1628" t="s">
        <v>3391</v>
      </c>
      <c r="AC43" s="1628" t="s">
        <v>3134</v>
      </c>
      <c r="AD43" s="1628" t="s">
        <v>3392</v>
      </c>
      <c r="AE43" s="1628">
        <v>7020</v>
      </c>
      <c r="AF43" s="1628">
        <v>35100</v>
      </c>
      <c r="AG43" s="1628">
        <v>45700</v>
      </c>
      <c r="AH43" s="1628">
        <v>444.59</v>
      </c>
      <c r="AI43" s="1628">
        <v>578.85</v>
      </c>
      <c r="AJ43" s="1628">
        <v>3704.9</v>
      </c>
      <c r="AK43" s="1628">
        <v>4823.76</v>
      </c>
      <c r="AL43" s="1628" t="s">
        <v>1327</v>
      </c>
      <c r="AM43" s="1628" t="s">
        <v>1327</v>
      </c>
      <c r="AN43" s="1628">
        <v>30.2</v>
      </c>
      <c r="AO43" s="1628" t="s">
        <v>3136</v>
      </c>
      <c r="AP43" s="1628" t="s">
        <v>1327</v>
      </c>
      <c r="AQ43" s="1628" t="s">
        <v>1327</v>
      </c>
      <c r="AR43" s="1628" t="s">
        <v>1327</v>
      </c>
      <c r="AS43" s="1628" t="s">
        <v>3152</v>
      </c>
    </row>
    <row r="44" spans="1:45">
      <c r="A44" s="1628" t="s">
        <v>3393</v>
      </c>
      <c r="B44" s="1628" t="s">
        <v>3123</v>
      </c>
      <c r="C44" s="1628" t="s">
        <v>3124</v>
      </c>
      <c r="D44" s="1628" t="s">
        <v>3125</v>
      </c>
      <c r="E44" s="1628" t="s">
        <v>1327</v>
      </c>
      <c r="F44" s="1628" t="s">
        <v>3393</v>
      </c>
      <c r="G44" s="1628" t="s">
        <v>3126</v>
      </c>
      <c r="H44" s="1628" t="s">
        <v>3394</v>
      </c>
      <c r="I44" s="1628" t="s">
        <v>3221</v>
      </c>
      <c r="J44" s="1628">
        <v>103835</v>
      </c>
      <c r="K44" s="1628">
        <v>134985.5</v>
      </c>
      <c r="L44" s="1628" t="s">
        <v>3258</v>
      </c>
      <c r="M44" s="1628" t="s">
        <v>1327</v>
      </c>
      <c r="N44" s="1628" t="s">
        <v>3347</v>
      </c>
      <c r="O44" s="1628" t="s">
        <v>3395</v>
      </c>
      <c r="P44" s="1628" t="s">
        <v>1327</v>
      </c>
      <c r="Q44" s="1628" t="s">
        <v>1327</v>
      </c>
      <c r="R44" s="1628" t="s">
        <v>1327</v>
      </c>
      <c r="S44" s="1628" t="s">
        <v>1327</v>
      </c>
      <c r="T44" s="1628" t="s">
        <v>1327</v>
      </c>
      <c r="U44" s="1628" t="s">
        <v>1327</v>
      </c>
      <c r="V44" s="1628" t="s">
        <v>1327</v>
      </c>
      <c r="W44" s="1628" t="s">
        <v>3236</v>
      </c>
      <c r="X44" s="1628" t="s">
        <v>3396</v>
      </c>
      <c r="Y44" s="1628" t="s">
        <v>3397</v>
      </c>
      <c r="Z44" s="1628" t="s">
        <v>3397</v>
      </c>
      <c r="AA44" s="1628" t="s">
        <v>3397</v>
      </c>
      <c r="AB44" s="1628" t="s">
        <v>3398</v>
      </c>
      <c r="AC44" s="1628" t="s">
        <v>3134</v>
      </c>
      <c r="AD44" s="1628" t="s">
        <v>3399</v>
      </c>
      <c r="AE44" s="1628">
        <v>5620</v>
      </c>
      <c r="AF44" s="1628">
        <v>28100</v>
      </c>
      <c r="AG44" s="1628">
        <v>28100</v>
      </c>
      <c r="AH44" s="1628">
        <v>180.41</v>
      </c>
      <c r="AI44" s="1628">
        <v>180.41</v>
      </c>
      <c r="AJ44" s="1628">
        <v>2081.6999999999998</v>
      </c>
      <c r="AK44" s="1628">
        <v>2081.71</v>
      </c>
      <c r="AL44" s="1628" t="s">
        <v>1327</v>
      </c>
      <c r="AM44" s="1628" t="s">
        <v>1327</v>
      </c>
      <c r="AN44" s="1628">
        <v>0</v>
      </c>
      <c r="AO44" s="1628" t="s">
        <v>3136</v>
      </c>
      <c r="AP44" s="1628" t="s">
        <v>1327</v>
      </c>
      <c r="AQ44" s="1628" t="s">
        <v>1327</v>
      </c>
      <c r="AR44" s="1628" t="s">
        <v>1327</v>
      </c>
      <c r="AS44" s="1628" t="s">
        <v>3144</v>
      </c>
    </row>
    <row r="45" spans="1:45">
      <c r="A45" s="1628" t="s">
        <v>3400</v>
      </c>
      <c r="B45" s="1628" t="s">
        <v>3123</v>
      </c>
      <c r="C45" s="1628" t="s">
        <v>3124</v>
      </c>
      <c r="D45" s="1628" t="s">
        <v>3125</v>
      </c>
      <c r="E45" s="1628" t="s">
        <v>1327</v>
      </c>
      <c r="F45" s="1628" t="s">
        <v>3400</v>
      </c>
      <c r="G45" s="1628" t="s">
        <v>3126</v>
      </c>
      <c r="H45" s="1628" t="s">
        <v>3401</v>
      </c>
      <c r="I45" s="1628" t="s">
        <v>3221</v>
      </c>
      <c r="J45" s="1628">
        <v>72178</v>
      </c>
      <c r="K45" s="1628">
        <v>93831.4</v>
      </c>
      <c r="L45" s="1628" t="s">
        <v>3258</v>
      </c>
      <c r="M45" s="1628" t="s">
        <v>1327</v>
      </c>
      <c r="N45" s="1628" t="s">
        <v>3347</v>
      </c>
      <c r="O45" s="1628" t="s">
        <v>3395</v>
      </c>
      <c r="P45" s="1628" t="s">
        <v>1327</v>
      </c>
      <c r="Q45" s="1628" t="s">
        <v>1327</v>
      </c>
      <c r="R45" s="1628" t="s">
        <v>1327</v>
      </c>
      <c r="S45" s="1628" t="s">
        <v>1327</v>
      </c>
      <c r="T45" s="1628" t="s">
        <v>1327</v>
      </c>
      <c r="U45" s="1628" t="s">
        <v>1327</v>
      </c>
      <c r="V45" s="1628" t="s">
        <v>1327</v>
      </c>
      <c r="W45" s="1628" t="s">
        <v>3236</v>
      </c>
      <c r="X45" s="1628" t="s">
        <v>3396</v>
      </c>
      <c r="Y45" s="1628" t="s">
        <v>3397</v>
      </c>
      <c r="Z45" s="1628" t="s">
        <v>3397</v>
      </c>
      <c r="AA45" s="1628" t="s">
        <v>3397</v>
      </c>
      <c r="AB45" s="1628" t="s">
        <v>3402</v>
      </c>
      <c r="AC45" s="1628" t="s">
        <v>3134</v>
      </c>
      <c r="AD45" s="1628" t="s">
        <v>3399</v>
      </c>
      <c r="AE45" s="1628">
        <v>3900</v>
      </c>
      <c r="AF45" s="1628">
        <v>19500</v>
      </c>
      <c r="AG45" s="1628">
        <v>19500</v>
      </c>
      <c r="AH45" s="1628">
        <v>180.11</v>
      </c>
      <c r="AI45" s="1628">
        <v>180.11</v>
      </c>
      <c r="AJ45" s="1628">
        <v>2078.19</v>
      </c>
      <c r="AK45" s="1628">
        <v>2078.19</v>
      </c>
      <c r="AL45" s="1628" t="s">
        <v>1327</v>
      </c>
      <c r="AM45" s="1628" t="s">
        <v>1327</v>
      </c>
      <c r="AN45" s="1628">
        <v>0</v>
      </c>
      <c r="AO45" s="1628" t="s">
        <v>3136</v>
      </c>
      <c r="AP45" s="1628" t="s">
        <v>1327</v>
      </c>
      <c r="AQ45" s="1628" t="s">
        <v>1327</v>
      </c>
      <c r="AR45" s="1628" t="s">
        <v>1327</v>
      </c>
      <c r="AS45" s="1628" t="s">
        <v>3160</v>
      </c>
    </row>
    <row r="46" spans="1:45">
      <c r="A46" s="1628" t="s">
        <v>3403</v>
      </c>
      <c r="B46" s="1628" t="s">
        <v>3123</v>
      </c>
      <c r="C46" s="1628" t="s">
        <v>3124</v>
      </c>
      <c r="D46" s="1628" t="s">
        <v>3125</v>
      </c>
      <c r="E46" s="1628" t="s">
        <v>1327</v>
      </c>
      <c r="F46" s="1628" t="s">
        <v>3403</v>
      </c>
      <c r="G46" s="1628" t="s">
        <v>3126</v>
      </c>
      <c r="H46" s="1628" t="s">
        <v>3404</v>
      </c>
      <c r="I46" s="1628" t="s">
        <v>3221</v>
      </c>
      <c r="J46" s="1628">
        <v>38362</v>
      </c>
      <c r="K46" s="1628">
        <v>69051.600000000006</v>
      </c>
      <c r="L46" s="1628" t="s">
        <v>3147</v>
      </c>
      <c r="M46" s="1628" t="s">
        <v>1327</v>
      </c>
      <c r="N46" s="1628" t="s">
        <v>3347</v>
      </c>
      <c r="O46" s="1628" t="s">
        <v>1327</v>
      </c>
      <c r="P46" s="1628" t="s">
        <v>1327</v>
      </c>
      <c r="Q46" s="1628" t="s">
        <v>1327</v>
      </c>
      <c r="R46" s="1628" t="s">
        <v>1327</v>
      </c>
      <c r="S46" s="1628" t="s">
        <v>1327</v>
      </c>
      <c r="T46" s="1628" t="s">
        <v>1327</v>
      </c>
      <c r="U46" s="1628" t="s">
        <v>1327</v>
      </c>
      <c r="V46" s="1628" t="s">
        <v>1327</v>
      </c>
      <c r="W46" s="1628" t="s">
        <v>3236</v>
      </c>
      <c r="X46" s="1628" t="s">
        <v>3405</v>
      </c>
      <c r="Y46" s="1628" t="s">
        <v>3406</v>
      </c>
      <c r="Z46" s="1628" t="s">
        <v>3406</v>
      </c>
      <c r="AA46" s="1628" t="s">
        <v>3406</v>
      </c>
      <c r="AB46" s="1628" t="s">
        <v>3407</v>
      </c>
      <c r="AC46" s="1628" t="s">
        <v>3134</v>
      </c>
      <c r="AD46" s="1628" t="s">
        <v>3408</v>
      </c>
      <c r="AE46" s="1628">
        <v>4160</v>
      </c>
      <c r="AF46" s="1628">
        <v>20800</v>
      </c>
      <c r="AG46" s="1628">
        <v>30000</v>
      </c>
      <c r="AH46" s="1628">
        <v>361.47</v>
      </c>
      <c r="AI46" s="1628">
        <v>521.35</v>
      </c>
      <c r="AJ46" s="1628">
        <v>3012.24</v>
      </c>
      <c r="AK46" s="1628">
        <v>4344.57</v>
      </c>
      <c r="AL46" s="1628" t="s">
        <v>1327</v>
      </c>
      <c r="AM46" s="1628" t="s">
        <v>1327</v>
      </c>
      <c r="AN46" s="1628">
        <v>44.23</v>
      </c>
      <c r="AO46" s="1628" t="s">
        <v>3136</v>
      </c>
      <c r="AP46" s="1628" t="s">
        <v>1327</v>
      </c>
      <c r="AQ46" s="1628" t="s">
        <v>1327</v>
      </c>
      <c r="AR46" s="1628" t="s">
        <v>1327</v>
      </c>
      <c r="AS46" s="1628" t="s">
        <v>3137</v>
      </c>
    </row>
    <row r="47" spans="1:45">
      <c r="A47" s="1628" t="s">
        <v>3409</v>
      </c>
      <c r="B47" s="1628" t="s">
        <v>3123</v>
      </c>
      <c r="C47" s="1628" t="s">
        <v>3124</v>
      </c>
      <c r="D47" s="1628" t="s">
        <v>3125</v>
      </c>
      <c r="E47" s="1628" t="s">
        <v>1327</v>
      </c>
      <c r="F47" s="1628" t="s">
        <v>3409</v>
      </c>
      <c r="G47" s="1628" t="s">
        <v>3126</v>
      </c>
      <c r="H47" s="1628" t="s">
        <v>3410</v>
      </c>
      <c r="I47" s="1628" t="s">
        <v>3221</v>
      </c>
      <c r="J47" s="1628">
        <v>64220</v>
      </c>
      <c r="K47" s="1628">
        <v>134862</v>
      </c>
      <c r="L47" s="1628" t="s">
        <v>3411</v>
      </c>
      <c r="M47" s="1628" t="s">
        <v>1327</v>
      </c>
      <c r="N47" s="1628" t="s">
        <v>3360</v>
      </c>
      <c r="O47" s="1628" t="s">
        <v>3412</v>
      </c>
      <c r="P47" s="1628" t="s">
        <v>1327</v>
      </c>
      <c r="Q47" s="1628" t="s">
        <v>1327</v>
      </c>
      <c r="R47" s="1628" t="s">
        <v>1327</v>
      </c>
      <c r="S47" s="1628" t="s">
        <v>1327</v>
      </c>
      <c r="T47" s="1628" t="s">
        <v>1327</v>
      </c>
      <c r="U47" s="1628" t="s">
        <v>1327</v>
      </c>
      <c r="V47" s="1628" t="s">
        <v>1327</v>
      </c>
      <c r="W47" s="1628" t="s">
        <v>3236</v>
      </c>
      <c r="X47" s="1628" t="s">
        <v>3413</v>
      </c>
      <c r="Y47" s="1628" t="s">
        <v>3414</v>
      </c>
      <c r="Z47" s="1628" t="s">
        <v>3414</v>
      </c>
      <c r="AA47" s="1628" t="s">
        <v>3414</v>
      </c>
      <c r="AB47" s="1628" t="s">
        <v>3415</v>
      </c>
      <c r="AC47" s="1628" t="s">
        <v>3134</v>
      </c>
      <c r="AD47" s="1628" t="s">
        <v>3416</v>
      </c>
      <c r="AE47" s="1628">
        <v>16182</v>
      </c>
      <c r="AF47" s="1628">
        <v>80910</v>
      </c>
      <c r="AG47" s="1628">
        <v>112010</v>
      </c>
      <c r="AH47" s="1628">
        <v>839.93</v>
      </c>
      <c r="AI47" s="1628">
        <v>1162.77</v>
      </c>
      <c r="AJ47" s="1628">
        <v>5999.46</v>
      </c>
      <c r="AK47" s="1628">
        <v>8305.5300000000007</v>
      </c>
      <c r="AL47" s="1628" t="s">
        <v>1327</v>
      </c>
      <c r="AM47" s="1628" t="s">
        <v>1327</v>
      </c>
      <c r="AN47" s="1628">
        <v>38.44</v>
      </c>
      <c r="AO47" s="1628" t="s">
        <v>3136</v>
      </c>
      <c r="AP47" s="1628" t="s">
        <v>1327</v>
      </c>
      <c r="AQ47" s="1628" t="s">
        <v>1327</v>
      </c>
      <c r="AR47" s="1628" t="s">
        <v>1327</v>
      </c>
      <c r="AS47" s="1628" t="s">
        <v>3152</v>
      </c>
    </row>
    <row r="48" spans="1:45">
      <c r="A48" s="1628" t="s">
        <v>3417</v>
      </c>
      <c r="B48" s="1628" t="s">
        <v>3123</v>
      </c>
      <c r="C48" s="1628" t="s">
        <v>3124</v>
      </c>
      <c r="D48" s="1628" t="s">
        <v>3125</v>
      </c>
      <c r="E48" s="1628" t="s">
        <v>1327</v>
      </c>
      <c r="F48" s="1628" t="s">
        <v>3417</v>
      </c>
      <c r="G48" s="1628" t="s">
        <v>3126</v>
      </c>
      <c r="H48" s="1628" t="s">
        <v>3418</v>
      </c>
      <c r="I48" s="1628" t="s">
        <v>3221</v>
      </c>
      <c r="J48" s="1628">
        <v>13732</v>
      </c>
      <c r="K48" s="1628">
        <v>30210.400000000001</v>
      </c>
      <c r="L48" s="1628" t="s">
        <v>3419</v>
      </c>
      <c r="M48" s="1628" t="s">
        <v>1327</v>
      </c>
      <c r="N48" s="1628" t="s">
        <v>3366</v>
      </c>
      <c r="O48" s="1628" t="s">
        <v>3373</v>
      </c>
      <c r="P48" s="1628" t="s">
        <v>1327</v>
      </c>
      <c r="Q48" s="1628" t="s">
        <v>1327</v>
      </c>
      <c r="R48" s="1628" t="s">
        <v>1327</v>
      </c>
      <c r="S48" s="1628" t="s">
        <v>1327</v>
      </c>
      <c r="T48" s="1628" t="s">
        <v>1327</v>
      </c>
      <c r="U48" s="1628" t="s">
        <v>1327</v>
      </c>
      <c r="V48" s="1628" t="s">
        <v>1327</v>
      </c>
      <c r="W48" s="1628" t="s">
        <v>3236</v>
      </c>
      <c r="X48" s="1628" t="s">
        <v>3413</v>
      </c>
      <c r="Y48" s="1628" t="s">
        <v>3414</v>
      </c>
      <c r="Z48" s="1628" t="s">
        <v>3414</v>
      </c>
      <c r="AA48" s="1628" t="s">
        <v>3414</v>
      </c>
      <c r="AB48" s="1628" t="s">
        <v>3420</v>
      </c>
      <c r="AC48" s="1628" t="s">
        <v>3134</v>
      </c>
      <c r="AD48" s="1628" t="s">
        <v>3421</v>
      </c>
      <c r="AE48" s="1628">
        <v>3542</v>
      </c>
      <c r="AF48" s="1628">
        <v>17710</v>
      </c>
      <c r="AG48" s="1628">
        <v>23410</v>
      </c>
      <c r="AH48" s="1628">
        <v>859.79</v>
      </c>
      <c r="AI48" s="1628">
        <v>1136.52</v>
      </c>
      <c r="AJ48" s="1628">
        <v>5862.21</v>
      </c>
      <c r="AK48" s="1628">
        <v>7748.98</v>
      </c>
      <c r="AL48" s="1628" t="s">
        <v>1327</v>
      </c>
      <c r="AM48" s="1628" t="s">
        <v>1327</v>
      </c>
      <c r="AN48" s="1628">
        <v>32.19</v>
      </c>
      <c r="AO48" s="1628" t="s">
        <v>3136</v>
      </c>
      <c r="AP48" s="1628" t="s">
        <v>1327</v>
      </c>
      <c r="AQ48" s="1628" t="s">
        <v>1327</v>
      </c>
      <c r="AR48" s="1628" t="s">
        <v>1327</v>
      </c>
      <c r="AS48" s="1628" t="s">
        <v>3152</v>
      </c>
    </row>
    <row r="49" spans="1:45">
      <c r="A49" s="1628" t="s">
        <v>3422</v>
      </c>
      <c r="B49" s="1628" t="s">
        <v>3123</v>
      </c>
      <c r="C49" s="1628" t="s">
        <v>3124</v>
      </c>
      <c r="D49" s="1628" t="s">
        <v>3125</v>
      </c>
      <c r="E49" s="1628" t="s">
        <v>1327</v>
      </c>
      <c r="F49" s="1628" t="s">
        <v>3422</v>
      </c>
      <c r="G49" s="1628" t="s">
        <v>3126</v>
      </c>
      <c r="H49" s="1628" t="s">
        <v>3423</v>
      </c>
      <c r="I49" s="1628" t="s">
        <v>3221</v>
      </c>
      <c r="J49" s="1628">
        <v>56441</v>
      </c>
      <c r="K49" s="1628">
        <v>112882</v>
      </c>
      <c r="L49" s="1628" t="s">
        <v>3327</v>
      </c>
      <c r="M49" s="1628" t="s">
        <v>1327</v>
      </c>
      <c r="N49" s="1628" t="s">
        <v>3360</v>
      </c>
      <c r="O49" s="1628" t="s">
        <v>3367</v>
      </c>
      <c r="P49" s="1628" t="s">
        <v>1327</v>
      </c>
      <c r="Q49" s="1628" t="s">
        <v>1327</v>
      </c>
      <c r="R49" s="1628" t="s">
        <v>1327</v>
      </c>
      <c r="S49" s="1628" t="s">
        <v>1327</v>
      </c>
      <c r="T49" s="1628" t="s">
        <v>1327</v>
      </c>
      <c r="U49" s="1628" t="s">
        <v>1327</v>
      </c>
      <c r="V49" s="1628" t="s">
        <v>1327</v>
      </c>
      <c r="W49" s="1628" t="s">
        <v>3236</v>
      </c>
      <c r="X49" s="1628" t="s">
        <v>3424</v>
      </c>
      <c r="Y49" s="1628" t="s">
        <v>3425</v>
      </c>
      <c r="Z49" s="1628" t="s">
        <v>3425</v>
      </c>
      <c r="AA49" s="1628" t="s">
        <v>3425</v>
      </c>
      <c r="AB49" s="1628" t="s">
        <v>3426</v>
      </c>
      <c r="AC49" s="1628" t="s">
        <v>3134</v>
      </c>
      <c r="AD49" s="1628" t="s">
        <v>3427</v>
      </c>
      <c r="AE49" s="1628">
        <v>12220</v>
      </c>
      <c r="AF49" s="1628">
        <v>61100</v>
      </c>
      <c r="AG49" s="1628">
        <v>61100</v>
      </c>
      <c r="AH49" s="1628">
        <v>721.7</v>
      </c>
      <c r="AI49" s="1628">
        <v>721.7</v>
      </c>
      <c r="AJ49" s="1628">
        <v>5412.73</v>
      </c>
      <c r="AK49" s="1628">
        <v>5412.72</v>
      </c>
      <c r="AL49" s="1628" t="s">
        <v>1327</v>
      </c>
      <c r="AM49" s="1628" t="s">
        <v>1327</v>
      </c>
      <c r="AN49" s="1628">
        <v>0</v>
      </c>
      <c r="AO49" s="1628" t="s">
        <v>3136</v>
      </c>
      <c r="AP49" s="1628" t="s">
        <v>1327</v>
      </c>
      <c r="AQ49" s="1628" t="s">
        <v>1327</v>
      </c>
      <c r="AR49" s="1628" t="s">
        <v>1327</v>
      </c>
      <c r="AS49" s="1628" t="s">
        <v>3137</v>
      </c>
    </row>
    <row r="50" spans="1:45">
      <c r="A50" s="1628" t="s">
        <v>3428</v>
      </c>
      <c r="B50" s="1628" t="s">
        <v>3123</v>
      </c>
      <c r="C50" s="1628" t="s">
        <v>3124</v>
      </c>
      <c r="D50" s="1628" t="s">
        <v>3125</v>
      </c>
      <c r="E50" s="1628" t="s">
        <v>1327</v>
      </c>
      <c r="F50" s="1628" t="s">
        <v>3428</v>
      </c>
      <c r="G50" s="1628" t="s">
        <v>3126</v>
      </c>
      <c r="H50" s="1628" t="s">
        <v>3429</v>
      </c>
      <c r="I50" s="1628" t="s">
        <v>3221</v>
      </c>
      <c r="J50" s="1628">
        <v>21904</v>
      </c>
      <c r="K50" s="1628">
        <v>41617.599999999999</v>
      </c>
      <c r="L50" s="1628" t="s">
        <v>3430</v>
      </c>
      <c r="M50" s="1628" t="s">
        <v>1327</v>
      </c>
      <c r="N50" s="1628" t="s">
        <v>3431</v>
      </c>
      <c r="O50" s="1628" t="s">
        <v>3432</v>
      </c>
      <c r="P50" s="1628" t="s">
        <v>1327</v>
      </c>
      <c r="Q50" s="1628" t="s">
        <v>1327</v>
      </c>
      <c r="R50" s="1628" t="s">
        <v>1327</v>
      </c>
      <c r="S50" s="1628" t="s">
        <v>1327</v>
      </c>
      <c r="T50" s="1628" t="s">
        <v>1327</v>
      </c>
      <c r="U50" s="1628" t="s">
        <v>1327</v>
      </c>
      <c r="V50" s="1628" t="s">
        <v>1327</v>
      </c>
      <c r="W50" s="1628" t="s">
        <v>3236</v>
      </c>
      <c r="X50" s="1628" t="s">
        <v>3413</v>
      </c>
      <c r="Y50" s="1628" t="s">
        <v>3425</v>
      </c>
      <c r="Z50" s="1628" t="s">
        <v>3425</v>
      </c>
      <c r="AA50" s="1628" t="s">
        <v>3425</v>
      </c>
      <c r="AB50" s="1628" t="s">
        <v>3433</v>
      </c>
      <c r="AC50" s="1628" t="s">
        <v>3134</v>
      </c>
      <c r="AD50" s="1628" t="s">
        <v>3434</v>
      </c>
      <c r="AE50" s="1628">
        <v>1580</v>
      </c>
      <c r="AF50" s="1628">
        <v>7900</v>
      </c>
      <c r="AG50" s="1628">
        <v>17000</v>
      </c>
      <c r="AH50" s="1628">
        <v>240.44</v>
      </c>
      <c r="AI50" s="1628">
        <v>517.41</v>
      </c>
      <c r="AJ50" s="1628">
        <v>1898.23</v>
      </c>
      <c r="AK50" s="1628">
        <v>4084.8</v>
      </c>
      <c r="AL50" s="1628" t="s">
        <v>1327</v>
      </c>
      <c r="AM50" s="1628" t="s">
        <v>1327</v>
      </c>
      <c r="AN50" s="1628">
        <v>115.19</v>
      </c>
      <c r="AO50" s="1628" t="s">
        <v>3136</v>
      </c>
      <c r="AP50" s="1628" t="s">
        <v>1327</v>
      </c>
      <c r="AQ50" s="1628" t="s">
        <v>1327</v>
      </c>
      <c r="AR50" s="1628" t="s">
        <v>1327</v>
      </c>
      <c r="AS50" s="1628" t="s">
        <v>3137</v>
      </c>
    </row>
    <row r="51" spans="1:45">
      <c r="A51" s="1628" t="s">
        <v>3435</v>
      </c>
      <c r="B51" s="1628" t="s">
        <v>3123</v>
      </c>
      <c r="C51" s="1628" t="s">
        <v>3124</v>
      </c>
      <c r="D51" s="1628" t="s">
        <v>3125</v>
      </c>
      <c r="E51" s="1628" t="s">
        <v>1327</v>
      </c>
      <c r="F51" s="1628" t="s">
        <v>3435</v>
      </c>
      <c r="G51" s="1628" t="s">
        <v>3126</v>
      </c>
      <c r="H51" s="1628" t="s">
        <v>3436</v>
      </c>
      <c r="I51" s="1628" t="s">
        <v>3221</v>
      </c>
      <c r="J51" s="1628">
        <v>74964</v>
      </c>
      <c r="K51" s="1628">
        <v>119942.39999999999</v>
      </c>
      <c r="L51" s="1628" t="s">
        <v>3437</v>
      </c>
      <c r="M51" s="1628" t="s">
        <v>1327</v>
      </c>
      <c r="N51" s="1628" t="s">
        <v>3431</v>
      </c>
      <c r="O51" s="1628" t="s">
        <v>3438</v>
      </c>
      <c r="P51" s="1628" t="s">
        <v>1327</v>
      </c>
      <c r="Q51" s="1628" t="s">
        <v>1327</v>
      </c>
      <c r="R51" s="1628" t="s">
        <v>1327</v>
      </c>
      <c r="S51" s="1628" t="s">
        <v>1327</v>
      </c>
      <c r="T51" s="1628" t="s">
        <v>1327</v>
      </c>
      <c r="U51" s="1628" t="s">
        <v>1327</v>
      </c>
      <c r="V51" s="1628" t="s">
        <v>1327</v>
      </c>
      <c r="W51" s="1628" t="s">
        <v>3236</v>
      </c>
      <c r="X51" s="1628" t="s">
        <v>3424</v>
      </c>
      <c r="Y51" s="1628" t="s">
        <v>3425</v>
      </c>
      <c r="Z51" s="1628" t="s">
        <v>3425</v>
      </c>
      <c r="AA51" s="1628" t="s">
        <v>3425</v>
      </c>
      <c r="AB51" s="1628" t="s">
        <v>3439</v>
      </c>
      <c r="AC51" s="1628" t="s">
        <v>3134</v>
      </c>
      <c r="AD51" s="1628" t="s">
        <v>3440</v>
      </c>
      <c r="AE51" s="1628">
        <v>11180</v>
      </c>
      <c r="AF51" s="1628">
        <v>55900</v>
      </c>
      <c r="AG51" s="1628">
        <v>57500</v>
      </c>
      <c r="AH51" s="1628">
        <v>497.13</v>
      </c>
      <c r="AI51" s="1628">
        <v>511.36</v>
      </c>
      <c r="AJ51" s="1628">
        <v>4660.57</v>
      </c>
      <c r="AK51" s="1628">
        <v>4793.97</v>
      </c>
      <c r="AL51" s="1628" t="s">
        <v>1327</v>
      </c>
      <c r="AM51" s="1628" t="s">
        <v>1327</v>
      </c>
      <c r="AN51" s="1628">
        <v>2.86</v>
      </c>
      <c r="AO51" s="1628" t="s">
        <v>3136</v>
      </c>
      <c r="AP51" s="1628" t="s">
        <v>1327</v>
      </c>
      <c r="AQ51" s="1628" t="s">
        <v>1327</v>
      </c>
      <c r="AR51" s="1628" t="s">
        <v>1327</v>
      </c>
      <c r="AS51" s="1628" t="s">
        <v>3144</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 sqref="I5:J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2315</v>
      </c>
      <c r="B2" s="670">
        <f>F66</f>
        <v>9869</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2317</v>
      </c>
      <c r="B3" s="608">
        <f>ROUND(IF(D3="",B2*10000/'数据-汇总表'!E3,B2*10000/D3),0)</f>
        <v>4638</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30">
      <c r="A5" s="403"/>
      <c r="B5" s="404"/>
      <c r="C5" s="3236" t="s">
        <v>3441</v>
      </c>
      <c r="D5" s="3237"/>
      <c r="E5" s="3266" t="str">
        <f>土地案例!A4</f>
        <v>位于凤凰西区,大享路以东、龙溪北路以南、轻纺路以北</v>
      </c>
      <c r="F5" s="3239"/>
      <c r="G5" s="3265" t="str">
        <f>土地案例!A6</f>
        <v>草田漾单元南部,南临为规划道路,西侧内环东路,北侧为日晖路,东侧为规划道路。</v>
      </c>
      <c r="H5" s="3237"/>
      <c r="I5" s="3265" t="str">
        <f>土地案例!A11</f>
        <v>七里亭单元XN-01-02-04G号地块</v>
      </c>
      <c r="J5" s="3237"/>
      <c r="K5" s="609"/>
      <c r="L5" s="1123"/>
      <c r="M5" s="1124"/>
      <c r="N5" s="1124"/>
      <c r="O5" s="1124"/>
      <c r="P5" s="3228"/>
      <c r="Q5" s="3229"/>
      <c r="R5" s="3234"/>
      <c r="S5" s="3235"/>
      <c r="T5" s="3234"/>
      <c r="U5" s="3235"/>
      <c r="V5" s="3246"/>
      <c r="W5" s="3246"/>
      <c r="X5" s="1806"/>
      <c r="Y5" s="3234"/>
      <c r="Z5" s="3235"/>
      <c r="AA5" s="3220"/>
      <c r="AB5" s="3220"/>
      <c r="AC5" s="3220"/>
    </row>
    <row r="6" spans="1:30" ht="15" thickBot="1">
      <c r="A6" s="405"/>
      <c r="B6" s="406"/>
      <c r="C6" s="3287" t="s">
        <v>3442</v>
      </c>
      <c r="D6" s="3241"/>
      <c r="E6" s="3287" t="s">
        <v>3442</v>
      </c>
      <c r="F6" s="3241"/>
      <c r="G6" s="3287" t="s">
        <v>3442</v>
      </c>
      <c r="H6" s="3241"/>
      <c r="I6" s="3287" t="s">
        <v>3442</v>
      </c>
      <c r="J6" s="3241"/>
      <c r="K6" s="609" t="s">
        <v>2532</v>
      </c>
      <c r="L6" s="1123"/>
      <c r="M6" s="1124"/>
      <c r="N6" s="1124"/>
      <c r="O6" s="1124"/>
      <c r="P6" s="3230"/>
      <c r="Q6" s="3231"/>
      <c r="R6" s="3234"/>
      <c r="S6" s="3235"/>
      <c r="T6" s="3244"/>
      <c r="U6" s="3245"/>
      <c r="V6" s="3246"/>
      <c r="W6" s="3246"/>
      <c r="X6" s="1806"/>
      <c r="Y6" s="3244"/>
      <c r="Z6" s="3245"/>
      <c r="AA6" s="3221"/>
      <c r="AB6" s="3221"/>
      <c r="AC6" s="3221"/>
    </row>
    <row r="7" spans="1:30" s="116" customFormat="1" ht="15" thickBot="1">
      <c r="A7" s="407" t="s">
        <v>2533</v>
      </c>
      <c r="B7" s="408"/>
      <c r="C7" s="409">
        <f>'数据-取费表'!B2</f>
        <v>43699</v>
      </c>
      <c r="D7" s="410">
        <v>100</v>
      </c>
      <c r="E7" s="411" t="str">
        <f>土地案例!AA4</f>
        <v>2019-06-04</v>
      </c>
      <c r="F7" s="412">
        <f>SUMIF(70:70,YEAR(E7)&amp;"-"&amp;INT((MONTH(E7)+2)/3),71:71)</f>
        <v>99</v>
      </c>
      <c r="G7" s="2684" t="str">
        <f>土地案例!AA6</f>
        <v>2019-05-22</v>
      </c>
      <c r="H7" s="410">
        <f>SUMIF(70:70,YEAR(G7)&amp;"-"&amp;INT((MONTH(G7)+2)/3),71:71)</f>
        <v>99</v>
      </c>
      <c r="I7" s="2684" t="str">
        <f>土地案例!AA11</f>
        <v>2019-04-30</v>
      </c>
      <c r="J7" s="410">
        <f>SUMIF(70:70,YEAR(I7)&amp;"-"&amp;INT((MONTH(I7)+2)/3),71:71)</f>
        <v>99</v>
      </c>
      <c r="K7" s="610"/>
      <c r="L7" s="1125"/>
      <c r="M7" s="1126"/>
      <c r="N7" s="1126"/>
      <c r="O7" s="1126"/>
      <c r="P7" s="3247" t="s">
        <v>2534</v>
      </c>
      <c r="Q7" s="3248"/>
      <c r="R7" s="769" t="s">
        <v>17</v>
      </c>
      <c r="S7" s="770">
        <f t="shared" ref="S7:S15" si="0">F7</f>
        <v>99</v>
      </c>
      <c r="T7" s="769" t="s">
        <v>17</v>
      </c>
      <c r="U7" s="770">
        <f t="shared" ref="U7:U15" si="1">H7</f>
        <v>99</v>
      </c>
      <c r="V7" s="769" t="s">
        <v>17</v>
      </c>
      <c r="W7" s="770">
        <f t="shared" ref="W7:W15" si="2">J7</f>
        <v>99</v>
      </c>
      <c r="X7" s="771"/>
      <c r="Y7" s="3247" t="s">
        <v>2534</v>
      </c>
      <c r="Z7" s="3249"/>
      <c r="AA7" s="772">
        <f>D7/F7</f>
        <v>1.0101010101010102</v>
      </c>
      <c r="AB7" s="772">
        <f>D7/H7</f>
        <v>1.0101010101010102</v>
      </c>
      <c r="AC7" s="772">
        <f>D7/J7</f>
        <v>1.0101010101010102</v>
      </c>
    </row>
    <row r="8" spans="1:30" s="116" customFormat="1" ht="15" thickBot="1">
      <c r="A8" s="407" t="s">
        <v>2535</v>
      </c>
      <c r="B8" s="408"/>
      <c r="C8" s="413" t="s">
        <v>2536</v>
      </c>
      <c r="D8" s="410">
        <v>100</v>
      </c>
      <c r="E8" s="413" t="s">
        <v>2536</v>
      </c>
      <c r="F8" s="412">
        <f>SUMIF(73:73,E8,74:74)-SUMIF(73:73,C8,74:74)+100</f>
        <v>100</v>
      </c>
      <c r="G8" s="413" t="s">
        <v>2536</v>
      </c>
      <c r="H8" s="410">
        <f>SUMIF(73:73,G8,74:74)-SUMIF(73:73,C8,74:74)+100</f>
        <v>100</v>
      </c>
      <c r="I8" s="413" t="s">
        <v>2536</v>
      </c>
      <c r="J8" s="410">
        <f>SUMIF(73:73,I8,74:74)-SUMIF(73:73,C8,74:74)+100</f>
        <v>100</v>
      </c>
      <c r="K8" s="610"/>
      <c r="L8" s="1125"/>
      <c r="M8" s="1126"/>
      <c r="N8" s="1126"/>
      <c r="O8" s="1126"/>
      <c r="P8" s="3247" t="s">
        <v>2537</v>
      </c>
      <c r="Q8" s="3249"/>
      <c r="R8" s="769" t="s">
        <v>17</v>
      </c>
      <c r="S8" s="770">
        <f t="shared" si="0"/>
        <v>100</v>
      </c>
      <c r="T8" s="769" t="s">
        <v>17</v>
      </c>
      <c r="U8" s="770">
        <f t="shared" si="1"/>
        <v>100</v>
      </c>
      <c r="V8" s="769" t="s">
        <v>17</v>
      </c>
      <c r="W8" s="770">
        <f t="shared" si="2"/>
        <v>100</v>
      </c>
      <c r="X8" s="771"/>
      <c r="Y8" s="3247" t="s">
        <v>2537</v>
      </c>
      <c r="Z8" s="3249"/>
      <c r="AA8" s="772">
        <f t="shared" ref="AA8:AA45" si="3">D8/F8</f>
        <v>1</v>
      </c>
      <c r="AB8" s="772">
        <f t="shared" ref="AB8:AB45" si="4">D8/H8</f>
        <v>1</v>
      </c>
      <c r="AC8" s="772">
        <f t="shared" ref="AC8:AC45" si="5">D8/J8</f>
        <v>1</v>
      </c>
    </row>
    <row r="9" spans="1:30" s="116" customFormat="1" ht="14.4">
      <c r="A9" s="414" t="s">
        <v>2538</v>
      </c>
      <c r="B9" s="71" t="s">
        <v>2539</v>
      </c>
      <c r="C9" s="2687" t="s">
        <v>3062</v>
      </c>
      <c r="D9" s="134">
        <v>100</v>
      </c>
      <c r="E9" s="2687" t="s">
        <v>3062</v>
      </c>
      <c r="F9" s="134">
        <f>SUMIF(75:75,E9,76:76)-SUMIF(75:75,C9,76:76)+100</f>
        <v>100</v>
      </c>
      <c r="G9" s="2687" t="s">
        <v>3062</v>
      </c>
      <c r="H9" s="134">
        <f>SUMIF(75:75,G9,76:76)-SUMIF(75:75,C9,76:76)+100</f>
        <v>100</v>
      </c>
      <c r="I9" s="2687" t="s">
        <v>3062</v>
      </c>
      <c r="J9" s="134">
        <f>SUMIF(75:75,I9,76:76)-SUMIF(75:75,C9,76:76)+100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30" s="426" customFormat="1" ht="28.8">
      <c r="A10" s="420"/>
      <c r="B10" s="421" t="s">
        <v>2542</v>
      </c>
      <c r="C10" s="431"/>
      <c r="D10" s="135">
        <v>100</v>
      </c>
      <c r="E10" s="464"/>
      <c r="F10" s="135">
        <f>ROUND(100/'数据-取费表'!G16,0)</f>
        <v>101</v>
      </c>
      <c r="G10" s="462"/>
      <c r="H10" s="135">
        <f>ROUND(100/'数据-取费表'!G16,0)</f>
        <v>101</v>
      </c>
      <c r="I10" s="462"/>
      <c r="J10" s="135">
        <f>ROUND(100/'数据-取费表'!G16,0)</f>
        <v>101</v>
      </c>
      <c r="K10" s="671"/>
      <c r="L10" s="1128"/>
      <c r="M10" s="1129"/>
      <c r="N10" s="1129"/>
      <c r="O10" s="1130"/>
      <c r="P10" s="3260"/>
      <c r="Q10" s="1788"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30" ht="15">
      <c r="A11" s="427"/>
      <c r="B11" s="421" t="s">
        <v>2543</v>
      </c>
      <c r="C11" s="428">
        <f>'数据-汇总表'!I4</f>
        <v>2.57</v>
      </c>
      <c r="D11" s="135">
        <v>100</v>
      </c>
      <c r="E11" s="428">
        <v>1.8</v>
      </c>
      <c r="F11" s="135">
        <f>LOOKUP(E11,80:80,81:81)-LOOKUP(C11,80:80,81:81)+100</f>
        <v>101</v>
      </c>
      <c r="G11" s="429">
        <v>1.8</v>
      </c>
      <c r="H11" s="135">
        <f>LOOKUP(G11,80:80,81:81)-LOOKUP(C11,80:80,81:81)+100</f>
        <v>101</v>
      </c>
      <c r="I11" s="428">
        <v>2</v>
      </c>
      <c r="J11" s="135">
        <f>LOOKUP(I11,80:80,81:81)-LOOKUP(C11,80:80,81:81)+100</f>
        <v>100</v>
      </c>
      <c r="K11" s="672">
        <v>1</v>
      </c>
      <c r="L11" s="1131"/>
      <c r="M11" s="1124"/>
      <c r="N11" s="1124"/>
      <c r="O11" s="1132"/>
      <c r="P11" s="3260"/>
      <c r="Q11" s="1788" t="str">
        <f t="shared" si="6"/>
        <v>容积率</v>
      </c>
      <c r="R11" s="769" t="s">
        <v>17</v>
      </c>
      <c r="S11" s="770">
        <f t="shared" si="0"/>
        <v>101</v>
      </c>
      <c r="T11" s="769" t="s">
        <v>17</v>
      </c>
      <c r="U11" s="770">
        <f t="shared" si="1"/>
        <v>101</v>
      </c>
      <c r="V11" s="769" t="s">
        <v>17</v>
      </c>
      <c r="W11" s="770">
        <f t="shared" si="2"/>
        <v>100</v>
      </c>
      <c r="X11" s="771"/>
      <c r="Y11" s="3046"/>
      <c r="Z11" s="55" t="str">
        <f t="shared" si="7"/>
        <v>容积率</v>
      </c>
      <c r="AA11" s="772">
        <f t="shared" si="3"/>
        <v>0.99009900990099009</v>
      </c>
      <c r="AB11" s="772">
        <f t="shared" si="4"/>
        <v>0.99009900990099009</v>
      </c>
      <c r="AC11" s="772">
        <f t="shared" si="5"/>
        <v>1</v>
      </c>
    </row>
    <row r="12" spans="1:30" s="116" customFormat="1" ht="15">
      <c r="A12" s="430"/>
      <c r="B12" s="2589" t="s">
        <v>2732</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260"/>
      <c r="Q12" s="1788" t="str">
        <f t="shared" si="6"/>
        <v>配建</v>
      </c>
      <c r="R12" s="769" t="s">
        <v>17</v>
      </c>
      <c r="S12" s="770">
        <f t="shared" si="0"/>
        <v>100</v>
      </c>
      <c r="T12" s="769" t="s">
        <v>17</v>
      </c>
      <c r="U12" s="770">
        <f t="shared" si="1"/>
        <v>100</v>
      </c>
      <c r="V12" s="769" t="s">
        <v>17</v>
      </c>
      <c r="W12" s="770">
        <f t="shared" si="2"/>
        <v>100</v>
      </c>
      <c r="X12" s="771"/>
      <c r="Y12" s="3046"/>
      <c r="Z12" s="55" t="str">
        <f t="shared" si="7"/>
        <v>配建</v>
      </c>
      <c r="AA12" s="772">
        <f>D12/F12</f>
        <v>1</v>
      </c>
      <c r="AB12" s="772">
        <f>D12/H12</f>
        <v>1</v>
      </c>
      <c r="AC12" s="772">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D13/F13</f>
        <v>1</v>
      </c>
      <c r="AB13" s="772">
        <f>D13/H13</f>
        <v>1</v>
      </c>
      <c r="AC13" s="772">
        <f>D13/J13</f>
        <v>1</v>
      </c>
    </row>
    <row r="14" spans="1:30" ht="15.6"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D14/F14</f>
        <v>1</v>
      </c>
      <c r="AB14" s="772">
        <f>D14/H14</f>
        <v>1</v>
      </c>
      <c r="AC14" s="772">
        <f>D14/J14</f>
        <v>1</v>
      </c>
    </row>
    <row r="15" spans="1:30" ht="15">
      <c r="A15" s="439" t="s">
        <v>2544</v>
      </c>
      <c r="B15" s="69" t="s">
        <v>2076</v>
      </c>
      <c r="C15" s="2592"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253" t="s">
        <v>2545</v>
      </c>
      <c r="Q15" s="1803" t="str">
        <f t="shared" si="6"/>
        <v>居住社区成熟度</v>
      </c>
      <c r="R15" s="773" t="s">
        <v>17</v>
      </c>
      <c r="S15" s="774">
        <f t="shared" si="0"/>
        <v>100</v>
      </c>
      <c r="T15" s="773" t="s">
        <v>17</v>
      </c>
      <c r="U15" s="774">
        <f t="shared" si="1"/>
        <v>100</v>
      </c>
      <c r="V15" s="773" t="s">
        <v>17</v>
      </c>
      <c r="W15" s="774">
        <f t="shared" si="2"/>
        <v>100</v>
      </c>
      <c r="X15" s="1806"/>
      <c r="Y15" s="3253" t="s">
        <v>2545</v>
      </c>
      <c r="Z15" s="1807" t="str">
        <f t="shared" si="7"/>
        <v>居住社区成熟度</v>
      </c>
      <c r="AA15" s="1804">
        <f t="shared" si="3"/>
        <v>1</v>
      </c>
      <c r="AB15" s="1804">
        <f t="shared" si="4"/>
        <v>1</v>
      </c>
      <c r="AC15" s="1804">
        <f t="shared" si="5"/>
        <v>1</v>
      </c>
    </row>
    <row r="16" spans="1:30" ht="15">
      <c r="A16" s="427"/>
      <c r="B16" s="445"/>
      <c r="C16" s="446"/>
      <c r="D16" s="447"/>
      <c r="E16" s="2594"/>
      <c r="F16" s="447"/>
      <c r="G16" s="2594"/>
      <c r="H16" s="449"/>
      <c r="I16" s="2593"/>
      <c r="J16" s="447"/>
      <c r="K16" s="671"/>
      <c r="L16" s="1133"/>
      <c r="M16" s="1124"/>
      <c r="N16" s="1124"/>
      <c r="O16" s="1132"/>
      <c r="P16" s="3254"/>
      <c r="Q16" s="1803"/>
      <c r="R16" s="773"/>
      <c r="S16" s="774"/>
      <c r="T16" s="773"/>
      <c r="U16" s="774"/>
      <c r="V16" s="773"/>
      <c r="W16" s="774"/>
      <c r="X16" s="1806"/>
      <c r="Y16" s="3254"/>
      <c r="Z16" s="1807"/>
      <c r="AA16" s="1804">
        <v>1</v>
      </c>
      <c r="AB16" s="1804">
        <v>1</v>
      </c>
      <c r="AC16" s="1804">
        <v>1</v>
      </c>
    </row>
    <row r="17" spans="1:29" ht="15">
      <c r="A17" s="427"/>
      <c r="B17" s="450" t="s">
        <v>2638</v>
      </c>
      <c r="C17" s="2652"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254"/>
      <c r="Q17" s="1803" t="str">
        <f>B17</f>
        <v>商业繁华度</v>
      </c>
      <c r="R17" s="773" t="s">
        <v>17</v>
      </c>
      <c r="S17" s="774">
        <f>F17</f>
        <v>100</v>
      </c>
      <c r="T17" s="773" t="s">
        <v>17</v>
      </c>
      <c r="U17" s="774">
        <f>H17</f>
        <v>100</v>
      </c>
      <c r="V17" s="773" t="s">
        <v>17</v>
      </c>
      <c r="W17" s="774">
        <f>J17</f>
        <v>100</v>
      </c>
      <c r="X17" s="1806"/>
      <c r="Y17" s="3254"/>
      <c r="Z17" s="1807" t="str">
        <f>Q17</f>
        <v>商业繁华度</v>
      </c>
      <c r="AA17" s="1804">
        <f t="shared" si="3"/>
        <v>1</v>
      </c>
      <c r="AB17" s="1804">
        <f t="shared" si="4"/>
        <v>1</v>
      </c>
      <c r="AC17" s="1804">
        <f t="shared" si="5"/>
        <v>1</v>
      </c>
    </row>
    <row r="18" spans="1:29" ht="15">
      <c r="A18" s="427"/>
      <c r="B18" s="455"/>
      <c r="C18" s="2597"/>
      <c r="D18" s="449"/>
      <c r="E18" s="2599"/>
      <c r="F18" s="449"/>
      <c r="G18" s="2599"/>
      <c r="H18" s="447"/>
      <c r="I18" s="2598"/>
      <c r="J18" s="447"/>
      <c r="K18" s="671"/>
      <c r="L18" s="1133"/>
      <c r="M18" s="1124"/>
      <c r="N18" s="1124"/>
      <c r="O18" s="1132"/>
      <c r="P18" s="3254"/>
      <c r="Q18" s="1803"/>
      <c r="R18" s="773"/>
      <c r="S18" s="774"/>
      <c r="T18" s="773"/>
      <c r="U18" s="774"/>
      <c r="V18" s="773"/>
      <c r="W18" s="774"/>
      <c r="X18" s="1806"/>
      <c r="Y18" s="3254"/>
      <c r="Z18" s="1807"/>
      <c r="AA18" s="1804">
        <v>1</v>
      </c>
      <c r="AB18" s="1804">
        <v>1</v>
      </c>
      <c r="AC18" s="1804">
        <v>1</v>
      </c>
    </row>
    <row r="19" spans="1:29" ht="15">
      <c r="A19" s="427"/>
      <c r="B19" s="450" t="s">
        <v>2672</v>
      </c>
      <c r="C19" s="2652"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54"/>
      <c r="Q19" s="1803" t="str">
        <f>B19</f>
        <v>办公集聚程度</v>
      </c>
      <c r="R19" s="773" t="s">
        <v>17</v>
      </c>
      <c r="S19" s="774">
        <f>F19</f>
        <v>100</v>
      </c>
      <c r="T19" s="773" t="s">
        <v>17</v>
      </c>
      <c r="U19" s="774">
        <f>H19</f>
        <v>100</v>
      </c>
      <c r="V19" s="773" t="s">
        <v>17</v>
      </c>
      <c r="W19" s="774">
        <f>J19</f>
        <v>100</v>
      </c>
      <c r="X19" s="1806"/>
      <c r="Y19" s="3254"/>
      <c r="Z19" s="1807" t="str">
        <f>Q19</f>
        <v>办公集聚程度</v>
      </c>
      <c r="AA19" s="1804">
        <f t="shared" si="3"/>
        <v>1</v>
      </c>
      <c r="AB19" s="1804">
        <f t="shared" si="4"/>
        <v>1</v>
      </c>
      <c r="AC19" s="1804">
        <f t="shared" si="5"/>
        <v>1</v>
      </c>
    </row>
    <row r="20" spans="1:29" ht="15">
      <c r="A20" s="427"/>
      <c r="B20" s="455"/>
      <c r="C20" s="446"/>
      <c r="D20" s="447"/>
      <c r="E20" s="2594"/>
      <c r="F20" s="447"/>
      <c r="G20" s="2594"/>
      <c r="H20" s="447"/>
      <c r="I20" s="2593"/>
      <c r="J20" s="447"/>
      <c r="K20" s="671"/>
      <c r="L20" s="1133"/>
      <c r="M20" s="1124"/>
      <c r="N20" s="1124"/>
      <c r="O20" s="1132"/>
      <c r="P20" s="3254"/>
      <c r="Q20" s="1803"/>
      <c r="R20" s="773"/>
      <c r="S20" s="774"/>
      <c r="T20" s="773"/>
      <c r="U20" s="774"/>
      <c r="V20" s="773"/>
      <c r="W20" s="774"/>
      <c r="X20" s="1806"/>
      <c r="Y20" s="3254"/>
      <c r="Z20" s="1807"/>
      <c r="AA20" s="1804">
        <v>1</v>
      </c>
      <c r="AB20" s="1804">
        <v>1</v>
      </c>
      <c r="AC20" s="1804">
        <v>1</v>
      </c>
    </row>
    <row r="21" spans="1:29" ht="15">
      <c r="A21" s="427"/>
      <c r="B21" s="450" t="s">
        <v>2694</v>
      </c>
      <c r="C21" s="2596"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254"/>
      <c r="Q21" s="1803" t="str">
        <f>B21</f>
        <v>交通便捷度</v>
      </c>
      <c r="R21" s="773" t="s">
        <v>17</v>
      </c>
      <c r="S21" s="774">
        <f>F21</f>
        <v>100</v>
      </c>
      <c r="T21" s="773" t="s">
        <v>17</v>
      </c>
      <c r="U21" s="774">
        <f>H21</f>
        <v>100</v>
      </c>
      <c r="V21" s="773" t="s">
        <v>17</v>
      </c>
      <c r="W21" s="774">
        <f>J21</f>
        <v>100</v>
      </c>
      <c r="X21" s="1806"/>
      <c r="Y21" s="3254"/>
      <c r="Z21" s="1807" t="str">
        <f>Q21</f>
        <v>交通便捷度</v>
      </c>
      <c r="AA21" s="1804">
        <f t="shared" si="3"/>
        <v>1</v>
      </c>
      <c r="AB21" s="1804">
        <f t="shared" si="4"/>
        <v>1</v>
      </c>
      <c r="AC21" s="1804">
        <f t="shared" si="5"/>
        <v>1</v>
      </c>
    </row>
    <row r="22" spans="1:29" ht="15">
      <c r="A22" s="427"/>
      <c r="B22" s="1377"/>
      <c r="C22" s="446"/>
      <c r="D22" s="449"/>
      <c r="E22" s="2594"/>
      <c r="F22" s="447"/>
      <c r="G22" s="2594"/>
      <c r="H22" s="447"/>
      <c r="I22" s="2593"/>
      <c r="J22" s="447"/>
      <c r="K22" s="671"/>
      <c r="L22" s="1133"/>
      <c r="M22" s="1124"/>
      <c r="N22" s="1124"/>
      <c r="O22" s="1132"/>
      <c r="P22" s="3254"/>
      <c r="Q22" s="1803"/>
      <c r="R22" s="773"/>
      <c r="S22" s="774"/>
      <c r="T22" s="773"/>
      <c r="U22" s="774"/>
      <c r="V22" s="773"/>
      <c r="W22" s="774"/>
      <c r="X22" s="1806"/>
      <c r="Y22" s="3254"/>
      <c r="Z22" s="1807"/>
      <c r="AA22" s="1804">
        <v>1</v>
      </c>
      <c r="AB22" s="1804">
        <v>1</v>
      </c>
      <c r="AC22" s="1804">
        <v>1</v>
      </c>
    </row>
    <row r="23" spans="1:29" ht="28.8">
      <c r="A23" s="403"/>
      <c r="B23" s="450" t="s">
        <v>2733</v>
      </c>
      <c r="C23" s="1382">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254"/>
      <c r="Q23" s="1803" t="str">
        <f t="shared" ref="Q23:Q37" si="8">B23</f>
        <v>区域土地利用方向</v>
      </c>
      <c r="R23" s="773" t="s">
        <v>17</v>
      </c>
      <c r="S23" s="774">
        <f>F23</f>
        <v>100</v>
      </c>
      <c r="T23" s="773" t="s">
        <v>17</v>
      </c>
      <c r="U23" s="774">
        <f>H23</f>
        <v>100</v>
      </c>
      <c r="V23" s="773" t="s">
        <v>17</v>
      </c>
      <c r="W23" s="774">
        <f>J23</f>
        <v>100</v>
      </c>
      <c r="X23" s="1806"/>
      <c r="Y23" s="3254"/>
      <c r="Z23" s="1807" t="str">
        <f>Q23</f>
        <v>区域土地利用方向</v>
      </c>
      <c r="AA23" s="1804">
        <f t="shared" si="3"/>
        <v>1</v>
      </c>
      <c r="AB23" s="1804">
        <f t="shared" si="4"/>
        <v>1</v>
      </c>
      <c r="AC23" s="1804">
        <f t="shared" si="5"/>
        <v>1</v>
      </c>
    </row>
    <row r="24" spans="1:29" ht="15">
      <c r="A24" s="403"/>
      <c r="B24" s="455"/>
      <c r="C24" s="615"/>
      <c r="D24" s="447"/>
      <c r="E24" s="2594"/>
      <c r="F24" s="447"/>
      <c r="G24" s="2593"/>
      <c r="H24" s="447"/>
      <c r="I24" s="2593"/>
      <c r="J24" s="447"/>
      <c r="K24" s="805"/>
      <c r="L24" s="1133"/>
      <c r="M24" s="1124"/>
      <c r="N24" s="1124"/>
      <c r="O24" s="1132"/>
      <c r="P24" s="3254"/>
      <c r="Q24" s="1803"/>
      <c r="R24" s="773"/>
      <c r="S24" s="774"/>
      <c r="T24" s="773"/>
      <c r="U24" s="774"/>
      <c r="V24" s="773"/>
      <c r="W24" s="774"/>
      <c r="X24" s="1806"/>
      <c r="Y24" s="3254"/>
      <c r="Z24" s="1807"/>
      <c r="AA24" s="1804"/>
      <c r="AB24" s="1804"/>
      <c r="AC24" s="1804"/>
    </row>
    <row r="25" spans="1:29" ht="28.8">
      <c r="A25" s="403"/>
      <c r="B25" s="1377" t="s">
        <v>2734</v>
      </c>
      <c r="C25" s="2652"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254"/>
      <c r="Q25" s="1803" t="str">
        <f t="shared" si="8"/>
        <v>自然及人文环境状况</v>
      </c>
      <c r="R25" s="773" t="s">
        <v>17</v>
      </c>
      <c r="S25" s="774">
        <f>F25</f>
        <v>100</v>
      </c>
      <c r="T25" s="773" t="s">
        <v>17</v>
      </c>
      <c r="U25" s="774">
        <f>H25</f>
        <v>100</v>
      </c>
      <c r="V25" s="773" t="s">
        <v>17</v>
      </c>
      <c r="W25" s="774">
        <f>J25</f>
        <v>100</v>
      </c>
      <c r="X25" s="1806"/>
      <c r="Y25" s="3254"/>
      <c r="Z25" s="1807" t="str">
        <f>Q25</f>
        <v>自然及人文环境状况</v>
      </c>
      <c r="AA25" s="1804">
        <f t="shared" si="3"/>
        <v>1</v>
      </c>
      <c r="AB25" s="1804">
        <f t="shared" si="4"/>
        <v>1</v>
      </c>
      <c r="AC25" s="1804">
        <f t="shared" si="5"/>
        <v>1</v>
      </c>
    </row>
    <row r="26" spans="1:29" ht="15">
      <c r="A26" s="403"/>
      <c r="B26" s="455"/>
      <c r="C26" s="446"/>
      <c r="D26" s="447"/>
      <c r="E26" s="2600"/>
      <c r="F26" s="447"/>
      <c r="G26" s="2600"/>
      <c r="H26" s="447"/>
      <c r="I26" s="446"/>
      <c r="J26" s="447"/>
      <c r="K26" s="671"/>
      <c r="L26" s="1133"/>
      <c r="M26" s="1124"/>
      <c r="N26" s="1124"/>
      <c r="O26" s="1132"/>
      <c r="P26" s="3254"/>
      <c r="Q26" s="1803"/>
      <c r="R26" s="773"/>
      <c r="S26" s="774"/>
      <c r="T26" s="773"/>
      <c r="U26" s="774"/>
      <c r="V26" s="773"/>
      <c r="W26" s="774"/>
      <c r="X26" s="1806"/>
      <c r="Y26" s="3254"/>
      <c r="Z26" s="1807"/>
      <c r="AA26" s="1804">
        <v>1</v>
      </c>
      <c r="AB26" s="1804">
        <v>1</v>
      </c>
      <c r="AC26" s="1804">
        <v>1</v>
      </c>
    </row>
    <row r="27" spans="1:29" s="116" customFormat="1" ht="15">
      <c r="A27" s="648"/>
      <c r="B27" s="1377" t="s">
        <v>2639</v>
      </c>
      <c r="C27" s="2596"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254"/>
      <c r="Q27" s="1788" t="str">
        <f t="shared" si="8"/>
        <v>公共配套设施</v>
      </c>
      <c r="R27" s="769" t="s">
        <v>17</v>
      </c>
      <c r="S27" s="770">
        <f>F27</f>
        <v>100</v>
      </c>
      <c r="T27" s="769" t="s">
        <v>17</v>
      </c>
      <c r="U27" s="770">
        <f>H27</f>
        <v>100</v>
      </c>
      <c r="V27" s="769" t="s">
        <v>17</v>
      </c>
      <c r="W27" s="770">
        <f>J27</f>
        <v>100</v>
      </c>
      <c r="X27" s="771"/>
      <c r="Y27" s="3254"/>
      <c r="Z27" s="55" t="str">
        <f>Q27</f>
        <v>公共配套设施</v>
      </c>
      <c r="AA27" s="1804">
        <f>D27/F27</f>
        <v>1</v>
      </c>
      <c r="AB27" s="1804">
        <f>D27/H27</f>
        <v>1</v>
      </c>
      <c r="AC27" s="1804">
        <f>D27/J27</f>
        <v>1</v>
      </c>
    </row>
    <row r="28" spans="1:29" s="116" customFormat="1" ht="15">
      <c r="A28" s="648"/>
      <c r="B28" s="455"/>
      <c r="C28" s="2688"/>
      <c r="D28" s="447"/>
      <c r="E28" s="2600"/>
      <c r="F28" s="447"/>
      <c r="G28" s="2600"/>
      <c r="H28" s="447"/>
      <c r="I28" s="446"/>
      <c r="J28" s="447"/>
      <c r="K28" s="671"/>
      <c r="L28" s="1125"/>
      <c r="M28" s="1126"/>
      <c r="N28" s="1126"/>
      <c r="O28" s="1127"/>
      <c r="P28" s="3254"/>
      <c r="Q28" s="1788"/>
      <c r="R28" s="769"/>
      <c r="S28" s="770"/>
      <c r="T28" s="769"/>
      <c r="U28" s="770"/>
      <c r="V28" s="769"/>
      <c r="W28" s="770"/>
      <c r="X28" s="771"/>
      <c r="Y28" s="3254"/>
      <c r="Z28" s="55"/>
      <c r="AA28" s="1804">
        <v>1</v>
      </c>
      <c r="AB28" s="1804">
        <v>1</v>
      </c>
      <c r="AC28" s="1804">
        <v>1</v>
      </c>
    </row>
    <row r="29" spans="1:29" s="116" customFormat="1" ht="15">
      <c r="A29" s="648"/>
      <c r="B29" s="1377" t="s">
        <v>2640</v>
      </c>
      <c r="C29" s="2596"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254"/>
      <c r="Q29" s="1788" t="str">
        <f t="shared" ref="Q29" si="9">B29</f>
        <v>基础设施水平</v>
      </c>
      <c r="R29" s="769" t="s">
        <v>17</v>
      </c>
      <c r="S29" s="770">
        <f>F29</f>
        <v>100</v>
      </c>
      <c r="T29" s="769" t="s">
        <v>17</v>
      </c>
      <c r="U29" s="770">
        <f>H29</f>
        <v>100</v>
      </c>
      <c r="V29" s="769" t="s">
        <v>17</v>
      </c>
      <c r="W29" s="770">
        <f>J29</f>
        <v>100</v>
      </c>
      <c r="X29" s="771"/>
      <c r="Y29" s="3254"/>
      <c r="Z29" s="55" t="str">
        <f>Q29</f>
        <v>基础设施水平</v>
      </c>
      <c r="AA29" s="1804">
        <f>D29/F29</f>
        <v>1</v>
      </c>
      <c r="AB29" s="1804">
        <f>D29/H29</f>
        <v>1</v>
      </c>
      <c r="AC29" s="1804">
        <f>D29/J29</f>
        <v>1</v>
      </c>
    </row>
    <row r="30" spans="1:29" s="116" customFormat="1" ht="15">
      <c r="A30" s="648"/>
      <c r="B30" s="455"/>
      <c r="C30" s="2688"/>
      <c r="D30" s="447"/>
      <c r="E30" s="2689"/>
      <c r="F30" s="447"/>
      <c r="G30" s="2689"/>
      <c r="H30" s="447"/>
      <c r="I30" s="2689"/>
      <c r="J30" s="447"/>
      <c r="K30" s="671"/>
      <c r="L30" s="1125"/>
      <c r="M30" s="1126"/>
      <c r="N30" s="1126"/>
      <c r="O30" s="1127"/>
      <c r="P30" s="3254"/>
      <c r="Q30" s="1788"/>
      <c r="R30" s="769"/>
      <c r="S30" s="770"/>
      <c r="T30" s="769"/>
      <c r="U30" s="770"/>
      <c r="V30" s="769"/>
      <c r="W30" s="770"/>
      <c r="X30" s="771"/>
      <c r="Y30" s="3254"/>
      <c r="Z30" s="55"/>
      <c r="AA30" s="1804">
        <v>1</v>
      </c>
      <c r="AB30" s="1804">
        <v>1</v>
      </c>
      <c r="AC30" s="1804">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254"/>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54"/>
      <c r="Z31" s="1807" t="str">
        <f t="shared" ref="Z31:Z45" si="13">Q31</f>
        <v>临街状况</v>
      </c>
      <c r="AA31" s="1804">
        <f t="shared" si="3"/>
        <v>1</v>
      </c>
      <c r="AB31" s="1804">
        <f t="shared" si="4"/>
        <v>1</v>
      </c>
      <c r="AC31" s="1804">
        <f t="shared" si="5"/>
        <v>1</v>
      </c>
    </row>
    <row r="32" spans="1:29" ht="28.8">
      <c r="A32" s="427"/>
      <c r="B32" s="1377"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254"/>
      <c r="Q32" s="1803" t="str">
        <f t="shared" si="8"/>
        <v>毗邻道路的类型与等级</v>
      </c>
      <c r="R32" s="773" t="s">
        <v>17</v>
      </c>
      <c r="S32" s="774">
        <f t="shared" si="10"/>
        <v>100</v>
      </c>
      <c r="T32" s="773" t="s">
        <v>17</v>
      </c>
      <c r="U32" s="774">
        <f t="shared" si="11"/>
        <v>100</v>
      </c>
      <c r="V32" s="773" t="s">
        <v>17</v>
      </c>
      <c r="W32" s="774">
        <f t="shared" si="12"/>
        <v>100</v>
      </c>
      <c r="X32" s="1806"/>
      <c r="Y32" s="3254"/>
      <c r="Z32" s="1807" t="str">
        <f t="shared" si="13"/>
        <v>毗邻道路的类型与等级</v>
      </c>
      <c r="AA32" s="1804">
        <f t="shared" si="3"/>
        <v>1</v>
      </c>
      <c r="AB32" s="1804">
        <f t="shared" si="4"/>
        <v>1</v>
      </c>
      <c r="AC32" s="1804">
        <f t="shared" si="5"/>
        <v>1</v>
      </c>
    </row>
    <row r="33" spans="1:29" ht="15">
      <c r="A33" s="427"/>
      <c r="B33" s="455"/>
      <c r="C33" s="446"/>
      <c r="D33" s="447"/>
      <c r="E33" s="2600"/>
      <c r="F33" s="447"/>
      <c r="G33" s="2600"/>
      <c r="H33" s="447"/>
      <c r="I33" s="446"/>
      <c r="J33" s="447"/>
      <c r="K33" s="612"/>
      <c r="L33" s="1133"/>
      <c r="M33" s="1124"/>
      <c r="N33" s="1124"/>
      <c r="O33" s="1132"/>
      <c r="P33" s="3254"/>
      <c r="Q33" s="1803"/>
      <c r="R33" s="773"/>
      <c r="S33" s="774"/>
      <c r="T33" s="773"/>
      <c r="U33" s="774"/>
      <c r="V33" s="773"/>
      <c r="W33" s="774"/>
      <c r="X33" s="1806"/>
      <c r="Y33" s="3254"/>
      <c r="Z33" s="1807"/>
      <c r="AA33" s="1804">
        <v>1</v>
      </c>
      <c r="AB33" s="1804">
        <v>1</v>
      </c>
      <c r="AC33" s="1804">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54"/>
      <c r="Q34" s="1803" t="str">
        <f t="shared" si="8"/>
        <v>土地级别</v>
      </c>
      <c r="R34" s="773" t="s">
        <v>17</v>
      </c>
      <c r="S34" s="774">
        <f t="shared" si="10"/>
        <v>100</v>
      </c>
      <c r="T34" s="773" t="s">
        <v>17</v>
      </c>
      <c r="U34" s="774">
        <f t="shared" si="11"/>
        <v>100</v>
      </c>
      <c r="V34" s="773" t="s">
        <v>17</v>
      </c>
      <c r="W34" s="774">
        <f t="shared" si="12"/>
        <v>100</v>
      </c>
      <c r="X34" s="1806"/>
      <c r="Y34" s="3254"/>
      <c r="Z34" s="1807" t="str">
        <f t="shared" si="13"/>
        <v>土地级别</v>
      </c>
      <c r="AA34" s="1804">
        <f t="shared" si="3"/>
        <v>1</v>
      </c>
      <c r="AB34" s="1804">
        <f t="shared" si="4"/>
        <v>1</v>
      </c>
      <c r="AC34" s="1804">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54"/>
      <c r="Q35" s="1803">
        <f t="shared" si="8"/>
        <v>111</v>
      </c>
      <c r="R35" s="773" t="s">
        <v>17</v>
      </c>
      <c r="S35" s="774">
        <f t="shared" si="10"/>
        <v>100</v>
      </c>
      <c r="T35" s="773" t="s">
        <v>17</v>
      </c>
      <c r="U35" s="774">
        <f t="shared" si="11"/>
        <v>100</v>
      </c>
      <c r="V35" s="773" t="s">
        <v>17</v>
      </c>
      <c r="W35" s="774">
        <f t="shared" si="12"/>
        <v>100</v>
      </c>
      <c r="X35" s="1806"/>
      <c r="Y35" s="3254"/>
      <c r="Z35" s="1807">
        <f t="shared" si="13"/>
        <v>111</v>
      </c>
      <c r="AA35" s="1804">
        <f t="shared" si="3"/>
        <v>1</v>
      </c>
      <c r="AB35" s="1804">
        <f t="shared" si="4"/>
        <v>1</v>
      </c>
      <c r="AC35" s="1804">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82" t="s">
        <v>2550</v>
      </c>
      <c r="Q36" s="1803">
        <f t="shared" si="8"/>
        <v>111</v>
      </c>
      <c r="R36" s="773" t="s">
        <v>17</v>
      </c>
      <c r="S36" s="774">
        <f t="shared" si="10"/>
        <v>100</v>
      </c>
      <c r="T36" s="773" t="s">
        <v>17</v>
      </c>
      <c r="U36" s="774">
        <f t="shared" si="11"/>
        <v>100</v>
      </c>
      <c r="V36" s="773" t="s">
        <v>17</v>
      </c>
      <c r="W36" s="774">
        <f t="shared" si="12"/>
        <v>100</v>
      </c>
      <c r="X36" s="1806"/>
      <c r="Y36" s="3258" t="s">
        <v>2550</v>
      </c>
      <c r="Z36" s="1807">
        <f t="shared" si="13"/>
        <v>111</v>
      </c>
      <c r="AA36" s="1804">
        <f t="shared" si="3"/>
        <v>1</v>
      </c>
      <c r="AB36" s="1804">
        <f t="shared" si="4"/>
        <v>1</v>
      </c>
      <c r="AC36" s="1804">
        <f t="shared" si="5"/>
        <v>1</v>
      </c>
    </row>
    <row r="37" spans="1:29" s="470" customFormat="1" ht="15.6" thickBot="1">
      <c r="A37" s="675"/>
      <c r="B37" s="1381">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58"/>
      <c r="Q37" s="1803">
        <f t="shared" si="8"/>
        <v>111</v>
      </c>
      <c r="R37" s="776" t="s">
        <v>17</v>
      </c>
      <c r="S37" s="777">
        <f t="shared" si="10"/>
        <v>100</v>
      </c>
      <c r="T37" s="776" t="s">
        <v>17</v>
      </c>
      <c r="U37" s="777">
        <f t="shared" si="11"/>
        <v>100</v>
      </c>
      <c r="V37" s="776" t="s">
        <v>17</v>
      </c>
      <c r="W37" s="777">
        <f t="shared" si="12"/>
        <v>100</v>
      </c>
      <c r="X37" s="778"/>
      <c r="Y37" s="3258"/>
      <c r="Z37" s="779">
        <f t="shared" si="13"/>
        <v>111</v>
      </c>
      <c r="AA37" s="1804">
        <f t="shared" si="3"/>
        <v>1</v>
      </c>
      <c r="AB37" s="1804">
        <f t="shared" si="4"/>
        <v>1</v>
      </c>
      <c r="AC37" s="1804">
        <f t="shared" si="5"/>
        <v>1</v>
      </c>
    </row>
    <row r="38" spans="1:29" ht="15.6">
      <c r="A38" s="471" t="s">
        <v>2548</v>
      </c>
      <c r="B38" s="455" t="s">
        <v>2736</v>
      </c>
      <c r="C38" s="678">
        <f>'数据-基础表'!A3</f>
        <v>8279.61</v>
      </c>
      <c r="D38" s="466">
        <v>100</v>
      </c>
      <c r="E38" s="678">
        <f>土地案例!J4</f>
        <v>36122</v>
      </c>
      <c r="F38" s="466">
        <f>LOOKUP(E38,117:117,118:118)-LOOKUP(C38,117:117,118:118)+100</f>
        <v>101</v>
      </c>
      <c r="G38" s="678">
        <f>土地案例!J6</f>
        <v>54466</v>
      </c>
      <c r="H38" s="466">
        <f>LOOKUP(G38,117:117,118:118)-LOOKUP(C38,117:117,118:118)+100</f>
        <v>102</v>
      </c>
      <c r="I38" s="529">
        <f>土地案例!J11</f>
        <v>33095</v>
      </c>
      <c r="J38" s="466">
        <f>LOOKUP(I38,117:117,118:118)-LOOKUP(C38,117:117,118:118)+100</f>
        <v>101</v>
      </c>
      <c r="K38" s="612"/>
      <c r="L38" s="1133"/>
      <c r="M38" s="1124"/>
      <c r="N38" s="1124"/>
      <c r="O38" s="1132"/>
      <c r="P38" s="3258"/>
      <c r="Q38" s="1803" t="str">
        <f>B38</f>
        <v>宗地面积</v>
      </c>
      <c r="R38" s="773" t="s">
        <v>17</v>
      </c>
      <c r="S38" s="774">
        <f t="shared" si="10"/>
        <v>101</v>
      </c>
      <c r="T38" s="773" t="s">
        <v>17</v>
      </c>
      <c r="U38" s="774">
        <f t="shared" si="11"/>
        <v>102</v>
      </c>
      <c r="V38" s="773" t="s">
        <v>17</v>
      </c>
      <c r="W38" s="774">
        <f t="shared" si="12"/>
        <v>101</v>
      </c>
      <c r="X38" s="1806"/>
      <c r="Y38" s="3258"/>
      <c r="Z38" s="1807" t="str">
        <f t="shared" si="13"/>
        <v>宗地面积</v>
      </c>
      <c r="AA38" s="1804">
        <f t="shared" si="3"/>
        <v>0.99009900990099009</v>
      </c>
      <c r="AB38" s="1804">
        <f t="shared" si="4"/>
        <v>0.98039215686274506</v>
      </c>
      <c r="AC38" s="1804">
        <f t="shared" si="5"/>
        <v>0.99009900990099009</v>
      </c>
    </row>
    <row r="39" spans="1:29" ht="15">
      <c r="A39" s="471"/>
      <c r="B39" s="421" t="s">
        <v>2737</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3"/>
      <c r="M39" s="1124"/>
      <c r="N39" s="1124"/>
      <c r="O39" s="1132"/>
      <c r="P39" s="3258"/>
      <c r="Q39" s="1803" t="str">
        <f t="shared" ref="Q39:Q45" si="14">B39</f>
        <v>宗地形状</v>
      </c>
      <c r="R39" s="773" t="s">
        <v>17</v>
      </c>
      <c r="S39" s="774">
        <f t="shared" si="10"/>
        <v>100</v>
      </c>
      <c r="T39" s="773" t="s">
        <v>17</v>
      </c>
      <c r="U39" s="774">
        <f t="shared" si="11"/>
        <v>100</v>
      </c>
      <c r="V39" s="773" t="s">
        <v>17</v>
      </c>
      <c r="W39" s="774">
        <f t="shared" si="12"/>
        <v>100</v>
      </c>
      <c r="X39" s="1806"/>
      <c r="Y39" s="3258"/>
      <c r="Z39" s="1807" t="str">
        <f t="shared" si="13"/>
        <v>宗地形状</v>
      </c>
      <c r="AA39" s="1804">
        <f t="shared" si="3"/>
        <v>1</v>
      </c>
      <c r="AB39" s="1804">
        <f t="shared" si="4"/>
        <v>1</v>
      </c>
      <c r="AC39" s="1804">
        <f t="shared" si="5"/>
        <v>1</v>
      </c>
    </row>
    <row r="40" spans="1:29" ht="15">
      <c r="A40" s="471"/>
      <c r="B40" s="421" t="s">
        <v>2738</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3"/>
      <c r="M40" s="1124"/>
      <c r="N40" s="1124"/>
      <c r="O40" s="1132"/>
      <c r="P40" s="3258"/>
      <c r="Q40" s="1803" t="str">
        <f t="shared" si="14"/>
        <v>临街宽度及深度</v>
      </c>
      <c r="R40" s="773" t="s">
        <v>17</v>
      </c>
      <c r="S40" s="774">
        <f t="shared" si="10"/>
        <v>100</v>
      </c>
      <c r="T40" s="773" t="s">
        <v>17</v>
      </c>
      <c r="U40" s="774">
        <f t="shared" si="11"/>
        <v>100</v>
      </c>
      <c r="V40" s="773" t="s">
        <v>17</v>
      </c>
      <c r="W40" s="774">
        <f t="shared" si="12"/>
        <v>100</v>
      </c>
      <c r="X40" s="1806"/>
      <c r="Y40" s="3258"/>
      <c r="Z40" s="1807" t="str">
        <f t="shared" si="13"/>
        <v>临街宽度及深度</v>
      </c>
      <c r="AA40" s="1804">
        <f t="shared" si="3"/>
        <v>1</v>
      </c>
      <c r="AB40" s="1804">
        <f t="shared" si="4"/>
        <v>1</v>
      </c>
      <c r="AC40" s="1804">
        <f t="shared" si="5"/>
        <v>1</v>
      </c>
    </row>
    <row r="41" spans="1:29" s="116" customFormat="1" ht="15">
      <c r="A41" s="472"/>
      <c r="B41" s="421" t="s">
        <v>2739</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25"/>
      <c r="M41" s="1126"/>
      <c r="N41" s="1126"/>
      <c r="O41" s="1127"/>
      <c r="P41" s="3258"/>
      <c r="Q41" s="1803"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1"/>
      <c r="B42" s="421" t="s">
        <v>2740</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3"/>
      <c r="M42" s="1124"/>
      <c r="N42" s="1124"/>
      <c r="O42" s="1132"/>
      <c r="P42" s="3258" t="s">
        <v>2550</v>
      </c>
      <c r="Q42" s="1803" t="str">
        <f t="shared" si="14"/>
        <v>工程地质条件</v>
      </c>
      <c r="R42" s="773" t="s">
        <v>17</v>
      </c>
      <c r="S42" s="774">
        <f t="shared" si="10"/>
        <v>100</v>
      </c>
      <c r="T42" s="773" t="s">
        <v>17</v>
      </c>
      <c r="U42" s="774">
        <f t="shared" si="11"/>
        <v>100</v>
      </c>
      <c r="V42" s="773" t="s">
        <v>17</v>
      </c>
      <c r="W42" s="774">
        <f t="shared" si="12"/>
        <v>100</v>
      </c>
      <c r="X42" s="1806"/>
      <c r="Y42" s="3258" t="s">
        <v>2550</v>
      </c>
      <c r="Z42" s="1807" t="str">
        <f t="shared" si="13"/>
        <v>工程地质条件</v>
      </c>
      <c r="AA42" s="1804">
        <f t="shared" si="3"/>
        <v>1</v>
      </c>
      <c r="AB42" s="1804">
        <f t="shared" si="4"/>
        <v>1</v>
      </c>
      <c r="AC42" s="1804">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58"/>
      <c r="Q43" s="1803">
        <f t="shared" si="14"/>
        <v>111</v>
      </c>
      <c r="R43" s="773" t="s">
        <v>17</v>
      </c>
      <c r="S43" s="774">
        <f t="shared" si="10"/>
        <v>100</v>
      </c>
      <c r="T43" s="773" t="s">
        <v>17</v>
      </c>
      <c r="U43" s="774">
        <f t="shared" si="11"/>
        <v>100</v>
      </c>
      <c r="V43" s="773" t="s">
        <v>17</v>
      </c>
      <c r="W43" s="774">
        <f t="shared" si="12"/>
        <v>100</v>
      </c>
      <c r="X43" s="1806"/>
      <c r="Y43" s="3258"/>
      <c r="Z43" s="1807">
        <f t="shared" si="13"/>
        <v>111</v>
      </c>
      <c r="AA43" s="1804">
        <f t="shared" si="3"/>
        <v>1</v>
      </c>
      <c r="AB43" s="1804">
        <f t="shared" si="4"/>
        <v>1</v>
      </c>
      <c r="AC43" s="1804">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58"/>
      <c r="Q44" s="1803">
        <f t="shared" si="14"/>
        <v>111</v>
      </c>
      <c r="R44" s="773" t="s">
        <v>17</v>
      </c>
      <c r="S44" s="774">
        <f t="shared" si="10"/>
        <v>100</v>
      </c>
      <c r="T44" s="773" t="s">
        <v>17</v>
      </c>
      <c r="U44" s="774">
        <f t="shared" si="11"/>
        <v>100</v>
      </c>
      <c r="V44" s="773" t="s">
        <v>17</v>
      </c>
      <c r="W44" s="774">
        <f t="shared" si="12"/>
        <v>100</v>
      </c>
      <c r="X44" s="1806"/>
      <c r="Y44" s="3258"/>
      <c r="Z44" s="1807">
        <f t="shared" si="13"/>
        <v>111</v>
      </c>
      <c r="AA44" s="1804">
        <f t="shared" si="3"/>
        <v>1</v>
      </c>
      <c r="AB44" s="1804">
        <f t="shared" si="4"/>
        <v>1</v>
      </c>
      <c r="AC44" s="1804">
        <f t="shared" si="5"/>
        <v>1</v>
      </c>
    </row>
    <row r="45" spans="1:29" s="470" customFormat="1" ht="15.6"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58"/>
      <c r="Q45" s="1803">
        <f t="shared" si="14"/>
        <v>111</v>
      </c>
      <c r="R45" s="776" t="s">
        <v>17</v>
      </c>
      <c r="S45" s="777">
        <f t="shared" si="10"/>
        <v>100</v>
      </c>
      <c r="T45" s="776" t="s">
        <v>17</v>
      </c>
      <c r="U45" s="777">
        <f t="shared" si="11"/>
        <v>100</v>
      </c>
      <c r="V45" s="776" t="s">
        <v>17</v>
      </c>
      <c r="W45" s="777">
        <f t="shared" si="12"/>
        <v>100</v>
      </c>
      <c r="X45" s="778"/>
      <c r="Y45" s="3258"/>
      <c r="Z45" s="779">
        <f t="shared" si="13"/>
        <v>111</v>
      </c>
      <c r="AA45" s="1804">
        <f t="shared" si="3"/>
        <v>1</v>
      </c>
      <c r="AB45" s="1804">
        <f t="shared" si="4"/>
        <v>1</v>
      </c>
      <c r="AC45" s="1804">
        <f t="shared" si="5"/>
        <v>1</v>
      </c>
    </row>
    <row r="46" spans="1:29" ht="14.4">
      <c r="A46" s="478" t="s">
        <v>2705</v>
      </c>
      <c r="B46" s="2692" t="s">
        <v>2741</v>
      </c>
      <c r="C46" s="681" t="s">
        <v>1</v>
      </c>
      <c r="D46" s="480"/>
      <c r="E46" s="481">
        <f>土地案例!AK4</f>
        <v>4229.4799999999996</v>
      </c>
      <c r="F46" s="482"/>
      <c r="G46" s="483">
        <f>土地案例!AK6</f>
        <v>5130.6099999999997</v>
      </c>
      <c r="H46" s="484"/>
      <c r="I46" s="481">
        <f>土地案例!AK11</f>
        <v>4834.5600000000004</v>
      </c>
      <c r="J46" s="484"/>
      <c r="K46" s="782"/>
      <c r="L46" s="1136"/>
      <c r="M46" s="1137"/>
      <c r="N46" s="1124"/>
      <c r="O46" s="1137"/>
      <c r="P46" s="3260" t="str">
        <f>A46</f>
        <v>成交单价</v>
      </c>
      <c r="Q46" s="3260"/>
      <c r="R46" s="3246">
        <f>E46</f>
        <v>4229.4799999999996</v>
      </c>
      <c r="S46" s="3246"/>
      <c r="T46" s="3246">
        <f>G46</f>
        <v>5130.6099999999997</v>
      </c>
      <c r="U46" s="3246"/>
      <c r="V46" s="3246">
        <f>I46</f>
        <v>4834.5600000000004</v>
      </c>
      <c r="W46" s="3246"/>
      <c r="X46" s="758"/>
      <c r="Y46" s="780"/>
      <c r="Z46" s="758"/>
      <c r="AA46" s="758"/>
      <c r="AB46" s="758"/>
      <c r="AC46" s="758"/>
    </row>
    <row r="47" spans="1:29" ht="15" thickBot="1">
      <c r="A47" s="485" t="s">
        <v>2654</v>
      </c>
      <c r="B47" s="682"/>
      <c r="C47" s="489">
        <f>R48</f>
        <v>4638</v>
      </c>
      <c r="D47" s="488"/>
      <c r="E47" s="489">
        <f>R47</f>
        <v>4147</v>
      </c>
      <c r="F47" s="490"/>
      <c r="G47" s="487">
        <f>T47</f>
        <v>4981</v>
      </c>
      <c r="H47" s="488"/>
      <c r="I47" s="489">
        <f>V47</f>
        <v>4787</v>
      </c>
      <c r="J47" s="488"/>
      <c r="K47" s="783"/>
      <c r="L47" s="1136"/>
      <c r="M47" s="1137"/>
      <c r="N47" s="1137"/>
      <c r="O47" s="1137"/>
      <c r="P47" s="3260" t="str">
        <f>A47</f>
        <v>比较价值（元/平方米）</v>
      </c>
      <c r="Q47" s="3260"/>
      <c r="R47" s="3283">
        <f>ROUND(PRODUCT(R46,AA7:AA45),0)</f>
        <v>4147</v>
      </c>
      <c r="S47" s="3283"/>
      <c r="T47" s="3283">
        <f>ROUND(PRODUCT(T46,AB7:AB45),0)</f>
        <v>4981</v>
      </c>
      <c r="U47" s="3283"/>
      <c r="V47" s="3283">
        <f>ROUND(PRODUCT(V46,AC7:AC45),0)</f>
        <v>4787</v>
      </c>
      <c r="W47" s="3283"/>
      <c r="X47" s="758"/>
      <c r="Y47" s="758"/>
      <c r="Z47" s="758"/>
      <c r="AA47" s="758"/>
      <c r="AB47" s="758"/>
      <c r="AC47" s="758"/>
    </row>
    <row r="48" spans="1:29" ht="15" thickBot="1">
      <c r="A48" s="491" t="s">
        <v>2742</v>
      </c>
      <c r="B48" s="492"/>
      <c r="C48" s="493">
        <f>R48</f>
        <v>4638</v>
      </c>
      <c r="D48" s="493"/>
      <c r="E48" s="493"/>
      <c r="F48" s="493"/>
      <c r="G48" s="493"/>
      <c r="H48" s="493"/>
      <c r="I48" s="493"/>
      <c r="J48" s="493"/>
      <c r="K48" s="784"/>
      <c r="L48" s="1136"/>
      <c r="M48" s="1137"/>
      <c r="N48" s="1137"/>
      <c r="O48" s="1137"/>
      <c r="P48" s="3262" t="str">
        <f>A48</f>
        <v>估价对象XX用房的比较价值（楼面单价，元/平方米）</v>
      </c>
      <c r="Q48" s="3263"/>
      <c r="R48" s="3284">
        <f>ROUND(AVERAGE(R47:V47),0)</f>
        <v>4638</v>
      </c>
      <c r="S48" s="3284"/>
      <c r="T48" s="3284"/>
      <c r="U48" s="3284"/>
      <c r="V48" s="3284"/>
      <c r="W48" s="3284"/>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2656</v>
      </c>
      <c r="D51" s="497"/>
      <c r="E51" s="498">
        <f>IF(E46&lt;E47,E47/E46-1,E46/E47-1)</f>
        <v>1.9889076440800402E-2</v>
      </c>
      <c r="F51" s="499" t="str">
        <f>IF(OR(E51&gt;=0.3,E51&lt;=-0.3),"超过30%","")</f>
        <v/>
      </c>
      <c r="G51" s="498">
        <f>IF(G46&lt;G47,G47/G46-1,G46/G47-1)</f>
        <v>3.0036137321822753E-2</v>
      </c>
      <c r="H51" s="499" t="str">
        <f>IF(OR(G51&gt;=0.3,G51&lt;=-0.3),"超过30%","")</f>
        <v/>
      </c>
      <c r="I51" s="498">
        <f>IF(I46&lt;I47,I47/I46-1,I46/I47-1)</f>
        <v>9.9352412784625699E-3</v>
      </c>
      <c r="J51" s="499" t="str">
        <f>IF(OR(I51&gt;=0.3,I51&lt;=-0.3),"超过30%","")</f>
        <v/>
      </c>
      <c r="K51" s="1098"/>
      <c r="L51" s="1099"/>
      <c r="M51" s="1137"/>
      <c r="N51" s="1137"/>
      <c r="O51" s="1137"/>
    </row>
    <row r="52" spans="1:15" ht="13.5" customHeight="1">
      <c r="A52" s="1137"/>
      <c r="B52" s="1137"/>
      <c r="C52" s="496" t="s">
        <v>2657</v>
      </c>
      <c r="D52" s="500"/>
      <c r="E52" s="498">
        <f>IF(E47&lt;G47,G47/E47-1,E47/G47-1)</f>
        <v>0.20110923559199412</v>
      </c>
      <c r="F52" s="499" t="str">
        <f>IF(OR(E52&gt;=0.2,E52&lt;=-0.2),"超过20%","")</f>
        <v>超过20%</v>
      </c>
      <c r="G52" s="498">
        <f>IF(G47&lt;I47,I47/G47-1,G47/I47-1)</f>
        <v>4.0526425736369331E-2</v>
      </c>
      <c r="H52" s="499" t="str">
        <f>IF(OR(G52&gt;=0.2,G52&lt;=-0.2),"超过20%","")</f>
        <v/>
      </c>
      <c r="I52" s="498">
        <f>IF(I47&lt;E47,E47/I47-1,I47/E47-1)</f>
        <v>0.15432843019049924</v>
      </c>
      <c r="J52" s="499" t="str">
        <f>IF(OR(I52&gt;=0.2,I52&lt;=-0.2),"超过20%","")</f>
        <v/>
      </c>
      <c r="K52" s="1098"/>
      <c r="L52" s="1099"/>
      <c r="M52" s="1137"/>
      <c r="N52" s="1137"/>
      <c r="O52" s="1137"/>
    </row>
    <row r="53" spans="1:15" s="501" customFormat="1" ht="13.5" customHeight="1">
      <c r="A53" s="1138"/>
      <c r="B53" s="1138"/>
      <c r="C53" s="496" t="s">
        <v>2658</v>
      </c>
      <c r="D53" s="500"/>
      <c r="E53" s="498">
        <f>IF(E46&lt;G46,G46/E46-1,E46/G46-1)</f>
        <v>0.21305928861231171</v>
      </c>
      <c r="F53" s="499" t="str">
        <f>IF(OR(E53&gt;=0.3,E53&lt;=-0.3),"超过30%","")</f>
        <v/>
      </c>
      <c r="G53" s="498">
        <f>IF(G46&lt;I46,I46/G46-1,G46/I46-1)</f>
        <v>6.1236182817050455E-2</v>
      </c>
      <c r="H53" s="499" t="str">
        <f>IF(OR(G53&gt;=0.3,G53&lt;=-0.3),"超过30%","")</f>
        <v/>
      </c>
      <c r="I53" s="498">
        <f>IF(I46&lt;E46,E46/I46-1,I46/E46-1)</f>
        <v>0.14306250413762478</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93" t="s">
        <v>2745</v>
      </c>
      <c r="D55" s="2694" t="s">
        <v>2746</v>
      </c>
      <c r="E55" s="685" t="s">
        <v>2747</v>
      </c>
      <c r="F55" s="1100" t="s">
        <v>2748</v>
      </c>
      <c r="G55" s="3222" t="s">
        <v>2749</v>
      </c>
      <c r="H55" s="3285"/>
      <c r="I55" s="143" t="s">
        <v>2750</v>
      </c>
      <c r="J55" s="2695" t="str">
        <f>项目基本情况!F35</f>
        <v>浙江省</v>
      </c>
      <c r="K55" s="2696" t="s">
        <v>2751</v>
      </c>
      <c r="L55" s="1099"/>
      <c r="M55" s="1137"/>
      <c r="N55" s="1137"/>
      <c r="O55" s="1137"/>
    </row>
    <row r="56" spans="1:15" s="691" customFormat="1">
      <c r="A56" s="687" t="s">
        <v>2752</v>
      </c>
      <c r="B56" s="688">
        <f>C48</f>
        <v>4638</v>
      </c>
      <c r="C56" s="689">
        <v>1</v>
      </c>
      <c r="D56" s="1156">
        <v>1</v>
      </c>
      <c r="E56" s="689">
        <f>'数据-汇总表'!E8+'数据-汇总表'!E9</f>
        <v>21278.6</v>
      </c>
      <c r="F56" s="1096">
        <f t="shared" ref="F56:F65" si="15">ROUND(B56*E56/10000,0)</f>
        <v>9869</v>
      </c>
      <c r="G56" s="3250"/>
      <c r="H56" s="3260"/>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86" t="s">
        <v>2754</v>
      </c>
      <c r="H57" s="1097">
        <f>项目基本情况!B37</f>
        <v>0</v>
      </c>
      <c r="I57" s="1101">
        <f>SUMIF(修正!A45:A56,H57,修正!B45:B56)</f>
        <v>0</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86"/>
      <c r="H58" s="1097">
        <f>项目基本情况!B37</f>
        <v>0</v>
      </c>
      <c r="I58" s="1101">
        <f>SUMIF(修正!A45:A56,H58,修正!C45:C56)</f>
        <v>0</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86"/>
      <c r="H59" s="1097">
        <f>项目基本情况!B37</f>
        <v>0</v>
      </c>
      <c r="I59" s="1101">
        <f>SUMIF(修正!A45:A56,H59,修正!D45:D56)</f>
        <v>0</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86"/>
      <c r="H60" s="1097">
        <f>项目基本情况!B37</f>
        <v>0</v>
      </c>
      <c r="I60" s="1101">
        <f>SUMIF(修正!A45:A56,H60,修正!E45:E56)</f>
        <v>0</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7"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7" t="s">
        <v>2754</v>
      </c>
      <c r="H64" s="1097">
        <f>项目基本情况!B37</f>
        <v>0</v>
      </c>
      <c r="I64" s="1101">
        <f>SUMIF(修正!A45:A56,H64,修正!H45:H56)</f>
        <v>0</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8"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1026</v>
      </c>
      <c r="E66" s="695">
        <f>IF(B46="楼面地价",SUM(E56:E65),'数据-汇总表'!D3)</f>
        <v>21278.6</v>
      </c>
      <c r="F66" s="696">
        <f>IF(B46="楼面地价",SUM(F56:F65),ROUND(C48*E66/10000,0))</f>
        <v>9869</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2659</v>
      </c>
      <c r="B69" s="758"/>
      <c r="C69" s="763"/>
      <c r="D69" s="763"/>
      <c r="E69" s="763"/>
      <c r="F69" s="764"/>
      <c r="G69" s="764"/>
      <c r="H69" s="763"/>
      <c r="I69" s="763"/>
      <c r="J69" s="1152"/>
      <c r="K69" s="1153"/>
      <c r="L69" s="1154"/>
      <c r="M69" s="1152"/>
      <c r="N69" s="1152"/>
      <c r="O69" s="1152"/>
      <c r="P69" s="502"/>
      <c r="Q69" s="503"/>
    </row>
    <row r="70" spans="1:17" s="507" customFormat="1" ht="14.4">
      <c r="A70" s="2699" t="s">
        <v>2767</v>
      </c>
      <c r="B70" s="1352"/>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2016-4</v>
      </c>
      <c r="O70" s="1565" t="str">
        <f t="shared" si="19"/>
        <v>2016-3</v>
      </c>
      <c r="P70" s="506"/>
    </row>
    <row r="71" spans="1:17" s="116" customFormat="1" ht="30" customHeight="1">
      <c r="A71" s="2700" t="s">
        <v>2768</v>
      </c>
      <c r="B71" s="331" t="str">
        <f>"北京市平均增长率"&amp;TEXT(SUMIF(基准地价修正!N21:N25,A71,基准地价修正!P21:P25),"0.00%")</f>
        <v>北京市平均增长率2.23%</v>
      </c>
      <c r="C71" s="602">
        <v>100</v>
      </c>
      <c r="D71" s="594">
        <f>C71-$C$72</f>
        <v>99</v>
      </c>
      <c r="E71" s="594">
        <f t="shared" ref="E71:I71" si="20">D71-$C$72</f>
        <v>98</v>
      </c>
      <c r="F71" s="594">
        <f t="shared" si="20"/>
        <v>97</v>
      </c>
      <c r="G71" s="594">
        <f t="shared" si="20"/>
        <v>96</v>
      </c>
      <c r="H71" s="594">
        <f t="shared" si="20"/>
        <v>95</v>
      </c>
      <c r="I71" s="594">
        <f t="shared" si="20"/>
        <v>94</v>
      </c>
      <c r="J71" s="594"/>
      <c r="K71" s="594"/>
      <c r="L71" s="594"/>
      <c r="M71" s="1560"/>
      <c r="N71" s="594"/>
      <c r="O71" s="1561"/>
      <c r="P71" s="503"/>
    </row>
    <row r="72" spans="1:17" s="116" customFormat="1" ht="15" thickBot="1">
      <c r="A72" s="514" t="s">
        <v>2570</v>
      </c>
      <c r="B72" s="515"/>
      <c r="C72" s="516">
        <v>1</v>
      </c>
      <c r="D72" s="517"/>
      <c r="E72" s="517"/>
      <c r="F72" s="517"/>
      <c r="G72" s="517"/>
      <c r="H72" s="517"/>
      <c r="I72" s="517"/>
      <c r="J72" s="517"/>
      <c r="K72" s="517"/>
      <c r="L72" s="517"/>
      <c r="M72" s="518"/>
      <c r="N72" s="517"/>
      <c r="O72" s="1155"/>
      <c r="P72" s="503"/>
      <c r="Q72" s="503"/>
    </row>
    <row r="73" spans="1:17" s="116" customFormat="1" ht="14.4">
      <c r="A73" s="520" t="s">
        <v>2535</v>
      </c>
      <c r="B73" s="509"/>
      <c r="C73" s="521" t="s">
        <v>2637</v>
      </c>
      <c r="D73" s="522"/>
      <c r="E73" s="522"/>
      <c r="F73" s="522"/>
      <c r="G73" s="522"/>
      <c r="H73" s="522"/>
      <c r="I73" s="522"/>
      <c r="J73" s="522"/>
      <c r="K73" s="522"/>
      <c r="L73" s="523"/>
      <c r="M73" s="524"/>
      <c r="N73" s="1144"/>
      <c r="O73" s="1144"/>
      <c r="P73" s="525"/>
      <c r="Q73" s="503"/>
    </row>
    <row r="74" spans="1:17" s="116"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2573</v>
      </c>
      <c r="B75" s="527" t="s">
        <v>2539</v>
      </c>
      <c r="C75" s="2956" t="s">
        <v>3443</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2542</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6"/>
      <c r="O81" s="1146"/>
      <c r="P81" s="45"/>
      <c r="Q81" s="503"/>
    </row>
    <row r="82" spans="1:17" s="470" customFormat="1" ht="14.4"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2544</v>
      </c>
      <c r="B88" s="527" t="s">
        <v>2581</v>
      </c>
      <c r="C88" s="572" t="s">
        <v>2582</v>
      </c>
      <c r="D88" s="572" t="s">
        <v>2583</v>
      </c>
      <c r="E88" s="572" t="s">
        <v>2584</v>
      </c>
      <c r="F88" s="572" t="s">
        <v>2585</v>
      </c>
      <c r="G88" s="572" t="s">
        <v>2586</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2582</v>
      </c>
      <c r="D90" s="577" t="s">
        <v>2583</v>
      </c>
      <c r="E90" s="577" t="s">
        <v>2584</v>
      </c>
      <c r="F90" s="577" t="s">
        <v>2585</v>
      </c>
      <c r="G90" s="577" t="s">
        <v>2586</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2682</v>
      </c>
      <c r="C92" s="577" t="s">
        <v>2582</v>
      </c>
      <c r="D92" s="577" t="s">
        <v>2583</v>
      </c>
      <c r="E92" s="577" t="s">
        <v>2584</v>
      </c>
      <c r="F92" s="577" t="s">
        <v>2585</v>
      </c>
      <c r="G92" s="577" t="s">
        <v>2586</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2587</v>
      </c>
      <c r="C94" s="577" t="s">
        <v>2582</v>
      </c>
      <c r="D94" s="577" t="s">
        <v>2583</v>
      </c>
      <c r="E94" s="577" t="s">
        <v>2584</v>
      </c>
      <c r="F94" s="577" t="s">
        <v>2585</v>
      </c>
      <c r="G94" s="577" t="s">
        <v>2586</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29.4" thickTop="1">
      <c r="A96" s="578"/>
      <c r="B96" s="537" t="s">
        <v>2770</v>
      </c>
      <c r="C96" s="577" t="s">
        <v>2582</v>
      </c>
      <c r="D96" s="577" t="s">
        <v>2583</v>
      </c>
      <c r="E96" s="577" t="s">
        <v>2584</v>
      </c>
      <c r="F96" s="577" t="s">
        <v>2585</v>
      </c>
      <c r="G96" s="577" t="s">
        <v>2586</v>
      </c>
      <c r="H96" s="577"/>
      <c r="I96" s="577"/>
      <c r="J96" s="577"/>
      <c r="K96" s="577"/>
      <c r="L96" s="697"/>
      <c r="M96" s="621"/>
      <c r="N96" s="1144"/>
      <c r="O96" s="1144"/>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9.4" thickTop="1">
      <c r="A98" s="578"/>
      <c r="B98" s="537" t="s">
        <v>2771</v>
      </c>
      <c r="C98" s="572" t="s">
        <v>2582</v>
      </c>
      <c r="D98" s="572" t="s">
        <v>2583</v>
      </c>
      <c r="E98" s="572" t="s">
        <v>2584</v>
      </c>
      <c r="F98" s="572" t="s">
        <v>2585</v>
      </c>
      <c r="G98" s="572" t="s">
        <v>2586</v>
      </c>
      <c r="H98" s="577"/>
      <c r="I98" s="577"/>
      <c r="J98" s="577"/>
      <c r="K98" s="577"/>
      <c r="L98" s="577"/>
      <c r="M98" s="621"/>
      <c r="N98" s="1144"/>
      <c r="O98" s="1144"/>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2639</v>
      </c>
      <c r="C100" s="572" t="s">
        <v>2582</v>
      </c>
      <c r="D100" s="572" t="s">
        <v>2583</v>
      </c>
      <c r="E100" s="572" t="s">
        <v>2584</v>
      </c>
      <c r="F100" s="572" t="s">
        <v>2585</v>
      </c>
      <c r="G100" s="572" t="s">
        <v>2586</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2640</v>
      </c>
      <c r="C102" s="659" t="s">
        <v>2660</v>
      </c>
      <c r="D102" s="659" t="s">
        <v>2661</v>
      </c>
      <c r="E102" s="659" t="s">
        <v>2662</v>
      </c>
      <c r="F102" s="659" t="s">
        <v>2663</v>
      </c>
      <c r="G102" s="659" t="s">
        <v>2664</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2676</v>
      </c>
      <c r="C106" s="553"/>
      <c r="D106" s="553"/>
      <c r="E106" s="553"/>
      <c r="F106" s="553"/>
      <c r="G106" s="553"/>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2735</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2548</v>
      </c>
      <c r="B116" s="527" t="s">
        <v>2776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120000(含)-140000</v>
      </c>
      <c r="J116" s="528" t="str">
        <f t="shared" si="26"/>
        <v>140000(含)-160000</v>
      </c>
      <c r="K116" s="528" t="str">
        <f t="shared" si="26"/>
        <v>160000(含)-</v>
      </c>
      <c r="L116" s="528" t="str">
        <f t="shared" si="26"/>
        <v>(含)-</v>
      </c>
      <c r="M116" s="528" t="str">
        <f t="shared" si="26"/>
        <v>(含)-</v>
      </c>
      <c r="N116" s="1145"/>
      <c r="O116" s="1145"/>
      <c r="P116" s="45"/>
      <c r="Q116" s="503"/>
    </row>
    <row r="117" spans="1:17">
      <c r="A117" s="533"/>
      <c r="B117" s="545"/>
      <c r="C117" s="594">
        <v>0</v>
      </c>
      <c r="D117" s="594">
        <f>C117+20000</f>
        <v>20000</v>
      </c>
      <c r="E117" s="594">
        <f t="shared" ref="E117:K117" si="27">D117+20000</f>
        <v>40000</v>
      </c>
      <c r="F117" s="594">
        <f t="shared" si="27"/>
        <v>60000</v>
      </c>
      <c r="G117" s="594">
        <f t="shared" si="27"/>
        <v>80000</v>
      </c>
      <c r="H117" s="594">
        <f t="shared" si="27"/>
        <v>100000</v>
      </c>
      <c r="I117" s="594">
        <f t="shared" si="27"/>
        <v>120000</v>
      </c>
      <c r="J117" s="594">
        <f>I117+20000</f>
        <v>140000</v>
      </c>
      <c r="K117" s="594">
        <f t="shared" si="27"/>
        <v>160000</v>
      </c>
      <c r="L117" s="596"/>
      <c r="M117" s="597"/>
      <c r="N117" s="1145"/>
      <c r="O117" s="1145"/>
      <c r="P117" s="45"/>
      <c r="Q117" s="503"/>
    </row>
    <row r="118" spans="1:17" ht="14.4" thickBot="1">
      <c r="A118" s="533"/>
      <c r="B118" s="542"/>
      <c r="C118" s="569">
        <v>100</v>
      </c>
      <c r="D118" s="590">
        <f>C118+1</f>
        <v>101</v>
      </c>
      <c r="E118" s="590">
        <f t="shared" ref="E118:K118" si="28">D118+1</f>
        <v>102</v>
      </c>
      <c r="F118" s="590">
        <f t="shared" si="28"/>
        <v>103</v>
      </c>
      <c r="G118" s="590">
        <f t="shared" si="28"/>
        <v>104</v>
      </c>
      <c r="H118" s="590">
        <f t="shared" si="28"/>
        <v>105</v>
      </c>
      <c r="I118" s="590">
        <f t="shared" si="28"/>
        <v>106</v>
      </c>
      <c r="J118" s="590">
        <f t="shared" si="28"/>
        <v>107</v>
      </c>
      <c r="K118" s="590">
        <f t="shared" si="28"/>
        <v>108</v>
      </c>
      <c r="L118" s="590"/>
      <c r="M118" s="591"/>
      <c r="N118" s="1146"/>
      <c r="O118" s="1146"/>
      <c r="P118" s="45"/>
      <c r="Q118" s="503"/>
    </row>
    <row r="119" spans="1:17" ht="15" thickTop="1">
      <c r="A119" s="598"/>
      <c r="B119" s="537" t="s">
        <v>2777</v>
      </c>
      <c r="C119" s="582"/>
      <c r="D119" s="582"/>
      <c r="E119" s="582"/>
      <c r="F119" s="582"/>
      <c r="G119" s="582"/>
      <c r="H119" s="582"/>
      <c r="I119" s="582"/>
      <c r="J119" s="582"/>
      <c r="K119" s="583"/>
      <c r="L119" s="584"/>
      <c r="M119" s="585"/>
      <c r="N119" s="1145"/>
      <c r="O119" s="1145"/>
      <c r="P119" s="45"/>
      <c r="Q119" s="503"/>
    </row>
    <row r="120" spans="1:17" ht="14.4"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46"/>
      <c r="O120" s="1146"/>
      <c r="P120" s="45"/>
      <c r="Q120" s="503"/>
    </row>
    <row r="121" spans="1:17" ht="15" thickTop="1">
      <c r="A121" s="598"/>
      <c r="B121" s="537" t="s">
        <v>2778</v>
      </c>
      <c r="C121" s="553"/>
      <c r="D121" s="553"/>
      <c r="E121" s="553"/>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46"/>
      <c r="O122" s="1146"/>
      <c r="P122" s="45"/>
      <c r="Q122" s="503"/>
    </row>
    <row r="123" spans="1:17" s="470" customFormat="1" ht="15" thickTop="1">
      <c r="A123" s="592"/>
      <c r="B123" s="537" t="s">
        <v>2779</v>
      </c>
      <c r="C123" s="553"/>
      <c r="D123" s="553"/>
      <c r="E123" s="553"/>
      <c r="F123" s="553"/>
      <c r="G123" s="553"/>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47"/>
      <c r="O124" s="1147"/>
      <c r="P124" s="557"/>
      <c r="Q124" s="558"/>
    </row>
    <row r="125" spans="1:17" ht="15" thickTop="1">
      <c r="A125" s="598"/>
      <c r="B125" s="537" t="s">
        <v>2780</v>
      </c>
      <c r="C125" s="553"/>
      <c r="D125" s="553"/>
      <c r="E125" s="582"/>
      <c r="F125" s="582"/>
      <c r="G125" s="582"/>
      <c r="H125" s="582"/>
      <c r="I125" s="582"/>
      <c r="J125" s="582"/>
      <c r="K125" s="583"/>
      <c r="L125" s="584"/>
      <c r="M125" s="585"/>
      <c r="N125" s="1145"/>
      <c r="O125" s="1145"/>
      <c r="P125" s="45"/>
      <c r="Q125" s="503"/>
    </row>
    <row r="126" spans="1:17" ht="14.4"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2315</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ROUND(IF(D3="",B2*10000/'数据-汇总表'!E3,B2*10000/D3),0)</f>
        <v>#DIV/0!</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88" t="s">
        <v>2782</v>
      </c>
      <c r="D6" s="3289"/>
      <c r="E6" s="3290" t="s">
        <v>2782</v>
      </c>
      <c r="F6" s="3291"/>
      <c r="G6" s="3288" t="s">
        <v>2782</v>
      </c>
      <c r="H6" s="3289"/>
      <c r="I6" s="3288" t="s">
        <v>2782</v>
      </c>
      <c r="J6" s="3289"/>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0" si="3">D8/F8</f>
        <v>#DIV/0!</v>
      </c>
      <c r="AB8" s="772" t="e">
        <f t="shared" ref="AB8:AB40" si="4">D8/H8</f>
        <v>#DIV/0!</v>
      </c>
      <c r="AC8" s="772" t="e">
        <f t="shared" ref="AC8:AC40" si="5">D8/J8</f>
        <v>#DIV/0!</v>
      </c>
    </row>
    <row r="9" spans="1:29" s="116" customFormat="1" ht="14.4">
      <c r="A9" s="414" t="s">
        <v>2538</v>
      </c>
      <c r="B9" s="71" t="s">
        <v>2539</v>
      </c>
      <c r="C9" s="2687"/>
      <c r="D9" s="134">
        <v>100</v>
      </c>
      <c r="E9" s="2687"/>
      <c r="F9" s="134">
        <f>SUMIF(70:70,E9,71:71)-SUMIF(70:70,C9,71:71)+100</f>
        <v>100</v>
      </c>
      <c r="G9" s="2687"/>
      <c r="H9" s="134">
        <f>SUMIF(70:70,G9,71:71)-SUMIF(70:70,C9,71:71)+100</f>
        <v>100</v>
      </c>
      <c r="I9" s="2687"/>
      <c r="J9" s="134">
        <f>SUMIF(70:70,I9,71:71)-SUMIF(70:70,C9,71:71)+100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31"/>
      <c r="D10" s="135">
        <v>100</v>
      </c>
      <c r="E10" s="431"/>
      <c r="F10" s="135">
        <f>ROUND(100/'数据-取费表'!G16,0)</f>
        <v>101</v>
      </c>
      <c r="G10" s="431"/>
      <c r="H10" s="135">
        <f>ROUND(100/'数据-取费表'!G16,0)</f>
        <v>101</v>
      </c>
      <c r="I10" s="431"/>
      <c r="J10" s="135">
        <f>ROUND(100/'数据-取费表'!G16,0)</f>
        <v>101</v>
      </c>
      <c r="K10" s="671"/>
      <c r="L10" s="1128"/>
      <c r="M10" s="1129"/>
      <c r="N10" s="1129"/>
      <c r="O10" s="1130"/>
      <c r="P10" s="3260"/>
      <c r="Q10" s="1788"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26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69">
      <c r="A15" s="439" t="s">
        <v>2544</v>
      </c>
      <c r="B15" s="628" t="s">
        <v>2783</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53" t="s">
        <v>2545</v>
      </c>
      <c r="Q15" s="1803" t="str">
        <f t="shared" si="6"/>
        <v>产业集聚程度</v>
      </c>
      <c r="R15" s="773" t="s">
        <v>17</v>
      </c>
      <c r="S15" s="774">
        <f t="shared" si="0"/>
        <v>100</v>
      </c>
      <c r="T15" s="773" t="s">
        <v>17</v>
      </c>
      <c r="U15" s="774">
        <f t="shared" si="1"/>
        <v>100</v>
      </c>
      <c r="V15" s="773" t="s">
        <v>17</v>
      </c>
      <c r="W15" s="774">
        <f t="shared" si="2"/>
        <v>100</v>
      </c>
      <c r="X15" s="1806"/>
      <c r="Y15" s="3253" t="s">
        <v>2545</v>
      </c>
      <c r="Z15" s="1807" t="str">
        <f t="shared" si="7"/>
        <v>产业集聚程度</v>
      </c>
      <c r="AA15" s="1804">
        <f t="shared" si="3"/>
        <v>1</v>
      </c>
      <c r="AB15" s="1804">
        <f t="shared" si="4"/>
        <v>1</v>
      </c>
      <c r="AC15" s="1804">
        <f t="shared" si="5"/>
        <v>1</v>
      </c>
    </row>
    <row r="16" spans="1:29" ht="15">
      <c r="A16" s="427"/>
      <c r="B16" s="629"/>
      <c r="C16" s="446"/>
      <c r="D16" s="447"/>
      <c r="E16" s="2600"/>
      <c r="F16" s="447"/>
      <c r="G16" s="2600"/>
      <c r="H16" s="449"/>
      <c r="I16" s="2600"/>
      <c r="J16" s="447"/>
      <c r="K16" s="671"/>
      <c r="L16" s="1133"/>
      <c r="M16" s="1124"/>
      <c r="N16" s="1124"/>
      <c r="O16" s="1132"/>
      <c r="P16" s="3254"/>
      <c r="Q16" s="1803"/>
      <c r="R16" s="773"/>
      <c r="S16" s="774"/>
      <c r="T16" s="773"/>
      <c r="U16" s="774"/>
      <c r="V16" s="773"/>
      <c r="W16" s="774"/>
      <c r="X16" s="1806"/>
      <c r="Y16" s="3254"/>
      <c r="Z16" s="1807"/>
      <c r="AA16" s="1804">
        <v>1</v>
      </c>
      <c r="AB16" s="1804">
        <v>1</v>
      </c>
      <c r="AC16" s="1804">
        <v>1</v>
      </c>
    </row>
    <row r="17" spans="1:29" ht="96.6">
      <c r="A17" s="427"/>
      <c r="B17" s="630" t="s">
        <v>2694</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631"/>
      <c r="C18" s="446"/>
      <c r="D18" s="447"/>
      <c r="E18" s="2594"/>
      <c r="F18" s="447"/>
      <c r="G18" s="2594"/>
      <c r="H18" s="447"/>
      <c r="I18" s="2593"/>
      <c r="J18" s="447"/>
      <c r="K18" s="671"/>
      <c r="L18" s="1133"/>
      <c r="M18" s="1124"/>
      <c r="N18" s="1124"/>
      <c r="O18" s="1132"/>
      <c r="P18" s="3254"/>
      <c r="Q18" s="1803"/>
      <c r="R18" s="773"/>
      <c r="S18" s="774"/>
      <c r="T18" s="773"/>
      <c r="U18" s="774"/>
      <c r="V18" s="773"/>
      <c r="W18" s="774"/>
      <c r="X18" s="1806"/>
      <c r="Y18" s="3254"/>
      <c r="Z18" s="1807"/>
      <c r="AA18" s="1804">
        <v>1</v>
      </c>
      <c r="AB18" s="1804">
        <v>1</v>
      </c>
      <c r="AC18" s="1804">
        <v>1</v>
      </c>
    </row>
    <row r="19" spans="1:29" ht="28.8">
      <c r="A19" s="427"/>
      <c r="B19" s="630" t="s">
        <v>2733</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54"/>
      <c r="Q19" s="1803" t="str">
        <f t="shared" ref="Q19:Q33" si="8">B19</f>
        <v>区域土地利用方向</v>
      </c>
      <c r="R19" s="773" t="s">
        <v>17</v>
      </c>
      <c r="S19" s="774">
        <f>F19</f>
        <v>100</v>
      </c>
      <c r="T19" s="773" t="s">
        <v>17</v>
      </c>
      <c r="U19" s="774">
        <f>H19</f>
        <v>100</v>
      </c>
      <c r="V19" s="773" t="s">
        <v>17</v>
      </c>
      <c r="W19" s="774">
        <f>J19</f>
        <v>100</v>
      </c>
      <c r="X19" s="1806"/>
      <c r="Y19" s="3254"/>
      <c r="Z19" s="1807" t="str">
        <f>Q19</f>
        <v>区域土地利用方向</v>
      </c>
      <c r="AA19" s="1804">
        <f t="shared" si="3"/>
        <v>1</v>
      </c>
      <c r="AB19" s="1804">
        <f t="shared" si="4"/>
        <v>1</v>
      </c>
      <c r="AC19" s="1804">
        <f t="shared" si="5"/>
        <v>1</v>
      </c>
    </row>
    <row r="20" spans="1:29" ht="15">
      <c r="A20" s="403"/>
      <c r="B20" s="631"/>
      <c r="C20" s="446"/>
      <c r="D20" s="447"/>
      <c r="E20" s="2594"/>
      <c r="F20" s="447"/>
      <c r="G20" s="2594"/>
      <c r="H20" s="447"/>
      <c r="I20" s="2594"/>
      <c r="J20" s="447"/>
      <c r="K20" s="805"/>
      <c r="L20" s="1133"/>
      <c r="M20" s="1124"/>
      <c r="N20" s="1124"/>
      <c r="O20" s="1132"/>
      <c r="P20" s="3254"/>
      <c r="Q20" s="1803"/>
      <c r="R20" s="773"/>
      <c r="S20" s="774"/>
      <c r="T20" s="773"/>
      <c r="U20" s="774"/>
      <c r="V20" s="773"/>
      <c r="W20" s="774"/>
      <c r="X20" s="1806"/>
      <c r="Y20" s="3254"/>
      <c r="Z20" s="1807"/>
      <c r="AA20" s="1804"/>
      <c r="AB20" s="1804"/>
      <c r="AC20" s="1804"/>
    </row>
    <row r="21" spans="1:29" ht="82.8">
      <c r="A21" s="403"/>
      <c r="B21" s="630" t="s">
        <v>2784</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54"/>
      <c r="Q21" s="1803" t="str">
        <f t="shared" si="8"/>
        <v>环境状况</v>
      </c>
      <c r="R21" s="773" t="s">
        <v>17</v>
      </c>
      <c r="S21" s="774">
        <f>F21</f>
        <v>100</v>
      </c>
      <c r="T21" s="773" t="s">
        <v>17</v>
      </c>
      <c r="U21" s="774">
        <f>H21</f>
        <v>100</v>
      </c>
      <c r="V21" s="773" t="s">
        <v>17</v>
      </c>
      <c r="W21" s="774">
        <f>J21</f>
        <v>100</v>
      </c>
      <c r="X21" s="1806"/>
      <c r="Y21" s="3254"/>
      <c r="Z21" s="1807" t="str">
        <f>Q21</f>
        <v>环境状况</v>
      </c>
      <c r="AA21" s="1804">
        <f t="shared" si="3"/>
        <v>1</v>
      </c>
      <c r="AB21" s="1804">
        <f t="shared" si="4"/>
        <v>1</v>
      </c>
      <c r="AC21" s="1804">
        <f t="shared" si="5"/>
        <v>1</v>
      </c>
    </row>
    <row r="22" spans="1:29" ht="15">
      <c r="A22" s="403"/>
      <c r="B22" s="631"/>
      <c r="C22" s="446"/>
      <c r="D22" s="447"/>
      <c r="E22" s="2600"/>
      <c r="F22" s="447"/>
      <c r="G22" s="2600"/>
      <c r="H22" s="447"/>
      <c r="I22" s="446"/>
      <c r="J22" s="447"/>
      <c r="K22" s="671"/>
      <c r="L22" s="1133"/>
      <c r="M22" s="1124"/>
      <c r="N22" s="1124"/>
      <c r="O22" s="1132"/>
      <c r="P22" s="3254"/>
      <c r="Q22" s="1803"/>
      <c r="R22" s="773"/>
      <c r="S22" s="774"/>
      <c r="T22" s="773"/>
      <c r="U22" s="774"/>
      <c r="V22" s="773"/>
      <c r="W22" s="774"/>
      <c r="X22" s="1806"/>
      <c r="Y22" s="3254"/>
      <c r="Z22" s="1807"/>
      <c r="AA22" s="1804">
        <v>1</v>
      </c>
      <c r="AB22" s="1804">
        <v>1</v>
      </c>
      <c r="AC22" s="1804">
        <v>1</v>
      </c>
    </row>
    <row r="23" spans="1:29" s="116" customFormat="1" ht="41.4">
      <c r="A23" s="648"/>
      <c r="B23" s="632" t="s">
        <v>2639</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54"/>
      <c r="Q23" s="1788" t="str">
        <f t="shared" si="8"/>
        <v>公共配套设施</v>
      </c>
      <c r="R23" s="769" t="s">
        <v>17</v>
      </c>
      <c r="S23" s="770">
        <f>F23</f>
        <v>100</v>
      </c>
      <c r="T23" s="769" t="s">
        <v>17</v>
      </c>
      <c r="U23" s="770">
        <f>H23</f>
        <v>100</v>
      </c>
      <c r="V23" s="769" t="s">
        <v>17</v>
      </c>
      <c r="W23" s="770">
        <f>J23</f>
        <v>100</v>
      </c>
      <c r="X23" s="771"/>
      <c r="Y23" s="3254"/>
      <c r="Z23" s="55" t="str">
        <f>Q23</f>
        <v>公共配套设施</v>
      </c>
      <c r="AA23" s="1804">
        <f>D23/F23</f>
        <v>1</v>
      </c>
      <c r="AB23" s="1804">
        <f>D23/H23</f>
        <v>1</v>
      </c>
      <c r="AC23" s="1804">
        <f>D23/J23</f>
        <v>1</v>
      </c>
    </row>
    <row r="24" spans="1:29" s="116" customFormat="1" ht="15">
      <c r="A24" s="648"/>
      <c r="B24" s="631"/>
      <c r="C24" s="2688"/>
      <c r="D24" s="447"/>
      <c r="E24" s="2600"/>
      <c r="F24" s="447"/>
      <c r="G24" s="2600"/>
      <c r="H24" s="447"/>
      <c r="I24" s="446"/>
      <c r="J24" s="447"/>
      <c r="K24" s="671"/>
      <c r="L24" s="1125"/>
      <c r="M24" s="1126"/>
      <c r="N24" s="1126"/>
      <c r="O24" s="1127"/>
      <c r="P24" s="3254"/>
      <c r="Q24" s="1788"/>
      <c r="R24" s="769"/>
      <c r="S24" s="770"/>
      <c r="T24" s="769"/>
      <c r="U24" s="770"/>
      <c r="V24" s="769"/>
      <c r="W24" s="770"/>
      <c r="X24" s="771"/>
      <c r="Y24" s="3254"/>
      <c r="Z24" s="55"/>
      <c r="AA24" s="772">
        <v>1</v>
      </c>
      <c r="AB24" s="772">
        <v>1</v>
      </c>
      <c r="AC24" s="772">
        <v>1</v>
      </c>
    </row>
    <row r="25" spans="1:29" s="116" customFormat="1" ht="41.4">
      <c r="A25" s="648"/>
      <c r="B25" s="632" t="s">
        <v>2640</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54"/>
      <c r="Q25" s="1788" t="str">
        <f t="shared" ref="Q25" si="9">B25</f>
        <v>基础设施水平</v>
      </c>
      <c r="R25" s="769" t="s">
        <v>17</v>
      </c>
      <c r="S25" s="770">
        <f>F25</f>
        <v>100</v>
      </c>
      <c r="T25" s="769" t="s">
        <v>17</v>
      </c>
      <c r="U25" s="770">
        <f>H25</f>
        <v>100</v>
      </c>
      <c r="V25" s="769" t="s">
        <v>17</v>
      </c>
      <c r="W25" s="770">
        <f>J25</f>
        <v>100</v>
      </c>
      <c r="X25" s="771"/>
      <c r="Y25" s="3254"/>
      <c r="Z25" s="55" t="str">
        <f>Q25</f>
        <v>基础设施水平</v>
      </c>
      <c r="AA25" s="1804">
        <f>D25/F25</f>
        <v>1</v>
      </c>
      <c r="AB25" s="1804">
        <f>D25/H25</f>
        <v>1</v>
      </c>
      <c r="AC25" s="1804">
        <f>D25/J25</f>
        <v>1</v>
      </c>
    </row>
    <row r="26" spans="1:29" s="116" customFormat="1" ht="15">
      <c r="A26" s="648"/>
      <c r="B26" s="631"/>
      <c r="C26" s="2688"/>
      <c r="D26" s="447"/>
      <c r="E26" s="2689"/>
      <c r="F26" s="447"/>
      <c r="G26" s="2689"/>
      <c r="H26" s="447"/>
      <c r="I26" s="2689"/>
      <c r="J26" s="447"/>
      <c r="K26" s="671"/>
      <c r="L26" s="1125"/>
      <c r="M26" s="1126"/>
      <c r="N26" s="1126"/>
      <c r="O26" s="1127"/>
      <c r="P26" s="3254"/>
      <c r="Q26" s="1788"/>
      <c r="R26" s="769"/>
      <c r="S26" s="770"/>
      <c r="T26" s="769"/>
      <c r="U26" s="770"/>
      <c r="V26" s="769"/>
      <c r="W26" s="770"/>
      <c r="X26" s="771"/>
      <c r="Y26" s="3254"/>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54"/>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54"/>
      <c r="Z27" s="1807" t="str">
        <f t="shared" ref="Z27:Z40" si="13">Q27</f>
        <v>临街状况</v>
      </c>
      <c r="AA27" s="1804">
        <f t="shared" si="3"/>
        <v>1</v>
      </c>
      <c r="AB27" s="1804">
        <f t="shared" si="4"/>
        <v>1</v>
      </c>
      <c r="AC27" s="1804">
        <f t="shared" si="5"/>
        <v>1</v>
      </c>
    </row>
    <row r="28" spans="1:29" ht="28.8">
      <c r="A28" s="427"/>
      <c r="B28" s="632" t="s">
        <v>2676</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54"/>
      <c r="Q28" s="1803" t="str">
        <f t="shared" si="8"/>
        <v>毗邻道路的类型与等级</v>
      </c>
      <c r="R28" s="773" t="s">
        <v>17</v>
      </c>
      <c r="S28" s="774">
        <f t="shared" si="10"/>
        <v>100</v>
      </c>
      <c r="T28" s="773" t="s">
        <v>17</v>
      </c>
      <c r="U28" s="774">
        <f t="shared" si="11"/>
        <v>100</v>
      </c>
      <c r="V28" s="773" t="s">
        <v>17</v>
      </c>
      <c r="W28" s="774">
        <f t="shared" si="12"/>
        <v>100</v>
      </c>
      <c r="X28" s="1806"/>
      <c r="Y28" s="3254"/>
      <c r="Z28" s="1807" t="str">
        <f t="shared" si="13"/>
        <v>毗邻道路的类型与等级</v>
      </c>
      <c r="AA28" s="1804">
        <f t="shared" si="3"/>
        <v>1</v>
      </c>
      <c r="AB28" s="1804">
        <f t="shared" si="4"/>
        <v>1</v>
      </c>
      <c r="AC28" s="1804">
        <f t="shared" si="5"/>
        <v>1</v>
      </c>
    </row>
    <row r="29" spans="1:29" ht="15">
      <c r="A29" s="427"/>
      <c r="B29" s="631"/>
      <c r="C29" s="446"/>
      <c r="D29" s="447"/>
      <c r="E29" s="2600"/>
      <c r="F29" s="447"/>
      <c r="G29" s="2600"/>
      <c r="H29" s="447"/>
      <c r="I29" s="2600"/>
      <c r="J29" s="447"/>
      <c r="K29" s="612"/>
      <c r="L29" s="1133"/>
      <c r="M29" s="1124"/>
      <c r="N29" s="1124"/>
      <c r="O29" s="1132"/>
      <c r="P29" s="3254"/>
      <c r="Q29" s="1803"/>
      <c r="R29" s="773"/>
      <c r="S29" s="774"/>
      <c r="T29" s="773"/>
      <c r="U29" s="774"/>
      <c r="V29" s="773"/>
      <c r="W29" s="774"/>
      <c r="X29" s="1806"/>
      <c r="Y29" s="3254"/>
      <c r="Z29" s="1807"/>
      <c r="AA29" s="1804">
        <v>1</v>
      </c>
      <c r="AB29" s="1804">
        <v>1</v>
      </c>
      <c r="AC29" s="1804">
        <v>1</v>
      </c>
    </row>
    <row r="30" spans="1:29" ht="15">
      <c r="A30" s="427"/>
      <c r="B30" s="653" t="s">
        <v>2735</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54"/>
      <c r="Q30" s="1803" t="str">
        <f t="shared" si="8"/>
        <v>土地级别</v>
      </c>
      <c r="R30" s="773" t="s">
        <v>17</v>
      </c>
      <c r="S30" s="774">
        <f t="shared" si="10"/>
        <v>100</v>
      </c>
      <c r="T30" s="773" t="s">
        <v>17</v>
      </c>
      <c r="U30" s="774">
        <f t="shared" si="11"/>
        <v>100</v>
      </c>
      <c r="V30" s="773" t="s">
        <v>17</v>
      </c>
      <c r="W30" s="774">
        <f t="shared" si="12"/>
        <v>100</v>
      </c>
      <c r="X30" s="1806"/>
      <c r="Y30" s="3254"/>
      <c r="Z30" s="1807" t="str">
        <f t="shared" si="13"/>
        <v>土地级别</v>
      </c>
      <c r="AA30" s="1804">
        <f t="shared" si="3"/>
        <v>1</v>
      </c>
      <c r="AB30" s="1804">
        <f t="shared" si="4"/>
        <v>1</v>
      </c>
      <c r="AC30" s="1804">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54"/>
      <c r="Q31" s="1803">
        <f t="shared" si="8"/>
        <v>111</v>
      </c>
      <c r="R31" s="773" t="s">
        <v>17</v>
      </c>
      <c r="S31" s="774">
        <f t="shared" si="10"/>
        <v>100</v>
      </c>
      <c r="T31" s="773" t="s">
        <v>17</v>
      </c>
      <c r="U31" s="774">
        <f t="shared" si="11"/>
        <v>100</v>
      </c>
      <c r="V31" s="773" t="s">
        <v>17</v>
      </c>
      <c r="W31" s="774">
        <f t="shared" si="12"/>
        <v>100</v>
      </c>
      <c r="X31" s="1806"/>
      <c r="Y31" s="3254"/>
      <c r="Z31" s="1807">
        <f t="shared" si="13"/>
        <v>111</v>
      </c>
      <c r="AA31" s="1804">
        <f t="shared" si="3"/>
        <v>1</v>
      </c>
      <c r="AB31" s="1804">
        <f t="shared" si="4"/>
        <v>1</v>
      </c>
      <c r="AC31" s="1804">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82" t="s">
        <v>2550</v>
      </c>
      <c r="Q32" s="1803">
        <f t="shared" si="8"/>
        <v>111</v>
      </c>
      <c r="R32" s="773" t="s">
        <v>17</v>
      </c>
      <c r="S32" s="774">
        <f t="shared" si="10"/>
        <v>100</v>
      </c>
      <c r="T32" s="773" t="s">
        <v>17</v>
      </c>
      <c r="U32" s="774">
        <f t="shared" si="11"/>
        <v>100</v>
      </c>
      <c r="V32" s="773" t="s">
        <v>17</v>
      </c>
      <c r="W32" s="774">
        <f t="shared" si="12"/>
        <v>100</v>
      </c>
      <c r="X32" s="1806"/>
      <c r="Y32" s="3258" t="s">
        <v>2550</v>
      </c>
      <c r="Z32" s="1807">
        <f t="shared" si="13"/>
        <v>111</v>
      </c>
      <c r="AA32" s="1804">
        <f t="shared" si="3"/>
        <v>1</v>
      </c>
      <c r="AB32" s="1804">
        <f t="shared" si="4"/>
        <v>1</v>
      </c>
      <c r="AC32" s="1804">
        <f t="shared" si="5"/>
        <v>1</v>
      </c>
    </row>
    <row r="33" spans="1:29" s="470" customFormat="1" ht="15.6"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58"/>
      <c r="Q33" s="1803">
        <f t="shared" si="8"/>
        <v>111</v>
      </c>
      <c r="R33" s="776" t="s">
        <v>17</v>
      </c>
      <c r="S33" s="777">
        <f t="shared" si="10"/>
        <v>100</v>
      </c>
      <c r="T33" s="776" t="s">
        <v>17</v>
      </c>
      <c r="U33" s="777">
        <f t="shared" si="11"/>
        <v>100</v>
      </c>
      <c r="V33" s="776" t="s">
        <v>17</v>
      </c>
      <c r="W33" s="777">
        <f t="shared" si="12"/>
        <v>100</v>
      </c>
      <c r="X33" s="778"/>
      <c r="Y33" s="3258"/>
      <c r="Z33" s="779">
        <f t="shared" si="13"/>
        <v>111</v>
      </c>
      <c r="AA33" s="1804">
        <f t="shared" si="3"/>
        <v>1</v>
      </c>
      <c r="AB33" s="1804">
        <f t="shared" si="4"/>
        <v>1</v>
      </c>
      <c r="AC33" s="1804">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58"/>
      <c r="Q34" s="1803" t="str">
        <f>B34</f>
        <v>宗地面积</v>
      </c>
      <c r="R34" s="773" t="s">
        <v>17</v>
      </c>
      <c r="S34" s="774" t="e">
        <f t="shared" si="10"/>
        <v>#N/A</v>
      </c>
      <c r="T34" s="773" t="s">
        <v>17</v>
      </c>
      <c r="U34" s="774" t="e">
        <f t="shared" si="11"/>
        <v>#N/A</v>
      </c>
      <c r="V34" s="773" t="s">
        <v>17</v>
      </c>
      <c r="W34" s="774" t="e">
        <f t="shared" si="12"/>
        <v>#N/A</v>
      </c>
      <c r="X34" s="1806"/>
      <c r="Y34" s="3258"/>
      <c r="Z34" s="1807" t="str">
        <f t="shared" si="13"/>
        <v>宗地面积</v>
      </c>
      <c r="AA34" s="1804" t="e">
        <f t="shared" si="3"/>
        <v>#N/A</v>
      </c>
      <c r="AB34" s="1804" t="e">
        <f t="shared" si="4"/>
        <v>#N/A</v>
      </c>
      <c r="AC34" s="1804" t="e">
        <f t="shared" si="5"/>
        <v>#N/A</v>
      </c>
    </row>
    <row r="35" spans="1:29" ht="15">
      <c r="A35" s="471"/>
      <c r="B35" s="421" t="s">
        <v>2737</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258"/>
      <c r="Q35" s="1803" t="str">
        <f t="shared" ref="Q35:Q40" si="14">B35</f>
        <v>宗地形状</v>
      </c>
      <c r="R35" s="773" t="s">
        <v>17</v>
      </c>
      <c r="S35" s="774">
        <f t="shared" si="10"/>
        <v>100</v>
      </c>
      <c r="T35" s="773" t="s">
        <v>17</v>
      </c>
      <c r="U35" s="774">
        <f t="shared" si="11"/>
        <v>100</v>
      </c>
      <c r="V35" s="773" t="s">
        <v>17</v>
      </c>
      <c r="W35" s="774">
        <f t="shared" si="12"/>
        <v>100</v>
      </c>
      <c r="X35" s="1806"/>
      <c r="Y35" s="3258"/>
      <c r="Z35" s="1807" t="str">
        <f t="shared" si="13"/>
        <v>宗地形状</v>
      </c>
      <c r="AA35" s="1804">
        <f t="shared" si="3"/>
        <v>1</v>
      </c>
      <c r="AB35" s="1804">
        <f t="shared" si="4"/>
        <v>1</v>
      </c>
      <c r="AC35" s="1804">
        <f t="shared" si="5"/>
        <v>1</v>
      </c>
    </row>
    <row r="36" spans="1:29" s="116" customFormat="1" ht="15">
      <c r="A36" s="472"/>
      <c r="B36" s="421" t="s">
        <v>2739</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258"/>
      <c r="Q36" s="1803"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2740</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258" t="s">
        <v>2550</v>
      </c>
      <c r="Q37" s="1803" t="str">
        <f t="shared" si="14"/>
        <v>工程地质条件</v>
      </c>
      <c r="R37" s="773" t="s">
        <v>17</v>
      </c>
      <c r="S37" s="774">
        <f t="shared" si="10"/>
        <v>100</v>
      </c>
      <c r="T37" s="773" t="s">
        <v>17</v>
      </c>
      <c r="U37" s="774">
        <f t="shared" si="11"/>
        <v>100</v>
      </c>
      <c r="V37" s="773" t="s">
        <v>17</v>
      </c>
      <c r="W37" s="774">
        <f t="shared" si="12"/>
        <v>100</v>
      </c>
      <c r="X37" s="1806"/>
      <c r="Y37" s="3258" t="s">
        <v>2550</v>
      </c>
      <c r="Z37" s="1807" t="str">
        <f t="shared" si="13"/>
        <v>工程地质条件</v>
      </c>
      <c r="AA37" s="1804">
        <f t="shared" si="3"/>
        <v>1</v>
      </c>
      <c r="AB37" s="1804">
        <f t="shared" si="4"/>
        <v>1</v>
      </c>
      <c r="AC37" s="1804">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58"/>
      <c r="Q38" s="1803">
        <f t="shared" si="14"/>
        <v>111</v>
      </c>
      <c r="R38" s="773" t="s">
        <v>17</v>
      </c>
      <c r="S38" s="774">
        <f t="shared" si="10"/>
        <v>100</v>
      </c>
      <c r="T38" s="773" t="s">
        <v>17</v>
      </c>
      <c r="U38" s="774">
        <f t="shared" si="11"/>
        <v>100</v>
      </c>
      <c r="V38" s="773" t="s">
        <v>17</v>
      </c>
      <c r="W38" s="774">
        <f t="shared" si="12"/>
        <v>100</v>
      </c>
      <c r="X38" s="1806"/>
      <c r="Y38" s="3258"/>
      <c r="Z38" s="1807">
        <f t="shared" si="13"/>
        <v>111</v>
      </c>
      <c r="AA38" s="1804">
        <f t="shared" si="3"/>
        <v>1</v>
      </c>
      <c r="AB38" s="1804">
        <f t="shared" si="4"/>
        <v>1</v>
      </c>
      <c r="AC38" s="1804">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58"/>
      <c r="Q39" s="1803">
        <f t="shared" si="14"/>
        <v>111</v>
      </c>
      <c r="R39" s="773" t="s">
        <v>17</v>
      </c>
      <c r="S39" s="774">
        <f t="shared" si="10"/>
        <v>100</v>
      </c>
      <c r="T39" s="773" t="s">
        <v>17</v>
      </c>
      <c r="U39" s="774">
        <f t="shared" si="11"/>
        <v>100</v>
      </c>
      <c r="V39" s="773" t="s">
        <v>17</v>
      </c>
      <c r="W39" s="774">
        <f t="shared" si="12"/>
        <v>100</v>
      </c>
      <c r="X39" s="1806"/>
      <c r="Y39" s="3258"/>
      <c r="Z39" s="1807">
        <f t="shared" si="13"/>
        <v>111</v>
      </c>
      <c r="AA39" s="1804">
        <f t="shared" si="3"/>
        <v>1</v>
      </c>
      <c r="AB39" s="1804">
        <f t="shared" si="4"/>
        <v>1</v>
      </c>
      <c r="AC39" s="1804">
        <f t="shared" si="5"/>
        <v>1</v>
      </c>
    </row>
    <row r="40" spans="1:29" s="470" customFormat="1" ht="15.6" thickBot="1">
      <c r="A40" s="467"/>
      <c r="B40" s="1380">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58"/>
      <c r="Q40" s="1803">
        <f t="shared" si="14"/>
        <v>111</v>
      </c>
      <c r="R40" s="776" t="s">
        <v>17</v>
      </c>
      <c r="S40" s="777">
        <f t="shared" si="10"/>
        <v>100</v>
      </c>
      <c r="T40" s="776" t="s">
        <v>17</v>
      </c>
      <c r="U40" s="777">
        <f t="shared" si="11"/>
        <v>100</v>
      </c>
      <c r="V40" s="776" t="s">
        <v>17</v>
      </c>
      <c r="W40" s="777">
        <f t="shared" si="12"/>
        <v>100</v>
      </c>
      <c r="X40" s="778"/>
      <c r="Y40" s="3258"/>
      <c r="Z40" s="779">
        <f t="shared" si="13"/>
        <v>111</v>
      </c>
      <c r="AA40" s="1804">
        <f t="shared" si="3"/>
        <v>1</v>
      </c>
      <c r="AB40" s="1804">
        <f t="shared" si="4"/>
        <v>1</v>
      </c>
      <c r="AC40" s="1804">
        <f t="shared" si="5"/>
        <v>1</v>
      </c>
    </row>
    <row r="41" spans="1:29" ht="14.4">
      <c r="A41" s="478" t="s">
        <v>2705</v>
      </c>
      <c r="B41" s="2692" t="s">
        <v>2785</v>
      </c>
      <c r="C41" s="681" t="s">
        <v>1</v>
      </c>
      <c r="D41" s="480"/>
      <c r="E41" s="481"/>
      <c r="F41" s="482"/>
      <c r="G41" s="483"/>
      <c r="H41" s="484"/>
      <c r="I41" s="481"/>
      <c r="J41" s="484"/>
      <c r="K41" s="782"/>
      <c r="L41" s="1136"/>
      <c r="M41" s="1124"/>
      <c r="N41" s="1124"/>
      <c r="O41" s="1137"/>
      <c r="P41" s="3260" t="str">
        <f>A41</f>
        <v>成交单价</v>
      </c>
      <c r="Q41" s="3260"/>
      <c r="R41" s="3246">
        <f>E41</f>
        <v>0</v>
      </c>
      <c r="S41" s="3246"/>
      <c r="T41" s="3246">
        <f>G41</f>
        <v>0</v>
      </c>
      <c r="U41" s="3246"/>
      <c r="V41" s="3246">
        <f>I41</f>
        <v>0</v>
      </c>
      <c r="W41" s="3246"/>
      <c r="X41" s="758"/>
      <c r="Y41" s="780"/>
      <c r="Z41" s="758"/>
      <c r="AA41" s="758"/>
      <c r="AB41" s="758"/>
      <c r="AC41" s="758"/>
    </row>
    <row r="42" spans="1:29" ht="15" thickBot="1">
      <c r="A42" s="485" t="s">
        <v>2654</v>
      </c>
      <c r="B42" s="682"/>
      <c r="C42" s="489" t="e">
        <f>R43</f>
        <v>#DIV/0!</v>
      </c>
      <c r="D42" s="488"/>
      <c r="E42" s="489" t="e">
        <f>R42</f>
        <v>#DIV/0!</v>
      </c>
      <c r="F42" s="490"/>
      <c r="G42" s="487" t="e">
        <f>T42</f>
        <v>#DIV/0!</v>
      </c>
      <c r="H42" s="488"/>
      <c r="I42" s="489" t="e">
        <f>V42</f>
        <v>#DIV/0!</v>
      </c>
      <c r="J42" s="488"/>
      <c r="K42" s="783"/>
      <c r="L42" s="1136"/>
      <c r="M42" s="1124"/>
      <c r="N42" s="1124"/>
      <c r="O42" s="1137"/>
      <c r="P42" s="3260" t="str">
        <f>A42</f>
        <v>比较价值（元/平方米）</v>
      </c>
      <c r="Q42" s="3260"/>
      <c r="R42" s="3283" t="e">
        <f>ROUND(PRODUCT(R41,AA7:AA40),0)</f>
        <v>#DIV/0!</v>
      </c>
      <c r="S42" s="3283"/>
      <c r="T42" s="3283" t="e">
        <f>ROUND(PRODUCT(T41,AB7:AB40),0)</f>
        <v>#DIV/0!</v>
      </c>
      <c r="U42" s="3283"/>
      <c r="V42" s="3283" t="e">
        <f>ROUND(PRODUCT(V41,AC7:AC40),0)</f>
        <v>#DIV/0!</v>
      </c>
      <c r="W42" s="3283"/>
      <c r="X42" s="758"/>
      <c r="Y42" s="758"/>
      <c r="Z42" s="758"/>
      <c r="AA42" s="758"/>
      <c r="AB42" s="758"/>
      <c r="AC42" s="758"/>
    </row>
    <row r="43" spans="1:29" ht="15" thickBot="1">
      <c r="A43" s="491" t="s">
        <v>2655</v>
      </c>
      <c r="B43" s="492"/>
      <c r="C43" s="493" t="e">
        <f>R43</f>
        <v>#DIV/0!</v>
      </c>
      <c r="D43" s="493"/>
      <c r="E43" s="493"/>
      <c r="F43" s="493"/>
      <c r="G43" s="493"/>
      <c r="H43" s="493"/>
      <c r="I43" s="493"/>
      <c r="J43" s="493"/>
      <c r="K43" s="784"/>
      <c r="L43" s="1136"/>
      <c r="M43" s="1124"/>
      <c r="N43" s="1124"/>
      <c r="O43" s="1137"/>
      <c r="P43" s="3262" t="str">
        <f>A43</f>
        <v>估价对象XX用房的比较价值（楼面单价，元/平方米）</v>
      </c>
      <c r="Q43" s="3263"/>
      <c r="R43" s="3284" t="e">
        <f>ROUND(AVERAGE(R42:V42),0)</f>
        <v>#DIV/0!</v>
      </c>
      <c r="S43" s="3284"/>
      <c r="T43" s="3284"/>
      <c r="U43" s="3284"/>
      <c r="V43" s="3284"/>
      <c r="W43" s="3284"/>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93" t="s">
        <v>2745</v>
      </c>
      <c r="D50" s="2694" t="s">
        <v>2746</v>
      </c>
      <c r="E50" s="685" t="s">
        <v>2747</v>
      </c>
      <c r="F50" s="686" t="s">
        <v>2748</v>
      </c>
      <c r="G50" s="3222" t="s">
        <v>2749</v>
      </c>
      <c r="H50" s="3285"/>
      <c r="I50" s="1807" t="s">
        <v>2786</v>
      </c>
      <c r="J50" s="1807" t="str">
        <f>项目基本情况!F35</f>
        <v>浙江省</v>
      </c>
      <c r="K50" s="2696" t="s">
        <v>2751</v>
      </c>
      <c r="L50" s="1099"/>
      <c r="M50" s="1137"/>
      <c r="N50" s="1137"/>
      <c r="O50" s="1137"/>
    </row>
    <row r="51" spans="1:17" s="691" customFormat="1">
      <c r="A51" s="687" t="s">
        <v>2752</v>
      </c>
      <c r="B51" s="688" t="e">
        <f>C43</f>
        <v>#DIV/0!</v>
      </c>
      <c r="C51" s="689">
        <v>1</v>
      </c>
      <c r="D51" s="1156">
        <v>1</v>
      </c>
      <c r="E51" s="689">
        <f>'数据-汇总表'!E8+'数据-汇总表'!E9</f>
        <v>21278.6</v>
      </c>
      <c r="F51" s="690" t="e">
        <f t="shared" ref="F51:F60" si="15">ROUND(B51*E51/10000,0)</f>
        <v>#DIV/0!</v>
      </c>
      <c r="G51" s="3250"/>
      <c r="H51" s="3260"/>
      <c r="I51" s="935">
        <v>1</v>
      </c>
      <c r="J51" s="935">
        <v>1</v>
      </c>
      <c r="K51" s="1138"/>
      <c r="L51" s="934"/>
      <c r="M51" s="934"/>
      <c r="N51" s="934"/>
      <c r="O51" s="934"/>
    </row>
    <row r="52" spans="1:17" s="691" customFormat="1">
      <c r="A52" s="692" t="s">
        <v>2753</v>
      </c>
      <c r="B52" s="261" t="e">
        <f>ROUND($C$43*C52*D52,0)</f>
        <v>#DIV/0!</v>
      </c>
      <c r="C52" s="199">
        <f t="shared" ref="C52:C60" si="16">IF($C$50="北京市系数",I52,J52)</f>
        <v>0</v>
      </c>
      <c r="D52" s="1157">
        <v>0.25</v>
      </c>
      <c r="E52" s="693"/>
      <c r="F52" s="690" t="e">
        <f t="shared" si="15"/>
        <v>#DIV/0!</v>
      </c>
      <c r="G52" s="3286" t="s">
        <v>2754</v>
      </c>
      <c r="H52" s="1097">
        <f>项目基本情况!B37</f>
        <v>0</v>
      </c>
      <c r="I52" s="935">
        <f>SUMIF(修正!A45:A56,H52,修正!B45:B56)</f>
        <v>0</v>
      </c>
      <c r="J52" s="936"/>
      <c r="K52" s="1137"/>
      <c r="L52" s="934"/>
      <c r="M52" s="934"/>
      <c r="N52" s="934"/>
      <c r="O52" s="934"/>
    </row>
    <row r="53" spans="1:17" s="691" customFormat="1">
      <c r="A53" s="692" t="s">
        <v>2755</v>
      </c>
      <c r="B53" s="261" t="e">
        <f t="shared" ref="B53:B60" si="17">ROUND($C$43*C53*D53,0)</f>
        <v>#DIV/0!</v>
      </c>
      <c r="C53" s="199">
        <f t="shared" si="16"/>
        <v>0</v>
      </c>
      <c r="D53" s="1157">
        <v>0.25</v>
      </c>
      <c r="E53" s="693"/>
      <c r="F53" s="690" t="e">
        <f t="shared" si="15"/>
        <v>#DIV/0!</v>
      </c>
      <c r="G53" s="3286"/>
      <c r="H53" s="1097">
        <f>项目基本情况!B37</f>
        <v>0</v>
      </c>
      <c r="I53" s="935">
        <f>SUMIF(修正!A45:A56,H53,修正!C45:C56)</f>
        <v>0</v>
      </c>
      <c r="J53" s="936"/>
      <c r="K53" s="1138"/>
      <c r="L53" s="934"/>
      <c r="M53" s="934"/>
      <c r="N53" s="934"/>
      <c r="O53" s="934"/>
    </row>
    <row r="54" spans="1:17" s="691" customFormat="1">
      <c r="A54" s="692" t="s">
        <v>2756</v>
      </c>
      <c r="B54" s="261" t="e">
        <f t="shared" si="17"/>
        <v>#DIV/0!</v>
      </c>
      <c r="C54" s="199">
        <f t="shared" si="16"/>
        <v>0</v>
      </c>
      <c r="D54" s="1157">
        <v>0.25</v>
      </c>
      <c r="E54" s="693"/>
      <c r="F54" s="690" t="e">
        <f t="shared" si="15"/>
        <v>#DIV/0!</v>
      </c>
      <c r="G54" s="3286"/>
      <c r="H54" s="1097">
        <f>项目基本情况!B37</f>
        <v>0</v>
      </c>
      <c r="I54" s="935">
        <f>SUMIF(修正!A45:A56,H54,修正!D45:D56)</f>
        <v>0</v>
      </c>
      <c r="J54" s="936"/>
      <c r="K54" s="1137"/>
      <c r="L54" s="934"/>
      <c r="M54" s="934"/>
      <c r="N54" s="934"/>
      <c r="O54" s="934"/>
    </row>
    <row r="55" spans="1:17" s="691" customFormat="1">
      <c r="A55" s="692" t="s">
        <v>2757</v>
      </c>
      <c r="B55" s="261" t="e">
        <f t="shared" si="17"/>
        <v>#DIV/0!</v>
      </c>
      <c r="C55" s="199">
        <f t="shared" si="16"/>
        <v>0</v>
      </c>
      <c r="D55" s="1157">
        <v>0.25</v>
      </c>
      <c r="E55" s="693"/>
      <c r="F55" s="690" t="e">
        <f t="shared" si="15"/>
        <v>#DIV/0!</v>
      </c>
      <c r="G55" s="3286"/>
      <c r="H55" s="1097">
        <f>项目基本情况!B37</f>
        <v>0</v>
      </c>
      <c r="I55" s="935">
        <f>SUMIF(修正!A45:A56,H55,修正!E45:E56)</f>
        <v>0</v>
      </c>
      <c r="J55" s="936"/>
      <c r="K55" s="1138"/>
      <c r="L55" s="934"/>
      <c r="M55" s="934"/>
      <c r="N55" s="934"/>
      <c r="O55" s="934"/>
    </row>
    <row r="56" spans="1:17" s="691" customFormat="1">
      <c r="A56" s="692" t="s">
        <v>2758</v>
      </c>
      <c r="B56" s="261" t="e">
        <f t="shared" si="17"/>
        <v>#DIV/0!</v>
      </c>
      <c r="C56" s="199">
        <f t="shared" si="16"/>
        <v>0</v>
      </c>
      <c r="D56" s="1157">
        <v>0.25</v>
      </c>
      <c r="E56" s="260">
        <f>'数据-汇总表'!E11</f>
        <v>0</v>
      </c>
      <c r="F56" s="690" t="e">
        <f t="shared" si="15"/>
        <v>#DIV/0!</v>
      </c>
      <c r="G56" s="2697" t="s">
        <v>2759</v>
      </c>
      <c r="H56" s="1097">
        <f>项目基本情况!C37</f>
        <v>0</v>
      </c>
      <c r="I56" s="935">
        <f>SUMIF(修正!A45:A56,H56,修正!F45:F56)</f>
        <v>0</v>
      </c>
      <c r="J56" s="936"/>
      <c r="K56" s="1137"/>
      <c r="L56" s="934"/>
      <c r="M56" s="934"/>
      <c r="N56" s="934"/>
      <c r="O56" s="934"/>
    </row>
    <row r="57" spans="1:17" s="691" customFormat="1">
      <c r="A57" s="692" t="s">
        <v>2760</v>
      </c>
      <c r="B57" s="261" t="e">
        <f t="shared" si="17"/>
        <v>#DIV/0!</v>
      </c>
      <c r="C57" s="199">
        <f t="shared" si="16"/>
        <v>0</v>
      </c>
      <c r="D57" s="1157">
        <v>0.25</v>
      </c>
      <c r="E57" s="260">
        <f>'数据-汇总表'!E12</f>
        <v>0</v>
      </c>
      <c r="F57" s="690" t="e">
        <f t="shared" si="15"/>
        <v>#DIV/0!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t="e">
        <f t="shared" si="17"/>
        <v>#DIV/0!</v>
      </c>
      <c r="C58" s="199">
        <f t="shared" si="16"/>
        <v>0</v>
      </c>
      <c r="D58" s="1157">
        <v>0.25</v>
      </c>
      <c r="E58" s="260">
        <f>'数据-汇总表'!E13</f>
        <v>0</v>
      </c>
      <c r="F58" s="690" t="e">
        <f t="shared" si="15"/>
        <v>#DIV/0!</v>
      </c>
      <c r="G58" s="1102" t="s">
        <v>2763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1" customFormat="1">
      <c r="A59" s="692" t="s">
        <v>2764</v>
      </c>
      <c r="B59" s="261" t="e">
        <f t="shared" si="17"/>
        <v>#DIV/0!</v>
      </c>
      <c r="C59" s="199">
        <f t="shared" si="16"/>
        <v>0</v>
      </c>
      <c r="D59" s="1157">
        <v>0.25</v>
      </c>
      <c r="E59" s="260">
        <f>'数据-汇总表'!E14</f>
        <v>0</v>
      </c>
      <c r="F59" s="690" t="e">
        <f t="shared" si="15"/>
        <v>#DIV/0!</v>
      </c>
      <c r="G59" s="2697" t="s">
        <v>2754</v>
      </c>
      <c r="H59" s="1097">
        <f>项目基本情况!B37</f>
        <v>0</v>
      </c>
      <c r="I59" s="935">
        <f>SUMIF(修正!A45:A56,H59,修正!H45:H56)</f>
        <v>0</v>
      </c>
      <c r="J59" s="936"/>
      <c r="K59" s="1138"/>
      <c r="L59" s="934"/>
      <c r="M59" s="934"/>
      <c r="N59" s="934"/>
      <c r="O59" s="934"/>
    </row>
    <row r="60" spans="1:17" s="691" customFormat="1" ht="14.4" thickBot="1">
      <c r="A60" s="692" t="s">
        <v>2765</v>
      </c>
      <c r="B60" s="261" t="e">
        <f t="shared" si="17"/>
        <v>#DIV/0!</v>
      </c>
      <c r="C60" s="199">
        <f t="shared" si="16"/>
        <v>0</v>
      </c>
      <c r="D60" s="1157">
        <v>0.25</v>
      </c>
      <c r="E60" s="260">
        <f>'数据-汇总表'!E15</f>
        <v>0</v>
      </c>
      <c r="F60" s="690" t="e">
        <f t="shared" si="15"/>
        <v>#DIV/0!</v>
      </c>
      <c r="G60" s="2698"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1026</v>
      </c>
      <c r="E61" s="695">
        <f>IF(B41="楼面地价",SUM(E51:E60),'数据-汇总表'!D3)</f>
        <v>8279.61</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2659</v>
      </c>
      <c r="B64" s="758"/>
      <c r="C64" s="763"/>
      <c r="D64" s="763"/>
      <c r="E64" s="763"/>
      <c r="F64" s="764"/>
      <c r="G64" s="764"/>
      <c r="H64" s="763"/>
      <c r="I64" s="763"/>
      <c r="J64" s="763"/>
      <c r="K64" s="765"/>
      <c r="L64" s="766"/>
      <c r="M64" s="763"/>
      <c r="N64" s="763"/>
      <c r="O64" s="1152"/>
      <c r="P64" s="502"/>
      <c r="Q64" s="503"/>
    </row>
    <row r="65" spans="1:17" s="507" customFormat="1" ht="14.4">
      <c r="A65" s="2699" t="s">
        <v>2767</v>
      </c>
      <c r="B65" s="1352"/>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6" customFormat="1" ht="30.75" customHeight="1">
      <c r="A66" s="2704" t="s">
        <v>2787</v>
      </c>
      <c r="B66" s="331" t="str">
        <f>"北京市平均增长率"&amp;TEXT(基准地价修正!P24,"0.00%")</f>
        <v>北京市平均增长率1.40%</v>
      </c>
      <c r="C66" s="602">
        <v>100</v>
      </c>
      <c r="D66" s="594"/>
      <c r="E66" s="594"/>
      <c r="F66" s="594"/>
      <c r="G66" s="594"/>
      <c r="H66" s="594"/>
      <c r="I66" s="594"/>
      <c r="J66" s="594"/>
      <c r="K66" s="594"/>
      <c r="L66" s="594"/>
      <c r="M66" s="1560"/>
      <c r="N66" s="1560"/>
      <c r="O66" s="1562"/>
      <c r="P66" s="503"/>
    </row>
    <row r="67" spans="1:17" s="116" customFormat="1" ht="15" thickBot="1">
      <c r="A67" s="514" t="s">
        <v>2570</v>
      </c>
      <c r="B67" s="515"/>
      <c r="C67" s="516"/>
      <c r="D67" s="517"/>
      <c r="E67" s="517"/>
      <c r="F67" s="517"/>
      <c r="G67" s="517"/>
      <c r="H67" s="517"/>
      <c r="I67" s="517"/>
      <c r="J67" s="517"/>
      <c r="K67" s="517"/>
      <c r="L67" s="517"/>
      <c r="M67" s="518"/>
      <c r="N67" s="518"/>
      <c r="O67" s="519"/>
      <c r="P67" s="503"/>
      <c r="Q67" s="503"/>
    </row>
    <row r="68" spans="1:17" s="116" customFormat="1" ht="14.4">
      <c r="A68" s="520" t="s">
        <v>2535</v>
      </c>
      <c r="B68" s="509"/>
      <c r="C68" s="521" t="s">
        <v>2637</v>
      </c>
      <c r="D68" s="522"/>
      <c r="E68" s="522"/>
      <c r="F68" s="522"/>
      <c r="G68" s="522"/>
      <c r="H68" s="522"/>
      <c r="I68" s="522"/>
      <c r="J68" s="522"/>
      <c r="K68" s="522"/>
      <c r="L68" s="523"/>
      <c r="M68" s="524"/>
      <c r="N68" s="1144"/>
      <c r="O68" s="1144"/>
      <c r="P68" s="525"/>
      <c r="Q68" s="503"/>
    </row>
    <row r="69" spans="1:17" s="116"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2573</v>
      </c>
      <c r="B70" s="527" t="s">
        <v>2539</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2542</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2544</v>
      </c>
      <c r="B83" s="527" t="s">
        <v>2690</v>
      </c>
      <c r="C83" s="572" t="s">
        <v>2582</v>
      </c>
      <c r="D83" s="572" t="s">
        <v>2583</v>
      </c>
      <c r="E83" s="572" t="s">
        <v>2584</v>
      </c>
      <c r="F83" s="572" t="s">
        <v>2585</v>
      </c>
      <c r="G83" s="572" t="s">
        <v>2586</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2587</v>
      </c>
      <c r="C85" s="577" t="s">
        <v>2582</v>
      </c>
      <c r="D85" s="577" t="s">
        <v>2583</v>
      </c>
      <c r="E85" s="577" t="s">
        <v>2584</v>
      </c>
      <c r="F85" s="577" t="s">
        <v>2585</v>
      </c>
      <c r="G85" s="577" t="s">
        <v>2586</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29.4" thickTop="1">
      <c r="A87" s="578"/>
      <c r="B87" s="537" t="s">
        <v>2770</v>
      </c>
      <c r="C87" s="572" t="s">
        <v>2582</v>
      </c>
      <c r="D87" s="572" t="s">
        <v>2583</v>
      </c>
      <c r="E87" s="572" t="s">
        <v>2584</v>
      </c>
      <c r="F87" s="572" t="s">
        <v>2585</v>
      </c>
      <c r="G87" s="572" t="s">
        <v>2586</v>
      </c>
      <c r="H87" s="577"/>
      <c r="I87" s="577"/>
      <c r="J87" s="577"/>
      <c r="K87" s="577"/>
      <c r="L87" s="697"/>
      <c r="M87" s="621"/>
      <c r="N87" s="1144"/>
      <c r="O87" s="1144"/>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9.4" thickTop="1">
      <c r="A89" s="578"/>
      <c r="B89" s="537" t="s">
        <v>2771</v>
      </c>
      <c r="C89" s="572" t="s">
        <v>2582</v>
      </c>
      <c r="D89" s="572" t="s">
        <v>2583</v>
      </c>
      <c r="E89" s="572" t="s">
        <v>2584</v>
      </c>
      <c r="F89" s="572" t="s">
        <v>2585</v>
      </c>
      <c r="G89" s="572" t="s">
        <v>2586</v>
      </c>
      <c r="H89" s="577"/>
      <c r="I89" s="577"/>
      <c r="J89" s="577"/>
      <c r="K89" s="577"/>
      <c r="L89" s="577"/>
      <c r="M89" s="621"/>
      <c r="N89" s="1144"/>
      <c r="O89" s="1144"/>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2639</v>
      </c>
      <c r="C91" s="572" t="s">
        <v>2582</v>
      </c>
      <c r="D91" s="572" t="s">
        <v>2583</v>
      </c>
      <c r="E91" s="572" t="s">
        <v>2584</v>
      </c>
      <c r="F91" s="572" t="s">
        <v>2585</v>
      </c>
      <c r="G91" s="572" t="s">
        <v>2586</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2788</v>
      </c>
      <c r="C93" s="659" t="s">
        <v>2660</v>
      </c>
      <c r="D93" s="659" t="s">
        <v>2661</v>
      </c>
      <c r="E93" s="659" t="s">
        <v>2662</v>
      </c>
      <c r="F93" s="659" t="s">
        <v>2663</v>
      </c>
      <c r="G93" s="659" t="s">
        <v>2664</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2676</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2735</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2777</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2779</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2780</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1615</v>
      </c>
      <c r="B1" s="1951"/>
      <c r="C1" s="1951"/>
      <c r="D1" s="1951"/>
      <c r="E1" s="195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7.399999999999999">
      <c r="A3" s="3008" t="str">
        <f>IF(项目基本情况!B9="房地产市场价值","估价结果一览表（市场价值不需“结果表-1”）","估价结果一览表")</f>
        <v>估价结果一览表</v>
      </c>
      <c r="B3" s="3008"/>
      <c r="C3" s="3008"/>
      <c r="D3" s="3008"/>
      <c r="E3" s="3008"/>
    </row>
    <row r="4" spans="1:5" ht="18" thickBot="1">
      <c r="A4" s="1953"/>
      <c r="B4" s="3006" t="s">
        <v>1624</v>
      </c>
      <c r="C4" s="3006"/>
      <c r="D4" s="3006"/>
      <c r="E4" s="1953"/>
    </row>
    <row r="5" spans="1:5" ht="16.2" thickTop="1">
      <c r="A5" s="1951"/>
      <c r="B5" s="3004" t="s">
        <v>1616</v>
      </c>
      <c r="C5" s="1954" t="s">
        <v>1617</v>
      </c>
      <c r="D5" s="1033">
        <f ca="1">'结果表-高层'!H101</f>
        <v>17364</v>
      </c>
      <c r="E5" s="1951"/>
    </row>
    <row r="6" spans="1:5" ht="15.6">
      <c r="A6" s="1951"/>
      <c r="B6" s="3004"/>
      <c r="C6" s="1954" t="s">
        <v>1618</v>
      </c>
      <c r="D6" s="1033" t="str">
        <f ca="1">NUMBERSTRING(INT(D5*10000),2)&amp;"元整"</f>
        <v>壹亿柒仟叁佰陆拾肆万元整</v>
      </c>
      <c r="E6" s="1951"/>
    </row>
    <row r="7" spans="1:5" ht="15.6">
      <c r="A7" s="1951"/>
      <c r="B7" s="3009"/>
      <c r="C7" s="1955" t="s">
        <v>1619</v>
      </c>
      <c r="D7" s="1034">
        <f ca="1">'结果表-高层'!H102</f>
        <v>13044</v>
      </c>
      <c r="E7" s="1951"/>
    </row>
    <row r="8" spans="1:5" ht="15.6">
      <c r="A8" s="1951"/>
      <c r="B8" s="3010" t="str">
        <f>'结果表-高层'!E103</f>
        <v>2.估价师知悉的法定优先受偿款</v>
      </c>
      <c r="C8" s="1956" t="s">
        <v>1620</v>
      </c>
      <c r="D8" s="1034">
        <f>'结果表-高层'!H103</f>
        <v>0</v>
      </c>
      <c r="E8" s="1951"/>
    </row>
    <row r="9" spans="1:5" ht="15.6">
      <c r="A9" s="1951"/>
      <c r="B9" s="3012"/>
      <c r="C9" s="1954" t="s">
        <v>1618</v>
      </c>
      <c r="D9" s="1033" t="str">
        <f>NUMBERSTRING(INT(D8*10000),2)&amp;"元整"</f>
        <v>零元整</v>
      </c>
      <c r="E9" s="1951"/>
    </row>
    <row r="10" spans="1:5" ht="15.6">
      <c r="A10" s="1951"/>
      <c r="B10" s="1957" t="s">
        <v>1623</v>
      </c>
      <c r="C10" s="1958" t="s">
        <v>1621</v>
      </c>
      <c r="D10" s="1035">
        <f>'结果表-高层'!H104</f>
        <v>0</v>
      </c>
      <c r="E10" s="1951"/>
    </row>
    <row r="11" spans="1:5" ht="15.6">
      <c r="A11" s="1951"/>
      <c r="B11" s="1957" t="s">
        <v>1625</v>
      </c>
      <c r="C11" s="1958" t="s">
        <v>1626</v>
      </c>
      <c r="D11" s="1035">
        <f>'结果表-高层'!H105</f>
        <v>0</v>
      </c>
      <c r="E11" s="1951"/>
    </row>
    <row r="12" spans="1:5" ht="15.6">
      <c r="A12" s="1951"/>
      <c r="B12" s="1957" t="s">
        <v>1627</v>
      </c>
      <c r="C12" s="1958" t="s">
        <v>1626</v>
      </c>
      <c r="D12" s="1035">
        <f>'结果表-高层'!H106</f>
        <v>0</v>
      </c>
      <c r="E12" s="1951"/>
    </row>
    <row r="13" spans="1:5" ht="15.6">
      <c r="A13" s="1951"/>
      <c r="B13" s="3003" t="str">
        <f>'结果表-高层'!E107</f>
        <v>3.房地产抵押价值</v>
      </c>
      <c r="C13" s="1959" t="s">
        <v>1617</v>
      </c>
      <c r="D13" s="1036">
        <f ca="1">'结果表-高层'!H107</f>
        <v>17364</v>
      </c>
      <c r="E13" s="1951"/>
    </row>
    <row r="14" spans="1:5" ht="15.6">
      <c r="A14" s="1951"/>
      <c r="B14" s="3004"/>
      <c r="C14" s="1954" t="s">
        <v>1618</v>
      </c>
      <c r="D14" s="1033" t="str">
        <f ca="1">NUMBERSTRING(INT(D13*10000),2)&amp;"元整"</f>
        <v>壹亿柒仟叁佰陆拾肆万元整</v>
      </c>
      <c r="E14" s="1951"/>
    </row>
    <row r="15" spans="1:5" ht="15.6">
      <c r="A15" s="1951"/>
      <c r="B15" s="3009"/>
      <c r="C15" s="1955" t="s">
        <v>1628</v>
      </c>
      <c r="D15" s="1045">
        <f ca="1">'结果表-高层'!H108</f>
        <v>8160</v>
      </c>
      <c r="E15" s="1951"/>
    </row>
    <row r="16" spans="1:5" ht="15.6">
      <c r="A16" s="1951"/>
      <c r="B16" s="3010" t="str">
        <f>'结果表-高层'!E109</f>
        <v>——</v>
      </c>
      <c r="C16" s="1959" t="s">
        <v>1629</v>
      </c>
      <c r="D16" s="1960" t="str">
        <f>'结果表-高层'!H109</f>
        <v>——</v>
      </c>
      <c r="E16" s="1951"/>
    </row>
    <row r="17" spans="1:5" ht="15.6">
      <c r="A17" s="1951"/>
      <c r="B17" s="3011"/>
      <c r="C17" s="1954" t="s">
        <v>1630</v>
      </c>
      <c r="D17" s="1033" t="e">
        <f>NUMBERSTRING(INT(D16*10000),2)&amp;"元整"</f>
        <v>#VALUE!</v>
      </c>
      <c r="E17" s="1951"/>
    </row>
    <row r="18" spans="1:5" ht="15.6">
      <c r="A18" s="1951"/>
      <c r="B18" s="3012"/>
      <c r="C18" s="1955" t="s">
        <v>1619</v>
      </c>
      <c r="D18" s="1045" t="str">
        <f>'结果表-高层'!H110</f>
        <v>——</v>
      </c>
      <c r="E18" s="1951"/>
    </row>
    <row r="19" spans="1:5" ht="15.6">
      <c r="A19" s="1951"/>
      <c r="B19" s="3003" t="str">
        <f>'结果表-高层'!E111</f>
        <v>——</v>
      </c>
      <c r="C19" s="1959" t="s">
        <v>1617</v>
      </c>
      <c r="D19" s="1034" t="str">
        <f>'结果表-高层'!H111</f>
        <v>——</v>
      </c>
      <c r="E19" s="1951"/>
    </row>
    <row r="20" spans="1:5" ht="15.6">
      <c r="A20" s="1951"/>
      <c r="B20" s="3004"/>
      <c r="C20" s="1954" t="s">
        <v>1630</v>
      </c>
      <c r="D20" s="1033" t="e">
        <f>NUMBERSTRING(INT(D19*10000),2)&amp;"元整"</f>
        <v>#VALUE!</v>
      </c>
      <c r="E20" s="1951"/>
    </row>
    <row r="21" spans="1:5" ht="16.2" thickBot="1">
      <c r="A21" s="1951"/>
      <c r="B21" s="3005"/>
      <c r="C21" s="1961" t="s">
        <v>1628</v>
      </c>
      <c r="D21" s="1046" t="str">
        <f>'结果表-高层'!H112</f>
        <v>——</v>
      </c>
      <c r="E21" s="1951"/>
    </row>
    <row r="22" spans="1:5" ht="14.4" thickTop="1">
      <c r="A22" s="1951"/>
      <c r="B22" s="1962" t="s">
        <v>1631</v>
      </c>
      <c r="C22" s="1951"/>
      <c r="D22" s="1951"/>
      <c r="E22" s="1951"/>
    </row>
    <row r="23" spans="1:5">
      <c r="A23" s="1951"/>
      <c r="B23" s="1951"/>
      <c r="C23" s="1951"/>
      <c r="D23" s="1951"/>
      <c r="E23" s="1951"/>
    </row>
    <row r="24" spans="1:5" ht="17.399999999999999">
      <c r="A24" s="1963"/>
      <c r="B24" s="1964" t="s">
        <v>1622</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5" customWidth="1"/>
    <col min="33" max="36" width="9.33203125" style="2776" customWidth="1"/>
    <col min="37" max="38" width="9.33203125" style="2708" customWidth="1"/>
    <col min="39" max="16384" width="12" style="2708"/>
  </cols>
  <sheetData>
    <row r="1" spans="1:36" ht="31.2">
      <c r="A1" s="239" t="s">
        <v>2789</v>
      </c>
      <c r="B1" s="240"/>
      <c r="C1" s="244" t="s">
        <v>2790</v>
      </c>
      <c r="D1" s="387">
        <f>SUM(D29:D30,D33:D39)</f>
        <v>0</v>
      </c>
      <c r="E1" s="2705"/>
      <c r="F1" s="2705"/>
      <c r="G1" s="2705"/>
      <c r="H1" s="2705"/>
      <c r="I1" s="2705"/>
      <c r="J1" s="2705"/>
      <c r="K1" s="1363"/>
      <c r="L1" s="2706" t="s">
        <v>2791</v>
      </c>
      <c r="M1" s="1073">
        <f>SUMPRODUCT((区片价!B5:B9=I2)*(区片价!C3:F3=E2)*(区片价!C5:F9))</f>
        <v>0</v>
      </c>
      <c r="N1" s="1076">
        <f>SUMPRODUCT((因素修正幅度!B5:B9=I2)*(因素修正幅度!C3:F3=E2)*(因素修正幅度!C5:F9))</f>
        <v>0</v>
      </c>
      <c r="O1" s="2707"/>
      <c r="P1" s="2707"/>
      <c r="Q1" s="1363"/>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6">
      <c r="A2" s="244" t="s">
        <v>2797</v>
      </c>
      <c r="B2" s="247" t="e">
        <f>C26</f>
        <v>#DIV/0!</v>
      </c>
      <c r="C2" s="2709" t="s">
        <v>2798</v>
      </c>
      <c r="D2" s="2710" t="s">
        <v>2799</v>
      </c>
      <c r="E2" s="2711"/>
      <c r="F2" s="2710" t="s">
        <v>2800</v>
      </c>
      <c r="G2" s="2712">
        <f>IF(E2="商业",项目基本情况!B37,IF(E2="办公",项目基本情况!C37,IF(E2="住宅",项目基本情况!D37,项目基本情况!E37)))</f>
        <v>0</v>
      </c>
      <c r="H2" s="2710" t="s">
        <v>2801</v>
      </c>
      <c r="I2" s="2712">
        <f>IF(E2="商业",项目基本情况!B38,IF(E2="办公",项目基本情况!C38,IF(E2="住宅",项目基本情况!D38,项目基本情况!E38)))</f>
        <v>0</v>
      </c>
      <c r="J2" s="2713"/>
      <c r="K2" s="1363"/>
      <c r="L2" s="2714" t="s">
        <v>2802</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6" t="s">
        <v>2803</v>
      </c>
      <c r="B3" s="247" t="e">
        <f>ROUND(B2*10000/D1,0)</f>
        <v>#DIV/0!</v>
      </c>
      <c r="C3" s="2709" t="s">
        <v>2804</v>
      </c>
      <c r="D3" s="2710" t="s">
        <v>2805</v>
      </c>
      <c r="E3" s="2715"/>
      <c r="F3" s="2716" t="s">
        <v>2806</v>
      </c>
      <c r="G3" s="909">
        <f>IF(F3="宗地容积率",'数据-汇总表'!I4,IF(F3="估价对象容积率",'数据-汇总表'!I6,'数据-汇总表'!I7))</f>
        <v>2.57</v>
      </c>
      <c r="H3" s="197" t="s">
        <v>2807</v>
      </c>
      <c r="I3" s="937"/>
      <c r="J3" s="2713" t="s">
        <v>2808</v>
      </c>
      <c r="K3" s="1363"/>
      <c r="L3" s="2714" t="s">
        <v>2809</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295"/>
      <c r="B4" s="3296"/>
      <c r="C4" s="3296"/>
      <c r="D4" s="3297"/>
      <c r="E4" s="3297"/>
      <c r="F4" s="3297"/>
      <c r="G4" s="3297"/>
      <c r="H4" s="3297"/>
      <c r="I4" s="3297"/>
      <c r="J4" s="3298"/>
      <c r="K4" s="1363"/>
      <c r="L4" s="2714" t="s">
        <v>2810</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6" customFormat="1" ht="15.6" thickBot="1">
      <c r="A5" s="2717" t="s">
        <v>807</v>
      </c>
      <c r="B5" s="2718" t="s">
        <v>2811</v>
      </c>
      <c r="C5" s="910" t="e">
        <f>ROUND(IF(E2="商业",C6*C7+C16,(IF(E2="住宅",C6*C12+C16,C6+C16))),0)</f>
        <v>#DIV/0!</v>
      </c>
      <c r="D5" s="1780" t="e">
        <f>ROUND(C6+C16,0)</f>
        <v>#DIV/0!</v>
      </c>
      <c r="E5" s="1780"/>
      <c r="F5" s="2719"/>
      <c r="G5" s="2720"/>
      <c r="H5" s="2720"/>
      <c r="I5" s="2720"/>
      <c r="J5" s="2721"/>
      <c r="K5" s="2722"/>
      <c r="L5" s="2714" t="s">
        <v>2812</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3"/>
      <c r="AD5" s="2724"/>
      <c r="AE5" s="2724"/>
      <c r="AF5" s="2724"/>
      <c r="AG5" s="2724"/>
      <c r="AH5" s="2724"/>
      <c r="AI5" s="2724"/>
      <c r="AJ5" s="2725"/>
    </row>
    <row r="6" spans="1:36" ht="15.6" thickBot="1">
      <c r="A6" s="2727" t="s">
        <v>2813</v>
      </c>
      <c r="B6" s="2728" t="s">
        <v>2814</v>
      </c>
      <c r="C6" s="911">
        <f>SUMIF(L1:L12,G2,M1:M12)</f>
        <v>0</v>
      </c>
      <c r="D6" s="2729" t="s">
        <v>2815</v>
      </c>
      <c r="E6" s="2730"/>
      <c r="F6" s="2730"/>
      <c r="G6" s="2731"/>
      <c r="H6" s="2731"/>
      <c r="I6" s="2731"/>
      <c r="J6" s="2732"/>
      <c r="K6" s="1835"/>
      <c r="L6" s="2714" t="s">
        <v>2816</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3"/>
      <c r="AD6" s="2724"/>
      <c r="AE6" s="2724"/>
      <c r="AF6" s="2724"/>
      <c r="AG6" s="2724"/>
      <c r="AH6" s="2724"/>
      <c r="AI6" s="2724"/>
      <c r="AJ6" s="2725"/>
    </row>
    <row r="7" spans="1:36" ht="24">
      <c r="A7" s="3299" t="str">
        <f>IF(E2="商业",IF(C8="不临58条商业街","",2),"")</f>
        <v/>
      </c>
      <c r="B7" s="2733" t="s">
        <v>2817</v>
      </c>
      <c r="C7" s="912" t="e">
        <f>IF(C8="不临58条商业街",1,ROUND(1+(1.6*E8+1.2*E9+0.8*E10+0.4*E11)*C9,4))</f>
        <v>#DIV/0!</v>
      </c>
      <c r="D7" s="2734" t="s">
        <v>2818</v>
      </c>
      <c r="E7" s="938"/>
      <c r="F7" s="2735"/>
      <c r="G7" s="2736"/>
      <c r="H7" s="2736"/>
      <c r="I7" s="2736"/>
      <c r="J7" s="2737"/>
      <c r="K7" s="1835"/>
      <c r="L7" s="2714" t="s">
        <v>2819</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2.57</v>
      </c>
      <c r="AA7" s="1599"/>
      <c r="AB7" s="1599"/>
      <c r="AC7" s="1600"/>
      <c r="AD7" s="1601"/>
      <c r="AE7" s="1601"/>
      <c r="AF7" s="1601"/>
      <c r="AG7" s="1601"/>
      <c r="AH7" s="1601"/>
      <c r="AI7" s="1601"/>
      <c r="AJ7" s="1602"/>
    </row>
    <row r="8" spans="1:36" ht="15">
      <c r="A8" s="3300"/>
      <c r="B8" s="197" t="s">
        <v>2822</v>
      </c>
      <c r="C8" s="2738"/>
      <c r="D8" s="913" t="s">
        <v>139</v>
      </c>
      <c r="E8" s="914" t="e">
        <f>ROUND(C11/E7,4)</f>
        <v>#DIV/0!</v>
      </c>
      <c r="F8" s="2739" t="s">
        <v>2823</v>
      </c>
      <c r="G8" s="2740"/>
      <c r="H8" s="2740"/>
      <c r="I8" s="2740"/>
      <c r="J8" s="2741"/>
      <c r="K8" s="1363"/>
      <c r="L8" s="2714" t="s">
        <v>2824</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292" t="s">
        <v>2825</v>
      </c>
      <c r="X8" s="3293"/>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300"/>
      <c r="B9" s="197" t="s">
        <v>2838</v>
      </c>
      <c r="C9" s="915">
        <f>SUMIF(修正!C59:C119,C8,修正!E59:E119)</f>
        <v>0</v>
      </c>
      <c r="D9" s="199" t="s">
        <v>140</v>
      </c>
      <c r="E9" s="199" t="e">
        <f>ROUND(C11/E7,4)</f>
        <v>#DIV/0!</v>
      </c>
      <c r="F9" s="2739" t="s">
        <v>2839</v>
      </c>
      <c r="G9" s="2740"/>
      <c r="H9" s="2740"/>
      <c r="I9" s="2740"/>
      <c r="J9" s="2741"/>
      <c r="K9" s="1363"/>
      <c r="L9" s="2714" t="s">
        <v>2840</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294"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00"/>
      <c r="B10" s="197" t="s">
        <v>2843</v>
      </c>
      <c r="C10" s="199">
        <f>SUMIF(修正!C59:C119,C8,修正!F59:F119)</f>
        <v>0</v>
      </c>
      <c r="D10" s="199" t="s">
        <v>141</v>
      </c>
      <c r="E10" s="199" t="e">
        <f>ROUND(C11/E7,4)</f>
        <v>#DIV/0!</v>
      </c>
      <c r="F10" s="2739" t="s">
        <v>2844</v>
      </c>
      <c r="G10" s="2740"/>
      <c r="H10" s="2740"/>
      <c r="I10" s="2740"/>
      <c r="J10" s="2741"/>
      <c r="K10" s="1363"/>
      <c r="L10" s="2714" t="s">
        <v>2845</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294"/>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00"/>
      <c r="B11" s="2742" t="s">
        <v>2846</v>
      </c>
      <c r="C11" s="916">
        <f>C10/4</f>
        <v>0</v>
      </c>
      <c r="D11" s="916" t="s">
        <v>142</v>
      </c>
      <c r="E11" s="916" t="e">
        <f>ROUND(C11/E7,4)</f>
        <v>#DIV/0!</v>
      </c>
      <c r="F11" s="2743" t="s">
        <v>2847</v>
      </c>
      <c r="G11" s="2744"/>
      <c r="H11" s="2744"/>
      <c r="I11" s="2744"/>
      <c r="J11" s="2745"/>
      <c r="K11" s="1363"/>
      <c r="L11" s="2714" t="s">
        <v>2848</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294" t="s">
        <v>2849</v>
      </c>
      <c r="X11" s="1607" t="s">
        <v>2850</v>
      </c>
      <c r="Y11" s="1608">
        <f>$G$3</f>
        <v>2.57</v>
      </c>
      <c r="Z11" s="1608">
        <f t="shared" ref="Z11:AJ11" si="3">$G$3</f>
        <v>2.57</v>
      </c>
      <c r="AA11" s="1608">
        <f t="shared" si="3"/>
        <v>2.57</v>
      </c>
      <c r="AB11" s="1608">
        <f t="shared" si="3"/>
        <v>2.57</v>
      </c>
      <c r="AC11" s="1608">
        <f t="shared" si="3"/>
        <v>2.57</v>
      </c>
      <c r="AD11" s="1608">
        <f t="shared" si="3"/>
        <v>2.57</v>
      </c>
      <c r="AE11" s="1608">
        <f t="shared" si="3"/>
        <v>2.57</v>
      </c>
      <c r="AF11" s="1608">
        <f t="shared" si="3"/>
        <v>2.57</v>
      </c>
      <c r="AG11" s="1608">
        <f t="shared" si="3"/>
        <v>2.57</v>
      </c>
      <c r="AH11" s="1608">
        <f t="shared" si="3"/>
        <v>2.57</v>
      </c>
      <c r="AI11" s="1608">
        <f t="shared" si="3"/>
        <v>2.57</v>
      </c>
      <c r="AJ11" s="1608">
        <f t="shared" si="3"/>
        <v>2.57</v>
      </c>
    </row>
    <row r="12" spans="1:36" ht="25.8" thickBot="1">
      <c r="A12" s="3299" t="s">
        <v>2851</v>
      </c>
      <c r="B12" s="2746" t="s">
        <v>2852</v>
      </c>
      <c r="C12" s="912">
        <f>ROUND(C15*D15*E15*F15*G15*H15*I15*J15,4)</f>
        <v>1</v>
      </c>
      <c r="D12" s="2747" t="s">
        <v>2853</v>
      </c>
      <c r="E12" s="2748"/>
      <c r="F12" s="2748"/>
      <c r="G12" s="2749"/>
      <c r="H12" s="2749"/>
      <c r="I12" s="2749"/>
      <c r="J12" s="2750"/>
      <c r="K12" s="1363"/>
      <c r="L12" s="2751" t="s">
        <v>2854</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294"/>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1"/>
      <c r="B13" s="2752" t="s">
        <v>2856</v>
      </c>
      <c r="C13" s="2753" t="s">
        <v>2857</v>
      </c>
      <c r="D13" s="1801" t="s">
        <v>2858</v>
      </c>
      <c r="E13" s="1801" t="s">
        <v>2859</v>
      </c>
      <c r="F13" s="30" t="s">
        <v>2860</v>
      </c>
      <c r="G13" s="2754" t="s">
        <v>2861</v>
      </c>
      <c r="H13" s="2754" t="s">
        <v>2861</v>
      </c>
      <c r="I13" s="2754" t="s">
        <v>2861</v>
      </c>
      <c r="J13" s="2755" t="s">
        <v>2861</v>
      </c>
      <c r="K13" s="1363"/>
      <c r="L13" s="1363"/>
      <c r="M13" s="1363"/>
      <c r="N13" s="1363"/>
      <c r="O13" s="1363"/>
      <c r="P13" s="1363"/>
      <c r="Q13" s="1363"/>
      <c r="R13" s="1595">
        <v>12</v>
      </c>
      <c r="S13" s="1596"/>
      <c r="T13" s="1595" t="e">
        <f t="shared" si="0"/>
        <v>#DIV/0!</v>
      </c>
      <c r="U13" s="1596"/>
      <c r="V13" s="1595" t="e">
        <f t="shared" si="1"/>
        <v>#DIV/0!</v>
      </c>
      <c r="W13" s="3294"/>
      <c r="X13" s="1609"/>
      <c r="Y13" s="1606">
        <f>(-0.163*(Y12^2)-0.59*Y12+7617)*(10^(-4))/Y11</f>
        <v>0.29638132295719849</v>
      </c>
      <c r="Z13" s="1606">
        <f t="shared" ref="Z13:AJ13" si="5">(-0.163*(Z12^2)-0.59*Z12+7617)*(10^(-4))/Z11</f>
        <v>0.29638132295719849</v>
      </c>
      <c r="AA13" s="1606">
        <f t="shared" si="5"/>
        <v>0.29638132295719849</v>
      </c>
      <c r="AB13" s="1606">
        <f t="shared" si="5"/>
        <v>0.29638132295719849</v>
      </c>
      <c r="AC13" s="1606">
        <f t="shared" si="5"/>
        <v>0.29638132295719849</v>
      </c>
      <c r="AD13" s="1606">
        <f t="shared" si="5"/>
        <v>0.29638132295719849</v>
      </c>
      <c r="AE13" s="1606">
        <f t="shared" si="5"/>
        <v>0.29638132295719849</v>
      </c>
      <c r="AF13" s="1606">
        <f t="shared" si="5"/>
        <v>0.29638132295719849</v>
      </c>
      <c r="AG13" s="1606">
        <f t="shared" si="5"/>
        <v>0.29638132295719849</v>
      </c>
      <c r="AH13" s="1606">
        <f t="shared" si="5"/>
        <v>0.29638132295719849</v>
      </c>
      <c r="AI13" s="1606">
        <f t="shared" si="5"/>
        <v>0.29638132295719849</v>
      </c>
      <c r="AJ13" s="1606">
        <f t="shared" si="5"/>
        <v>0.29638132295719849</v>
      </c>
    </row>
    <row r="14" spans="1:36" ht="15">
      <c r="A14" s="3301"/>
      <c r="B14" s="2756"/>
      <c r="C14" s="2757"/>
      <c r="D14" s="2758"/>
      <c r="E14" s="2758"/>
      <c r="F14" s="2759"/>
      <c r="G14" s="2760" t="s">
        <v>2862</v>
      </c>
      <c r="H14" s="2761"/>
      <c r="I14" s="2762"/>
      <c r="J14" s="2763"/>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02"/>
      <c r="B15" s="2764" t="s">
        <v>2863</v>
      </c>
      <c r="C15" s="228">
        <f>IF(C14="有",1.1,1)</f>
        <v>1</v>
      </c>
      <c r="D15" s="228">
        <f>IF(D14="有",1.1,1)</f>
        <v>1</v>
      </c>
      <c r="E15" s="228">
        <f>IF(E14="有",1.1,1)</f>
        <v>1</v>
      </c>
      <c r="F15" s="228">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99" t="s">
        <v>2868</v>
      </c>
      <c r="B16" s="2733" t="s">
        <v>2869</v>
      </c>
      <c r="C16" s="2920" t="e">
        <f>ROUND(IF(F17="与级别开发程度一致",0,(G17-E17)/C17),0)</f>
        <v>#DIV/0!</v>
      </c>
      <c r="D16" s="3313" t="s">
        <v>2873</v>
      </c>
      <c r="E16" s="3314"/>
      <c r="F16" s="3313" t="s">
        <v>2870</v>
      </c>
      <c r="G16" s="3314"/>
      <c r="H16" s="2767"/>
      <c r="I16" s="2767"/>
      <c r="J16" s="2924"/>
      <c r="K16" s="2767"/>
      <c r="L16" s="2767"/>
      <c r="M16" s="2767"/>
      <c r="N16" s="2767"/>
      <c r="O16" s="2768"/>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303"/>
      <c r="B17" s="2931" t="s">
        <v>2872</v>
      </c>
      <c r="C17" s="2932">
        <f>SUMPRODUCT((修正!A2:A5=E2)*(修正!B1:M1=G2)*(修正!B2:M5))</f>
        <v>0</v>
      </c>
      <c r="D17" s="228"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 thickBot="1">
      <c r="A18" s="2925" t="s">
        <v>808</v>
      </c>
      <c r="B18" s="2926" t="s">
        <v>2875</v>
      </c>
      <c r="C18" s="2927">
        <f>SUMIF(修正!C18:C39,E3,修正!E18:E39)</f>
        <v>0</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9.4" thickBot="1">
      <c r="A19" s="2772" t="s">
        <v>809</v>
      </c>
      <c r="B19" s="2773" t="s">
        <v>2876</v>
      </c>
      <c r="C19" s="917" t="e">
        <f>ROUND(IF(H19="按公示增长率计算",SUMPRODUCT((地价!A3:A27=YEAR(G19)&amp;"-"&amp;ROUNDUP(MONTH(G19)/3,0))*(地价!X2:AB2=E2)*(地价!X3:AB27)),IF(H19="地价指数",M20/M19,(1+I19)^O19)),4)</f>
        <v>#VALUE!</v>
      </c>
      <c r="D19" s="2777" t="s">
        <v>2877</v>
      </c>
      <c r="E19" s="918">
        <v>41640</v>
      </c>
      <c r="F19" s="2777" t="s">
        <v>2878</v>
      </c>
      <c r="G19" s="919">
        <f>'数据-取费表'!B2</f>
        <v>43699</v>
      </c>
      <c r="H19" s="2778"/>
      <c r="I19" s="920" t="str">
        <f>IF(H19="季度增幅（自定义）",SUMIF(N21:N24,E2,O21:O24),"")</f>
        <v/>
      </c>
      <c r="J19" s="2775"/>
      <c r="K19" s="1370"/>
      <c r="L19" s="2779" t="s">
        <v>2879</v>
      </c>
      <c r="M19" s="1727">
        <f>ROUND(SUMIF(地价!B2:F2,E2,地价!B27:F27),0)</f>
        <v>0</v>
      </c>
      <c r="N19" s="2780" t="s">
        <v>2880</v>
      </c>
      <c r="O19" s="921">
        <f>ROUNDDOWN(DATEDIF(E19,G19,"M")/3,0)</f>
        <v>22</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9.4" thickBot="1">
      <c r="A20" s="2784" t="s">
        <v>810</v>
      </c>
      <c r="B20" s="2785" t="s">
        <v>2881</v>
      </c>
      <c r="C20" s="922" t="e">
        <f>ROUND(POWER(1+G20,J20-I20)*(POWER(1+G20,I20)-1)/(POWER(1+G20,J20)-1),4)</f>
        <v>#DIV/0!</v>
      </c>
      <c r="D20" s="2786" t="s">
        <v>2882</v>
      </c>
      <c r="E20" s="1761">
        <f ca="1">存贷款利率!D4/100</f>
        <v>4.3499999999999997E-2</v>
      </c>
      <c r="F20" s="2786" t="s">
        <v>2874</v>
      </c>
      <c r="G20" s="927">
        <f>SUMIF(M26:P26,E2,M28:P28)</f>
        <v>0</v>
      </c>
      <c r="H20" s="2786" t="s">
        <v>2883</v>
      </c>
      <c r="I20" s="928" t="e">
        <f>SUMIF('数据-取费表'!C6:C15,E2,'数据-取费表'!F6:F15)/COUNTIF('数据-取费表'!C6:C15,E2)</f>
        <v>#DIV/0!</v>
      </c>
      <c r="J20" s="929">
        <f>IF(E2="住宅",70,IF(E2="商业",40,50))</f>
        <v>50</v>
      </c>
      <c r="K20" s="1370"/>
      <c r="L20" s="2787" t="s">
        <v>2884</v>
      </c>
      <c r="M20" s="1728">
        <f>ROUND(SUMPRODUCT((地价!A4:A27=YEAR(G19)&amp;"-"&amp;ROUNDUP(MONTH(G19)/3,0))*(地价!B2:F2=E2)*(地价!B4:F27)),0)</f>
        <v>0</v>
      </c>
      <c r="N20" s="2788" t="s">
        <v>2885</v>
      </c>
      <c r="O20" s="2789" t="s">
        <v>2886</v>
      </c>
      <c r="P20" s="2790" t="s">
        <v>2887</v>
      </c>
      <c r="R20" s="1369"/>
      <c r="S20" s="1369"/>
      <c r="T20" s="1364"/>
      <c r="U20" s="1364"/>
      <c r="V20" s="1364"/>
      <c r="W20" s="1363"/>
      <c r="X20" s="1363"/>
      <c r="Y20" s="1363"/>
      <c r="Z20" s="1370"/>
      <c r="AA20" s="1371"/>
      <c r="AB20" s="1371"/>
      <c r="AC20" s="1371"/>
      <c r="AD20" s="1371"/>
      <c r="AE20" s="1371"/>
      <c r="AF20" s="1371"/>
    </row>
    <row r="21" spans="1:37" s="2726" customFormat="1" ht="14.4">
      <c r="A21" s="2791" t="s">
        <v>811</v>
      </c>
      <c r="B21" s="2792" t="s">
        <v>2888</v>
      </c>
      <c r="C21" s="930">
        <f>IF(B21="容积率修正",IF(G3&lt;=10,D22,J22),C23)</f>
        <v>0</v>
      </c>
      <c r="D21" s="2793"/>
      <c r="E21" s="2793"/>
      <c r="F21" s="2793"/>
      <c r="G21" s="2793"/>
      <c r="H21" s="2793"/>
      <c r="I21" s="2793"/>
      <c r="J21" s="2794"/>
      <c r="K21" s="1370"/>
      <c r="N21" s="2795" t="s">
        <v>2889</v>
      </c>
      <c r="O21" s="1554"/>
      <c r="P21" s="1555">
        <f>SUMPRODUCT((地价!A3:A27=YEAR(G19)&amp;"-"&amp;ROUNDUP(MONTH(G19)/3,0))*(地价!AD2:AH2=N21)*(地价!AD3:AH27))</f>
        <v>1.44E-2</v>
      </c>
      <c r="R21" s="1369"/>
      <c r="S21" s="1369"/>
      <c r="T21" s="1364"/>
      <c r="U21" s="1364"/>
      <c r="V21" s="1364"/>
      <c r="W21" s="1363"/>
      <c r="X21" s="1363"/>
      <c r="Y21" s="1363"/>
      <c r="Z21" s="1370"/>
      <c r="AA21" s="1371"/>
      <c r="AB21" s="1371"/>
      <c r="AC21" s="1371"/>
      <c r="AD21" s="1371"/>
      <c r="AE21" s="1371"/>
      <c r="AF21" s="1371"/>
    </row>
    <row r="22" spans="1:37" s="2726" customFormat="1" ht="14.4">
      <c r="A22" s="2652" t="s">
        <v>2890</v>
      </c>
      <c r="B22" s="2796" t="s">
        <v>2891</v>
      </c>
      <c r="C22" s="1803" t="s">
        <v>2892</v>
      </c>
      <c r="D22" s="1803">
        <f>IF(E22=G22,F22,IF(G3&lt;=10,ROUND(F22+(H22-F22)*(G3-E22)/(G22-E22),4),"——"))</f>
        <v>0</v>
      </c>
      <c r="E22" s="909">
        <f>ROUNDDOWN(G3,1)</f>
        <v>2.5</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5" t="s">
        <v>2893</v>
      </c>
      <c r="O22" s="1554"/>
      <c r="P22" s="1555">
        <f>SUMPRODUCT((地价!A3:A27=YEAR(G19)&amp;"-"&amp;ROUNDUP(MONTH(G19)/3,0))*(地价!AD2:AH2=N22)*(地价!AD3:AH27))</f>
        <v>1.44E-2</v>
      </c>
      <c r="R22" s="1369"/>
      <c r="S22" s="1369"/>
      <c r="T22" s="1364"/>
      <c r="U22" s="1364"/>
      <c r="V22" s="1364"/>
      <c r="W22" s="1363"/>
      <c r="X22" s="1363"/>
      <c r="Y22" s="1363"/>
      <c r="Z22" s="1370"/>
      <c r="AA22" s="1371"/>
      <c r="AB22" s="1371"/>
      <c r="AC22" s="1371"/>
      <c r="AD22" s="1371"/>
      <c r="AE22" s="1371"/>
      <c r="AF22" s="1371"/>
    </row>
    <row r="23" spans="1:37" ht="29.4" thickBot="1">
      <c r="A23" s="2652" t="s">
        <v>2894</v>
      </c>
      <c r="B23" s="2797" t="s">
        <v>2895</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2896</v>
      </c>
      <c r="O23" s="1554"/>
      <c r="P23" s="1555">
        <f>SUMPRODUCT((地价!A3:A27=YEAR(G19)&amp;"-"&amp;ROUNDUP(MONTH(G19)/3,0))*(地价!AD2:AH2=N23)*(地价!AD3:AH27))</f>
        <v>2.23E-2</v>
      </c>
      <c r="R23" s="1369"/>
      <c r="S23" s="1369"/>
      <c r="T23" s="1364"/>
      <c r="U23" s="1364"/>
      <c r="V23" s="1364"/>
      <c r="W23" s="1363"/>
      <c r="X23" s="1363"/>
      <c r="Y23" s="1363"/>
      <c r="Z23" s="1370"/>
      <c r="AA23" s="1371"/>
      <c r="AB23" s="1371"/>
      <c r="AC23" s="1371"/>
      <c r="AD23" s="1371"/>
      <c r="AK23" s="2776"/>
    </row>
    <row r="24" spans="1:37" s="2726" customFormat="1" ht="15" thickBot="1">
      <c r="A24" s="2784" t="s">
        <v>812</v>
      </c>
      <c r="B24" s="2773" t="s">
        <v>2897</v>
      </c>
      <c r="C24" s="917">
        <f>SUMIF(A45:A88,E2,B45:B88)</f>
        <v>0</v>
      </c>
      <c r="D24" s="2774"/>
      <c r="E24" s="2803"/>
      <c r="F24" s="2803"/>
      <c r="G24" s="2803"/>
      <c r="H24" s="2803"/>
      <c r="I24" s="2803"/>
      <c r="J24" s="2804"/>
      <c r="K24" s="1370"/>
      <c r="N24" s="2805" t="s">
        <v>2898</v>
      </c>
      <c r="O24" s="1556"/>
      <c r="P24" s="1557">
        <f>SUMPRODUCT((地价!A3:A27=YEAR(G19)&amp;"-"&amp;ROUNDUP(MONTH(G19)/3,0))*(地价!AD2:AH2=N24)*(地价!AD3:AH27))</f>
        <v>1.4E-2</v>
      </c>
      <c r="R24" s="1369"/>
      <c r="S24" s="1369"/>
      <c r="T24" s="1364"/>
      <c r="U24" s="1364"/>
      <c r="V24" s="1364"/>
      <c r="W24" s="1363"/>
      <c r="X24" s="1363"/>
      <c r="Y24" s="1363"/>
      <c r="Z24" s="1370"/>
      <c r="AA24" s="1371"/>
      <c r="AB24" s="1371"/>
      <c r="AC24" s="1371"/>
      <c r="AD24" s="1371"/>
      <c r="AE24" s="1371"/>
      <c r="AF24" s="1371"/>
    </row>
    <row r="25" spans="1:37" ht="15" thickBot="1">
      <c r="A25" s="2784" t="s">
        <v>813</v>
      </c>
      <c r="B25" s="2806" t="s">
        <v>2899</v>
      </c>
      <c r="C25" s="923"/>
      <c r="D25" s="2736"/>
      <c r="E25" s="2736"/>
      <c r="F25" s="2807"/>
      <c r="G25" s="2736"/>
      <c r="H25" s="2736"/>
      <c r="I25" s="2736"/>
      <c r="J25" s="2737"/>
      <c r="K25" s="1363"/>
      <c r="N25" s="2808" t="s">
        <v>2900</v>
      </c>
      <c r="O25" s="1558"/>
      <c r="P25" s="1557">
        <f>SUMPRODUCT((地价!A3:A27=YEAR(G19)&amp;"-"&amp;ROUNDUP(MONTH(G19)/3,0))*(地价!AD2:AH2=N25)*(地价!AD3:AH27))</f>
        <v>2.0400000000000001E-2</v>
      </c>
      <c r="R25" s="1369"/>
      <c r="S25" s="1369"/>
      <c r="T25" s="1364"/>
      <c r="U25" s="1364"/>
      <c r="V25" s="1364"/>
      <c r="W25" s="1363"/>
      <c r="X25" s="1363"/>
      <c r="Y25" s="1363"/>
      <c r="Z25" s="1370"/>
      <c r="AA25" s="1371"/>
      <c r="AB25" s="1371"/>
      <c r="AC25" s="1371"/>
      <c r="AD25" s="1371"/>
    </row>
    <row r="26" spans="1:37" ht="14.4">
      <c r="A26" s="2809"/>
      <c r="B26" s="2796" t="s">
        <v>2901</v>
      </c>
      <c r="C26" s="205" t="e">
        <f>E29+SUM(E33:E39)</f>
        <v>#DIV/0!</v>
      </c>
      <c r="D26" s="2810"/>
      <c r="E26" s="2761"/>
      <c r="F26" s="2811"/>
      <c r="G26" s="2761"/>
      <c r="H26" s="2761"/>
      <c r="I26" s="2761"/>
      <c r="J26" s="2812"/>
      <c r="K26" s="1363"/>
      <c r="L26" s="2765" t="s">
        <v>2799</v>
      </c>
      <c r="M26" s="913" t="s">
        <v>2864</v>
      </c>
      <c r="N26" s="913" t="s">
        <v>2865</v>
      </c>
      <c r="O26" s="913" t="s">
        <v>2866</v>
      </c>
      <c r="P26" s="2766" t="s">
        <v>2867</v>
      </c>
      <c r="R26" s="1369"/>
      <c r="S26" s="1369"/>
      <c r="T26" s="1364"/>
      <c r="U26" s="1364"/>
      <c r="V26" s="1364"/>
      <c r="W26" s="1363"/>
      <c r="X26" s="1363"/>
      <c r="Y26" s="1363"/>
      <c r="Z26" s="1370"/>
      <c r="AA26" s="1371"/>
      <c r="AB26" s="1371"/>
      <c r="AC26" s="1371"/>
      <c r="AD26" s="1371"/>
    </row>
    <row r="27" spans="1:37" ht="15" thickBot="1">
      <c r="A27" s="2809"/>
      <c r="B27" s="2813" t="s">
        <v>2902</v>
      </c>
      <c r="C27" s="924" t="e">
        <f>E30+SUM(I33:I39)</f>
        <v>#DIV/0!</v>
      </c>
      <c r="D27" s="2814"/>
      <c r="E27" s="2815"/>
      <c r="F27" s="2816"/>
      <c r="G27" s="2815"/>
      <c r="H27" s="2815"/>
      <c r="I27" s="2815"/>
      <c r="J27" s="2817"/>
      <c r="K27" s="1363"/>
      <c r="L27" s="2769"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8"/>
      <c r="B28" s="2819" t="s">
        <v>2903</v>
      </c>
      <c r="C28" s="2820" t="s">
        <v>2904</v>
      </c>
      <c r="D28" s="2820" t="s">
        <v>2905</v>
      </c>
      <c r="E28" s="2821" t="s">
        <v>2906</v>
      </c>
      <c r="F28" s="2822"/>
      <c r="G28" s="2749"/>
      <c r="H28" s="2749"/>
      <c r="I28" s="2749"/>
      <c r="J28" s="2750"/>
      <c r="K28" s="1363"/>
      <c r="L28" s="2770" t="s">
        <v>2874</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2907</v>
      </c>
      <c r="C29" s="205" t="e">
        <f>ROUND(C5*C18*C19*C20*C21*C24,0)</f>
        <v>#DIV/0!</v>
      </c>
      <c r="D29" s="2825"/>
      <c r="E29" s="935" t="e">
        <f>ROUND(C29*D29/10000,0)</f>
        <v>#DIV/0!</v>
      </c>
      <c r="F29" s="2826" t="s">
        <v>2908</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8" thickBot="1">
      <c r="A30" s="2829"/>
      <c r="B30" s="2830" t="s">
        <v>2909</v>
      </c>
      <c r="C30" s="228" t="e">
        <f>ROUND(IF(E2="工业",C29*M39,C29*M38),0)</f>
        <v>#DIV/0!</v>
      </c>
      <c r="D30" s="2831"/>
      <c r="E30" s="935" t="e">
        <f>ROUND(C30*D30/10000,0)</f>
        <v>#DIV/0!</v>
      </c>
      <c r="F30" s="2832" t="s">
        <v>2910</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3.8">
      <c r="A31" s="2835"/>
      <c r="B31" s="2836" t="s">
        <v>2911</v>
      </c>
      <c r="C31" s="2837" t="s">
        <v>2912</v>
      </c>
      <c r="D31" s="2749"/>
      <c r="E31" s="2837"/>
      <c r="F31" s="2837"/>
      <c r="G31" s="2747" t="s">
        <v>2913</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36">
      <c r="A32" s="2823"/>
      <c r="B32" s="2839"/>
      <c r="C32" s="500" t="s">
        <v>2904</v>
      </c>
      <c r="D32" s="497" t="s">
        <v>2905</v>
      </c>
      <c r="E32" s="497" t="s">
        <v>2906</v>
      </c>
      <c r="F32" s="387" t="s">
        <v>2914</v>
      </c>
      <c r="G32" s="2840" t="s">
        <v>2904</v>
      </c>
      <c r="H32" s="2840" t="s">
        <v>2905</v>
      </c>
      <c r="I32" s="2840" t="s">
        <v>2906</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310" t="s">
        <v>2915</v>
      </c>
      <c r="B33" s="2841" t="s">
        <v>2916</v>
      </c>
      <c r="C33" s="205" t="e">
        <f>ROUND(D5*C19*C20*C24*F33,0)</f>
        <v>#DIV/0!</v>
      </c>
      <c r="D33" s="2825"/>
      <c r="E33" s="199" t="e">
        <f>ROUND(C33*D33/10000,0)</f>
        <v>#DIV/0!</v>
      </c>
      <c r="F33" s="199">
        <f>SUMIF(修正!A45:A56,G2,修正!B45:B56)</f>
        <v>0</v>
      </c>
      <c r="G33" s="199" t="e">
        <f t="shared" ref="G33" si="6">ROUND(IF(E2="工业",C33*$M$39,C33*$M$38),0)</f>
        <v>#DIV/0!</v>
      </c>
      <c r="H33" s="199">
        <f>D33</f>
        <v>0</v>
      </c>
      <c r="I33" s="199" t="e">
        <f>ROUND(G33*H33/10000,0)</f>
        <v>#DIV/0!</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11"/>
      <c r="B34" s="2753" t="s">
        <v>2917</v>
      </c>
      <c r="C34" s="205" t="e">
        <f>ROUND(D5*C19*C20*C24*F34,0)</f>
        <v>#DIV/0!</v>
      </c>
      <c r="D34" s="282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1"/>
      <c r="B35" s="2753" t="s">
        <v>2918</v>
      </c>
      <c r="C35" s="205" t="e">
        <f>ROUND(D5*C19*C20*C24*F35,0)</f>
        <v>#DIV/0!</v>
      </c>
      <c r="D35" s="2825"/>
      <c r="E35" s="199" t="e">
        <f t="shared" si="7"/>
        <v>#DIV/0!</v>
      </c>
      <c r="F35" s="199">
        <f>SUMIF(修正!A45:A56,G2,修正!D45:D56)</f>
        <v>0</v>
      </c>
      <c r="G35" s="199" t="e">
        <f>ROUND(IF(E2="工业",C35*$M$39,C35*$M$38),0)</f>
        <v>#DIV/0!</v>
      </c>
      <c r="H35" s="199">
        <f t="shared" si="8"/>
        <v>0</v>
      </c>
      <c r="I35" s="199" t="e">
        <f t="shared" si="9"/>
        <v>#DIV/0!</v>
      </c>
      <c r="J35" s="2842"/>
      <c r="K35" s="1363"/>
      <c r="L35" s="1363"/>
      <c r="M35" s="1363"/>
      <c r="N35" s="1363"/>
      <c r="O35" s="1363"/>
      <c r="P35" s="1363"/>
      <c r="Q35" s="1363"/>
      <c r="R35" s="1363"/>
      <c r="S35" s="1363"/>
      <c r="T35" s="1363"/>
      <c r="U35" s="1363"/>
      <c r="V35" s="1363"/>
      <c r="W35" s="1363"/>
      <c r="X35" s="1363"/>
      <c r="Y35" s="1363"/>
      <c r="Z35" s="1364"/>
    </row>
    <row r="36" spans="1:37" ht="13.8" thickBot="1">
      <c r="A36" s="3312"/>
      <c r="B36" s="2753" t="s">
        <v>2919</v>
      </c>
      <c r="C36" s="205" t="e">
        <f>ROUND(D5*C19*C20*C24*F36,0)</f>
        <v>#DIV/0!</v>
      </c>
      <c r="D36" s="2825"/>
      <c r="E36" s="199" t="e">
        <f t="shared" si="7"/>
        <v>#DIV/0!</v>
      </c>
      <c r="F36" s="199">
        <f>SUMIF(修正!A45:A56,G2,修正!E45:E56)</f>
        <v>0</v>
      </c>
      <c r="G36" s="199" t="e">
        <f>ROUND(IF(E2="工业",C36*$M$39,C36*$M$38),0)</f>
        <v>#DIV/0!</v>
      </c>
      <c r="H36" s="199">
        <f t="shared" si="8"/>
        <v>0</v>
      </c>
      <c r="I36" s="199" t="e">
        <f t="shared" si="9"/>
        <v>#DIV/0!</v>
      </c>
      <c r="J36" s="2842"/>
      <c r="K36" s="1363"/>
      <c r="L36" s="2707"/>
      <c r="M36" s="2707"/>
      <c r="N36" s="1363"/>
      <c r="O36" s="1363"/>
      <c r="P36" s="1363"/>
      <c r="Q36" s="1363"/>
      <c r="R36" s="1363"/>
      <c r="S36" s="1363"/>
      <c r="T36" s="1363"/>
      <c r="U36" s="1363"/>
      <c r="V36" s="1363"/>
      <c r="W36" s="1363"/>
      <c r="X36" s="1363"/>
      <c r="Y36" s="1363"/>
      <c r="Z36" s="1364"/>
    </row>
    <row r="37" spans="1:37">
      <c r="A37" s="2843"/>
      <c r="B37" s="2753" t="s">
        <v>2920</v>
      </c>
      <c r="C37" s="199" t="e">
        <f>ROUND(D5*C19*C20*C24*F37,0)</f>
        <v>#DIV/0!</v>
      </c>
      <c r="D37" s="2825"/>
      <c r="E37" s="199" t="e">
        <f t="shared" si="7"/>
        <v>#DIV/0!</v>
      </c>
      <c r="F37" s="205">
        <f>SUMIF(修正!A45:A56,G2,修正!F45:F56)</f>
        <v>0</v>
      </c>
      <c r="G37" s="199" t="e">
        <f>ROUND(IF(E2="工业",C37*$M$39,C37*$M$38),0)</f>
        <v>#DIV/0!</v>
      </c>
      <c r="H37" s="199">
        <f t="shared" si="8"/>
        <v>0</v>
      </c>
      <c r="I37" s="199" t="e">
        <f t="shared" si="9"/>
        <v>#DIV/0!</v>
      </c>
      <c r="J37" s="2842"/>
      <c r="K37" s="1363"/>
      <c r="L37" s="2844" t="s">
        <v>2921</v>
      </c>
      <c r="M37" s="2845"/>
      <c r="N37" s="1363"/>
      <c r="O37" s="1363"/>
      <c r="P37" s="1363"/>
      <c r="Q37" s="1363"/>
      <c r="R37" s="1363"/>
      <c r="S37" s="1363"/>
      <c r="T37" s="1363"/>
      <c r="U37" s="1363"/>
      <c r="V37" s="1363"/>
      <c r="W37" s="1363"/>
      <c r="X37" s="1363"/>
      <c r="Y37" s="1363"/>
      <c r="Z37" s="1364"/>
    </row>
    <row r="38" spans="1:37">
      <c r="A38" s="2843"/>
      <c r="B38" s="2753" t="s">
        <v>2922</v>
      </c>
      <c r="C38" s="199" t="e">
        <f>ROUND(D5*C19*C41*C24*F38,0)</f>
        <v>#DIV/0!</v>
      </c>
      <c r="D38" s="2825"/>
      <c r="E38" s="199" t="e">
        <f t="shared" si="7"/>
        <v>#DIV/0!</v>
      </c>
      <c r="F38" s="205">
        <f>SUMIF(修正!A45:A56,G2,修正!G45:G56)</f>
        <v>0</v>
      </c>
      <c r="G38" s="199" t="e">
        <f>ROUND(IF(E2="工业",C38*$M$39,C38*$M$38),0)</f>
        <v>#DIV/0!</v>
      </c>
      <c r="H38" s="199">
        <f t="shared" si="8"/>
        <v>0</v>
      </c>
      <c r="I38" s="199" t="e">
        <f t="shared" si="9"/>
        <v>#DIV/0!</v>
      </c>
      <c r="J38" s="2842"/>
      <c r="K38" s="1363"/>
      <c r="L38" s="1880" t="s">
        <v>2923</v>
      </c>
      <c r="M38" s="2846">
        <v>0.25</v>
      </c>
      <c r="N38" s="1363"/>
      <c r="O38" s="1363"/>
      <c r="P38" s="1363"/>
      <c r="Q38" s="1363"/>
      <c r="R38" s="1363"/>
      <c r="S38" s="1363"/>
      <c r="T38" s="1363"/>
      <c r="U38" s="1363"/>
      <c r="V38" s="1363"/>
      <c r="W38" s="1363"/>
      <c r="X38" s="1363"/>
      <c r="Y38" s="1363"/>
      <c r="Z38" s="1364"/>
    </row>
    <row r="39" spans="1:37" ht="13.8" thickBot="1">
      <c r="A39" s="2829"/>
      <c r="B39" s="2847" t="s">
        <v>2924</v>
      </c>
      <c r="C39" s="228" t="e">
        <f>ROUND(D5*C19*C41*C24*F39,0)</f>
        <v>#DIV/0!</v>
      </c>
      <c r="D39" s="2831"/>
      <c r="E39" s="228" t="e">
        <f t="shared" si="7"/>
        <v>#DIV/0!</v>
      </c>
      <c r="F39" s="925">
        <f>SUMIF(修正!A45:A56,G2,修正!H45:H56)</f>
        <v>0</v>
      </c>
      <c r="G39" s="228" t="e">
        <f>ROUND(IF(E2="工业",C39*$M$39,C39*$M$38),0)</f>
        <v>#DIV/0!</v>
      </c>
      <c r="H39" s="228">
        <f t="shared" si="8"/>
        <v>0</v>
      </c>
      <c r="I39" s="228" t="e">
        <f t="shared" si="9"/>
        <v>#DIV/0!</v>
      </c>
      <c r="J39" s="2848"/>
      <c r="K39" s="1363"/>
      <c r="L39" s="2849" t="s">
        <v>2867</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8" t="s">
        <v>3035</v>
      </c>
      <c r="C41" s="387" t="e">
        <f>ROUND(POWER(1+E41,H41-G41)*(POWER(1+E41,G41)-1)/(POWER(1+E41,H41)-1),4)</f>
        <v>#DIV/0!</v>
      </c>
      <c r="D41" s="199" t="s">
        <v>2874</v>
      </c>
      <c r="E41" s="2917">
        <f>G20</f>
        <v>0</v>
      </c>
      <c r="F41" s="199" t="s">
        <v>2883</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 thickBot="1">
      <c r="A45" s="2852" t="s">
        <v>2925</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4.4">
      <c r="A46" s="2854" t="s">
        <v>2926</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5.2">
      <c r="A47" s="2858" t="s">
        <v>2927</v>
      </c>
      <c r="B47" s="1802" t="s">
        <v>2928</v>
      </c>
      <c r="C47" s="1802" t="s">
        <v>2929</v>
      </c>
      <c r="D47" s="1802" t="s">
        <v>2930</v>
      </c>
      <c r="E47" s="812" t="s">
        <v>2931</v>
      </c>
      <c r="F47" s="2859" t="s">
        <v>2932</v>
      </c>
      <c r="G47" s="1802" t="s">
        <v>754</v>
      </c>
      <c r="H47" s="2860" t="s">
        <v>2933</v>
      </c>
      <c r="I47" s="1802" t="s">
        <v>2934</v>
      </c>
      <c r="J47" s="602" t="s">
        <v>2582</v>
      </c>
      <c r="K47" s="602" t="s">
        <v>2583</v>
      </c>
      <c r="L47" s="602" t="s">
        <v>2584</v>
      </c>
      <c r="M47" s="602" t="s">
        <v>2585</v>
      </c>
      <c r="N47" s="602" t="s">
        <v>2586</v>
      </c>
      <c r="AA47" s="1364"/>
      <c r="AB47" s="1364"/>
      <c r="AC47" s="1364"/>
      <c r="AD47" s="1364"/>
      <c r="AE47" s="1364"/>
      <c r="AF47" s="1364"/>
      <c r="AG47" s="1364"/>
      <c r="AH47" s="1364"/>
      <c r="AI47" s="1364"/>
      <c r="AJ47" s="1364"/>
      <c r="AK47" s="1364"/>
    </row>
    <row r="48" spans="1:37" s="1363" customFormat="1" ht="25.2">
      <c r="A48" s="2858" t="s">
        <v>2935</v>
      </c>
      <c r="B48" s="2861" t="str">
        <f>估价对象房地状况!C4</f>
        <v>较好</v>
      </c>
      <c r="C48" s="2758"/>
      <c r="D48" s="1279">
        <f t="shared" ref="D48:D56" si="10">SUMIF($J$47:$N$47,C48,J48:N48)</f>
        <v>0</v>
      </c>
      <c r="E48" s="814">
        <f>ROUND(SUM(D48:D56),4)</f>
        <v>0</v>
      </c>
      <c r="F48" s="2490"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24">
      <c r="A49" s="2858" t="s">
        <v>2936</v>
      </c>
      <c r="B49" s="2862" t="str">
        <f>估价对象房地状况!C18</f>
        <v>较好</v>
      </c>
      <c r="C49" s="2758"/>
      <c r="D49" s="1279">
        <f t="shared" si="10"/>
        <v>0</v>
      </c>
      <c r="E49" s="815"/>
      <c r="F49" s="2490"/>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2937</v>
      </c>
      <c r="B50" s="2862">
        <f>估价对象房地状况!C19</f>
        <v>0</v>
      </c>
      <c r="C50" s="2758"/>
      <c r="D50" s="1279">
        <f t="shared" si="10"/>
        <v>0</v>
      </c>
      <c r="E50" s="815"/>
      <c r="F50" s="2490"/>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8" t="s">
        <v>2938</v>
      </c>
      <c r="B51" s="2863" t="s">
        <v>2939</v>
      </c>
      <c r="C51" s="2758"/>
      <c r="D51" s="1279">
        <f t="shared" si="10"/>
        <v>0</v>
      </c>
      <c r="E51" s="815"/>
      <c r="F51" s="2490"/>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8" t="s">
        <v>2940</v>
      </c>
      <c r="B52" s="2862">
        <f>估价对象房地状况!C24</f>
        <v>0</v>
      </c>
      <c r="C52" s="2758"/>
      <c r="D52" s="1279">
        <f t="shared" si="10"/>
        <v>0</v>
      </c>
      <c r="E52" s="815"/>
      <c r="F52" s="2490"/>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8" t="s">
        <v>2941</v>
      </c>
      <c r="B53" s="2864" t="s">
        <v>2942</v>
      </c>
      <c r="C53" s="2758"/>
      <c r="D53" s="1279">
        <f t="shared" si="10"/>
        <v>0</v>
      </c>
      <c r="E53" s="815"/>
      <c r="F53" s="2490"/>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65" t="s">
        <v>2943</v>
      </c>
      <c r="B54" s="1718" t="str">
        <f>估价对象房地状况!C21</f>
        <v>较好</v>
      </c>
      <c r="C54" s="2758"/>
      <c r="D54" s="1279">
        <f t="shared" si="10"/>
        <v>0</v>
      </c>
      <c r="E54" s="815"/>
      <c r="F54" s="2490"/>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2944</v>
      </c>
      <c r="B55" s="2862" t="str">
        <f>估价对象房地状况!C22</f>
        <v>六通</v>
      </c>
      <c r="C55" s="2758"/>
      <c r="D55" s="1279">
        <f t="shared" si="10"/>
        <v>0</v>
      </c>
      <c r="E55" s="815"/>
      <c r="F55" s="2490"/>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6.6" thickBot="1">
      <c r="A56" s="2866" t="s">
        <v>2945</v>
      </c>
      <c r="B56" s="2867" t="str">
        <f>估价对象房地状况!C20</f>
        <v>较好</v>
      </c>
      <c r="C56" s="2758"/>
      <c r="D56" s="1279">
        <f t="shared" si="10"/>
        <v>0</v>
      </c>
      <c r="E56" s="818"/>
      <c r="F56" s="2490"/>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4" t="s">
        <v>2946</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8" t="s">
        <v>2927</v>
      </c>
      <c r="B58" s="1802"/>
      <c r="C58" s="1802" t="s">
        <v>2929</v>
      </c>
      <c r="D58" s="1802" t="s">
        <v>2930</v>
      </c>
      <c r="E58" s="812" t="s">
        <v>2931</v>
      </c>
      <c r="F58" s="2859" t="s">
        <v>2947</v>
      </c>
      <c r="G58" s="1802" t="s">
        <v>754</v>
      </c>
      <c r="H58" s="2860" t="s">
        <v>2933</v>
      </c>
      <c r="I58" s="1802" t="s">
        <v>2934</v>
      </c>
      <c r="J58" s="602" t="s">
        <v>2582</v>
      </c>
      <c r="K58" s="602" t="s">
        <v>2583</v>
      </c>
      <c r="L58" s="602" t="s">
        <v>2584</v>
      </c>
      <c r="M58" s="602" t="s">
        <v>2585</v>
      </c>
      <c r="N58" s="602" t="s">
        <v>2586</v>
      </c>
      <c r="AA58" s="1364"/>
      <c r="AB58" s="1364"/>
      <c r="AC58" s="1364"/>
      <c r="AD58" s="1364"/>
      <c r="AE58" s="1364"/>
      <c r="AF58" s="1364"/>
      <c r="AG58" s="1364"/>
      <c r="AH58" s="1364"/>
      <c r="AI58" s="1364"/>
      <c r="AJ58" s="1364"/>
      <c r="AK58" s="1364"/>
    </row>
    <row r="59" spans="1:37" s="1363" customFormat="1" ht="24">
      <c r="A59" s="2858" t="s">
        <v>2948</v>
      </c>
      <c r="B59" s="2861" t="str">
        <f>估价对象房地状况!C17</f>
        <v>较好</v>
      </c>
      <c r="C59" s="2758"/>
      <c r="D59" s="1279">
        <f t="shared" ref="D59:D67" si="15">SUMIF($J$58:$N$58,C59,J59:N59)</f>
        <v>0</v>
      </c>
      <c r="E59" s="814">
        <f>ROUND(SUM(D59:D67),4)</f>
        <v>0</v>
      </c>
      <c r="F59" s="2490"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24">
      <c r="A60" s="2858" t="s">
        <v>2936</v>
      </c>
      <c r="B60" s="2862" t="str">
        <f>估价对象房地状况!C18</f>
        <v>较好</v>
      </c>
      <c r="C60" s="2758"/>
      <c r="D60" s="1279">
        <f t="shared" si="15"/>
        <v>0</v>
      </c>
      <c r="E60" s="815"/>
      <c r="F60" s="2490"/>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2937</v>
      </c>
      <c r="B61" s="2862">
        <f>估价对象房地状况!C19</f>
        <v>0</v>
      </c>
      <c r="C61" s="2758"/>
      <c r="D61" s="1279">
        <f t="shared" si="15"/>
        <v>0</v>
      </c>
      <c r="E61" s="815"/>
      <c r="F61" s="2490"/>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8" t="s">
        <v>2938</v>
      </c>
      <c r="B62" s="2863" t="s">
        <v>2939</v>
      </c>
      <c r="C62" s="2758"/>
      <c r="D62" s="1279">
        <f t="shared" si="15"/>
        <v>0</v>
      </c>
      <c r="E62" s="815"/>
      <c r="F62" s="2490"/>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8" t="s">
        <v>2940</v>
      </c>
      <c r="B63" s="2862">
        <f>估价对象房地状况!C24</f>
        <v>0</v>
      </c>
      <c r="C63" s="2758"/>
      <c r="D63" s="1279">
        <f t="shared" si="15"/>
        <v>0</v>
      </c>
      <c r="E63" s="815"/>
      <c r="F63" s="2490"/>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8" t="s">
        <v>2941</v>
      </c>
      <c r="B64" s="2864" t="s">
        <v>2942</v>
      </c>
      <c r="C64" s="2758"/>
      <c r="D64" s="1279">
        <f t="shared" si="15"/>
        <v>0</v>
      </c>
      <c r="E64" s="815"/>
      <c r="F64" s="2490"/>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58" t="s">
        <v>2943</v>
      </c>
      <c r="B65" s="1718" t="str">
        <f>估价对象房地状况!C21</f>
        <v>较好</v>
      </c>
      <c r="C65" s="2758"/>
      <c r="D65" s="1279">
        <f t="shared" si="15"/>
        <v>0</v>
      </c>
      <c r="E65" s="815"/>
      <c r="F65" s="2490"/>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2944</v>
      </c>
      <c r="B66" s="1718" t="str">
        <f>估价对象房地状况!C22</f>
        <v>六通</v>
      </c>
      <c r="C66" s="2758"/>
      <c r="D66" s="1279">
        <f t="shared" si="15"/>
        <v>0</v>
      </c>
      <c r="E66" s="815"/>
      <c r="F66" s="2490"/>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6.6" thickBot="1">
      <c r="A67" s="2866" t="s">
        <v>2945</v>
      </c>
      <c r="B67" s="2868" t="str">
        <f>估价对象房地状况!C20</f>
        <v>较好</v>
      </c>
      <c r="C67" s="2758"/>
      <c r="D67" s="1279">
        <f t="shared" si="15"/>
        <v>0</v>
      </c>
      <c r="E67" s="818"/>
      <c r="F67" s="2490"/>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4" t="s">
        <v>2949</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8" t="s">
        <v>2927</v>
      </c>
      <c r="B69" s="1802"/>
      <c r="C69" s="1802" t="s">
        <v>2929</v>
      </c>
      <c r="D69" s="1802" t="s">
        <v>2930</v>
      </c>
      <c r="E69" s="812" t="s">
        <v>2931</v>
      </c>
      <c r="F69" s="2859" t="s">
        <v>2947</v>
      </c>
      <c r="G69" s="1802" t="s">
        <v>754</v>
      </c>
      <c r="H69" s="2860" t="s">
        <v>2933</v>
      </c>
      <c r="I69" s="1802" t="s">
        <v>2934</v>
      </c>
      <c r="J69" s="602" t="s">
        <v>2582</v>
      </c>
      <c r="K69" s="602" t="s">
        <v>2583</v>
      </c>
      <c r="L69" s="602" t="s">
        <v>2584</v>
      </c>
      <c r="M69" s="602" t="s">
        <v>2585</v>
      </c>
      <c r="N69" s="602" t="s">
        <v>2586</v>
      </c>
      <c r="AA69" s="1364"/>
      <c r="AB69" s="1364"/>
      <c r="AC69" s="1364"/>
      <c r="AD69" s="1364"/>
      <c r="AE69" s="1364"/>
      <c r="AF69" s="1364"/>
      <c r="AG69" s="1364"/>
      <c r="AH69" s="1364"/>
      <c r="AI69" s="1364"/>
      <c r="AJ69" s="1364"/>
      <c r="AK69" s="1364"/>
    </row>
    <row r="70" spans="1:37" s="1363" customFormat="1" ht="24">
      <c r="A70" s="2858" t="s">
        <v>2950</v>
      </c>
      <c r="B70" s="2861" t="str">
        <f>估价对象房地状况!C15</f>
        <v>较好</v>
      </c>
      <c r="C70" s="2758"/>
      <c r="D70" s="1279">
        <f t="shared" ref="D70:D78" si="20">SUMIF($J$69:$N$69,C70,J70:N70)</f>
        <v>0</v>
      </c>
      <c r="E70" s="814">
        <f>ROUND(SUM(D70:D78),4)</f>
        <v>0</v>
      </c>
      <c r="F70" s="2490"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24">
      <c r="A71" s="2858" t="s">
        <v>2936</v>
      </c>
      <c r="B71" s="2862" t="str">
        <f>估价对象房地状况!C18</f>
        <v>较好</v>
      </c>
      <c r="C71" s="2758"/>
      <c r="D71" s="1279">
        <f t="shared" si="20"/>
        <v>0</v>
      </c>
      <c r="E71" s="819"/>
      <c r="F71" s="2490"/>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2937</v>
      </c>
      <c r="B72" s="2862">
        <f>估价对象房地状况!C19</f>
        <v>0</v>
      </c>
      <c r="C72" s="2758"/>
      <c r="D72" s="1279">
        <f t="shared" si="20"/>
        <v>0</v>
      </c>
      <c r="E72" s="819"/>
      <c r="F72" s="2490"/>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8" t="s">
        <v>2951</v>
      </c>
      <c r="B73" s="2862">
        <f>估价对象房地状况!C24</f>
        <v>0</v>
      </c>
      <c r="C73" s="2758"/>
      <c r="D73" s="1279">
        <f t="shared" si="20"/>
        <v>0</v>
      </c>
      <c r="E73" s="819"/>
      <c r="F73" s="2490"/>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58" t="s">
        <v>2943</v>
      </c>
      <c r="B74" s="1718" t="str">
        <f>估价对象房地状况!C21</f>
        <v>较好</v>
      </c>
      <c r="C74" s="2758"/>
      <c r="D74" s="1279">
        <f t="shared" si="20"/>
        <v>0</v>
      </c>
      <c r="E74" s="819"/>
      <c r="F74" s="2490"/>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2944</v>
      </c>
      <c r="B75" s="1718" t="str">
        <f>估价对象房地状况!C22</f>
        <v>六通</v>
      </c>
      <c r="C75" s="2758"/>
      <c r="D75" s="1279">
        <f t="shared" si="20"/>
        <v>0</v>
      </c>
      <c r="E75" s="819"/>
      <c r="F75" s="2490"/>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36">
      <c r="A76" s="2858" t="s">
        <v>2941</v>
      </c>
      <c r="B76" s="2864" t="s">
        <v>2942</v>
      </c>
      <c r="C76" s="2758"/>
      <c r="D76" s="1279">
        <f t="shared" si="20"/>
        <v>0</v>
      </c>
      <c r="E76" s="819"/>
      <c r="F76" s="2490"/>
      <c r="G76" s="1277"/>
      <c r="H76" s="1281" t="str">
        <f t="shared" si="21"/>
        <v>——</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36">
      <c r="A77" s="2858" t="s">
        <v>2945</v>
      </c>
      <c r="B77" s="2861" t="str">
        <f>估价对象房地状况!C20</f>
        <v>较好</v>
      </c>
      <c r="C77" s="2758"/>
      <c r="D77" s="1279">
        <f t="shared" si="20"/>
        <v>0</v>
      </c>
      <c r="E77" s="819"/>
      <c r="F77" s="2490"/>
      <c r="G77" s="1277"/>
      <c r="H77" s="1281" t="str">
        <f t="shared" si="21"/>
        <v>——</v>
      </c>
      <c r="I77" s="813">
        <v>0.15</v>
      </c>
      <c r="J77" s="1278">
        <f t="shared" si="22"/>
        <v>0</v>
      </c>
      <c r="K77" s="1278">
        <f t="shared" si="23"/>
        <v>0</v>
      </c>
      <c r="L77" s="1278">
        <v>0</v>
      </c>
      <c r="M77" s="1278">
        <f t="shared" si="24"/>
        <v>0</v>
      </c>
      <c r="N77" s="1278">
        <f t="shared" si="24"/>
        <v>0</v>
      </c>
      <c r="Z77" s="2708"/>
      <c r="AA77" s="2776"/>
      <c r="AG77" s="1365"/>
      <c r="AK77" s="2776"/>
    </row>
    <row r="78" spans="1:37" ht="36.6" thickBot="1">
      <c r="A78" s="2866" t="s">
        <v>2952</v>
      </c>
      <c r="B78" s="2870"/>
      <c r="C78" s="2758"/>
      <c r="D78" s="1279">
        <f t="shared" si="20"/>
        <v>0</v>
      </c>
      <c r="E78" s="820"/>
      <c r="F78" s="2490"/>
      <c r="G78" s="1277"/>
      <c r="H78" s="1281" t="str">
        <f t="shared" si="21"/>
        <v>——</v>
      </c>
      <c r="I78" s="817">
        <v>0.04</v>
      </c>
      <c r="J78" s="1278">
        <f t="shared" si="22"/>
        <v>0</v>
      </c>
      <c r="K78" s="1278">
        <f t="shared" si="23"/>
        <v>0</v>
      </c>
      <c r="L78" s="1278">
        <v>0</v>
      </c>
      <c r="M78" s="1278">
        <f t="shared" si="24"/>
        <v>0</v>
      </c>
      <c r="N78" s="1278">
        <f t="shared" si="24"/>
        <v>0</v>
      </c>
      <c r="Z78" s="2708"/>
      <c r="AA78" s="2776"/>
      <c r="AG78" s="1365"/>
      <c r="AK78" s="2776"/>
    </row>
    <row r="79" spans="1:37" ht="14.4">
      <c r="A79" s="2854" t="s">
        <v>2953</v>
      </c>
      <c r="B79" s="2855">
        <f>1+E81</f>
        <v>1</v>
      </c>
      <c r="C79" s="807"/>
      <c r="D79" s="807"/>
      <c r="E79" s="808"/>
      <c r="F79" s="2857"/>
      <c r="G79" s="6"/>
      <c r="H79" s="6"/>
      <c r="I79" s="6"/>
      <c r="J79" s="7"/>
      <c r="K79" s="7"/>
      <c r="L79" s="7"/>
      <c r="M79" s="7"/>
      <c r="N79" s="7"/>
      <c r="Z79" s="2708"/>
      <c r="AA79" s="2776"/>
      <c r="AG79" s="1365"/>
      <c r="AK79" s="2776"/>
    </row>
    <row r="80" spans="1:37" ht="25.2">
      <c r="A80" s="2858" t="s">
        <v>2927</v>
      </c>
      <c r="B80" s="1802"/>
      <c r="C80" s="1802" t="s">
        <v>2929</v>
      </c>
      <c r="D80" s="1802" t="s">
        <v>2930</v>
      </c>
      <c r="E80" s="812" t="s">
        <v>2931</v>
      </c>
      <c r="F80" s="2859" t="s">
        <v>2947</v>
      </c>
      <c r="G80" s="1802" t="s">
        <v>754</v>
      </c>
      <c r="H80" s="2860" t="s">
        <v>2933</v>
      </c>
      <c r="I80" s="1802" t="s">
        <v>2934</v>
      </c>
      <c r="J80" s="602" t="s">
        <v>2582</v>
      </c>
      <c r="K80" s="602" t="s">
        <v>2583</v>
      </c>
      <c r="L80" s="602" t="s">
        <v>2584</v>
      </c>
      <c r="M80" s="602" t="s">
        <v>2585</v>
      </c>
      <c r="N80" s="602" t="s">
        <v>2586</v>
      </c>
      <c r="Z80" s="2708"/>
      <c r="AA80" s="2776"/>
      <c r="AG80" s="1365"/>
      <c r="AK80" s="2776"/>
    </row>
    <row r="81" spans="1:37" ht="39.6">
      <c r="A81" s="2858" t="s">
        <v>2954</v>
      </c>
      <c r="B81" s="2862" t="str">
        <f>估价对象房地状况!G15</f>
        <v>估价对象位于XX开发区，园区建设成熟度XX，产业集聚程度XX</v>
      </c>
      <c r="C81" s="2758"/>
      <c r="D81" s="1279">
        <f t="shared" ref="D81:D88" si="25">SUMIF($J$80:$N$80,C81,J81:N81)</f>
        <v>0</v>
      </c>
      <c r="E81" s="814">
        <f>ROUND(SUM(D81:D88),4)</f>
        <v>0</v>
      </c>
      <c r="F81" s="2490"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66">
      <c r="A82" s="2858" t="s">
        <v>2936</v>
      </c>
      <c r="B82" s="2862" t="str">
        <f>估价对象房地状况!G16</f>
        <v>估价对象周边道路状况、公共交通通达情况、停车便捷程度，综合评价交通便捷度较好</v>
      </c>
      <c r="C82" s="2758"/>
      <c r="D82" s="1279">
        <f t="shared" si="25"/>
        <v>0</v>
      </c>
      <c r="E82" s="819"/>
      <c r="F82" s="2490"/>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2937</v>
      </c>
      <c r="B83" s="2862">
        <f>估价对象房地状况!G17</f>
        <v>0</v>
      </c>
      <c r="C83" s="2758"/>
      <c r="D83" s="1279">
        <f t="shared" si="25"/>
        <v>0</v>
      </c>
      <c r="E83" s="819"/>
      <c r="F83" s="2490"/>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3.8">
      <c r="A84" s="2858" t="s">
        <v>2951</v>
      </c>
      <c r="B84" s="2862">
        <f>估价对象房地状况!G22</f>
        <v>0</v>
      </c>
      <c r="C84" s="2758"/>
      <c r="D84" s="1279">
        <f t="shared" si="25"/>
        <v>0</v>
      </c>
      <c r="E84" s="819"/>
      <c r="F84" s="2490"/>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6.4">
      <c r="A85" s="2858" t="s">
        <v>2943</v>
      </c>
      <c r="B85" s="1718" t="str">
        <f>估价对象房地状况!G19</f>
        <v>估价对象所在区域公共配套设施齐备情况</v>
      </c>
      <c r="C85" s="2758"/>
      <c r="D85" s="1279">
        <f t="shared" si="25"/>
        <v>0</v>
      </c>
      <c r="E85" s="819"/>
      <c r="F85" s="2490"/>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6.4">
      <c r="A86" s="2858" t="s">
        <v>2944</v>
      </c>
      <c r="B86" s="1718" t="str">
        <f>估价对象房地状况!G20</f>
        <v>估价对象所在区域基础设施水平</v>
      </c>
      <c r="C86" s="2758"/>
      <c r="D86" s="1279">
        <f t="shared" si="25"/>
        <v>0</v>
      </c>
      <c r="E86" s="819"/>
      <c r="F86" s="2490"/>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36">
      <c r="A87" s="2858" t="s">
        <v>2941</v>
      </c>
      <c r="B87" s="2864" t="s">
        <v>2955</v>
      </c>
      <c r="C87" s="2758"/>
      <c r="D87" s="1279">
        <f t="shared" si="25"/>
        <v>0</v>
      </c>
      <c r="E87" s="819"/>
      <c r="F87" s="2490"/>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53.4" thickBot="1">
      <c r="A88" s="2866" t="s">
        <v>2956</v>
      </c>
      <c r="B88" s="2871" t="str">
        <f>估价对象房地状况!G18</f>
        <v>该园区内是否有污染型企业，绿化情况，卫生条件，整体环境状况判断</v>
      </c>
      <c r="C88" s="2758"/>
      <c r="D88" s="1279">
        <f t="shared" si="25"/>
        <v>0</v>
      </c>
      <c r="E88" s="820"/>
      <c r="F88" s="2490"/>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304" t="s">
        <v>2957</v>
      </c>
      <c r="B90" s="3304"/>
      <c r="C90" s="3304"/>
      <c r="D90" s="3304"/>
      <c r="E90" s="3304"/>
      <c r="F90" s="3304"/>
      <c r="G90" s="3304"/>
      <c r="H90" s="3304"/>
      <c r="I90" s="3304"/>
      <c r="J90" s="3304"/>
      <c r="K90" s="2872"/>
      <c r="L90" s="2872"/>
      <c r="M90" s="2872"/>
      <c r="N90" s="2872"/>
    </row>
    <row r="91" spans="1:37">
      <c r="A91" s="3306" t="s">
        <v>2958</v>
      </c>
      <c r="B91" s="3306" t="s">
        <v>2959</v>
      </c>
      <c r="C91" s="2826" t="s">
        <v>2960</v>
      </c>
      <c r="D91" s="2827"/>
      <c r="E91" s="2827"/>
      <c r="F91" s="2827"/>
      <c r="G91" s="2827"/>
      <c r="H91" s="2827"/>
      <c r="I91" s="2827"/>
      <c r="J91" s="2873"/>
      <c r="K91" s="2874"/>
      <c r="L91" s="2874"/>
      <c r="M91" s="2874"/>
      <c r="N91" s="2874"/>
    </row>
    <row r="92" spans="1:37">
      <c r="A92" s="3306"/>
      <c r="B92" s="3306"/>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307" t="s">
        <v>2961</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308"/>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308"/>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308"/>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308"/>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308"/>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308"/>
      <c r="B99" s="2875" t="s">
        <v>2842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309"/>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307" t="s">
        <v>2962</v>
      </c>
      <c r="B101" s="2879" t="s">
        <v>2963</v>
      </c>
      <c r="C101" s="2880">
        <f>$G$3</f>
        <v>2.57</v>
      </c>
      <c r="D101" s="2880">
        <f t="shared" ref="D101:N101" si="31">$G$3</f>
        <v>2.57</v>
      </c>
      <c r="E101" s="2880">
        <f t="shared" si="31"/>
        <v>2.57</v>
      </c>
      <c r="F101" s="2880">
        <f t="shared" si="31"/>
        <v>2.57</v>
      </c>
      <c r="G101" s="2880">
        <f t="shared" si="31"/>
        <v>2.57</v>
      </c>
      <c r="H101" s="2880">
        <f t="shared" si="31"/>
        <v>2.57</v>
      </c>
      <c r="I101" s="2880">
        <f t="shared" si="31"/>
        <v>2.57</v>
      </c>
      <c r="J101" s="2880">
        <f t="shared" si="31"/>
        <v>2.57</v>
      </c>
      <c r="K101" s="2880">
        <f t="shared" si="31"/>
        <v>2.57</v>
      </c>
      <c r="L101" s="2880">
        <f t="shared" si="31"/>
        <v>2.57</v>
      </c>
      <c r="M101" s="2880">
        <f t="shared" si="31"/>
        <v>2.57</v>
      </c>
      <c r="N101" s="2880">
        <f t="shared" si="31"/>
        <v>2.57</v>
      </c>
    </row>
    <row r="102" spans="1:14">
      <c r="A102" s="3308"/>
      <c r="B102" s="2875">
        <v>1</v>
      </c>
      <c r="C102" s="2876">
        <f>1.9362/C101</f>
        <v>0.75338521400778213</v>
      </c>
      <c r="D102" s="2876">
        <f>1.9362/D101</f>
        <v>0.75338521400778213</v>
      </c>
      <c r="E102" s="2876">
        <f>1.8629/E101</f>
        <v>0.72486381322957205</v>
      </c>
      <c r="F102" s="2876">
        <f>1.8629/F101</f>
        <v>0.72486381322957205</v>
      </c>
      <c r="G102" s="2876">
        <f>1.8629/G101</f>
        <v>0.72486381322957205</v>
      </c>
      <c r="H102" s="2876">
        <f>1.8629/H101</f>
        <v>0.72486381322957205</v>
      </c>
      <c r="I102" s="2876">
        <f>1.8629/I101</f>
        <v>0.72486381322957205</v>
      </c>
      <c r="J102" s="2876">
        <f>1.942/J101</f>
        <v>0.75564202334630348</v>
      </c>
      <c r="K102" s="2876">
        <f>1.942/K101</f>
        <v>0.75564202334630348</v>
      </c>
      <c r="L102" s="2876">
        <f>1.942/L101</f>
        <v>0.75564202334630348</v>
      </c>
      <c r="M102" s="2876">
        <f>1.942/M101</f>
        <v>0.75564202334630348</v>
      </c>
      <c r="N102" s="2876">
        <f>1.942/N101</f>
        <v>0.75564202334630348</v>
      </c>
    </row>
    <row r="103" spans="1:14">
      <c r="A103" s="3308"/>
      <c r="B103" s="2875">
        <v>2</v>
      </c>
      <c r="C103" s="2876">
        <f>1.4198/C101</f>
        <v>0.55245136186770427</v>
      </c>
      <c r="D103" s="2876">
        <f>1.4198/D101</f>
        <v>0.55245136186770427</v>
      </c>
      <c r="E103" s="2876">
        <f>1.3372/E101</f>
        <v>0.52031128404669258</v>
      </c>
      <c r="F103" s="2876">
        <f>1.3372/F101</f>
        <v>0.52031128404669258</v>
      </c>
      <c r="G103" s="2876">
        <f>1.3372/G101</f>
        <v>0.52031128404669258</v>
      </c>
      <c r="H103" s="2876">
        <f>1.3372/H101</f>
        <v>0.52031128404669258</v>
      </c>
      <c r="I103" s="2876">
        <f>1.3372/I101</f>
        <v>0.52031128404669258</v>
      </c>
      <c r="J103" s="2876">
        <f>1.2799/J101</f>
        <v>0.49801556420233467</v>
      </c>
      <c r="K103" s="2876">
        <f>1.2799/K101</f>
        <v>0.49801556420233467</v>
      </c>
      <c r="L103" s="2876">
        <f>1.2799/L101</f>
        <v>0.49801556420233467</v>
      </c>
      <c r="M103" s="2876">
        <f>1.2799/M101</f>
        <v>0.49801556420233467</v>
      </c>
      <c r="N103" s="2876">
        <f>1.2799/N101</f>
        <v>0.49801556420233467</v>
      </c>
    </row>
    <row r="104" spans="1:14">
      <c r="A104" s="3308"/>
      <c r="B104" s="2875">
        <v>3</v>
      </c>
      <c r="C104" s="2876">
        <f>1.1594/C101</f>
        <v>0.45112840466926074</v>
      </c>
      <c r="D104" s="2876">
        <f>1.1594/D101</f>
        <v>0.45112840466926074</v>
      </c>
      <c r="E104" s="2876">
        <f>1.0788/E101</f>
        <v>0.41976653696498056</v>
      </c>
      <c r="F104" s="2876">
        <f>1.0788/F101</f>
        <v>0.41976653696498056</v>
      </c>
      <c r="G104" s="2876">
        <f>1.0788/G101</f>
        <v>0.41976653696498056</v>
      </c>
      <c r="H104" s="2876">
        <f>1.0788/H101</f>
        <v>0.41976653696498056</v>
      </c>
      <c r="I104" s="2876">
        <f>1.0788/I101</f>
        <v>0.41976653696498056</v>
      </c>
      <c r="J104" s="2876">
        <f>1.0072/J101</f>
        <v>0.39190661478599226</v>
      </c>
      <c r="K104" s="2876">
        <f>1.0072/K101</f>
        <v>0.39190661478599226</v>
      </c>
      <c r="L104" s="2876">
        <f>1.0072/L101</f>
        <v>0.39190661478599226</v>
      </c>
      <c r="M104" s="2876">
        <f>1.0072/M101</f>
        <v>0.39190661478599226</v>
      </c>
      <c r="N104" s="2876">
        <f>1.0072/N101</f>
        <v>0.39190661478599226</v>
      </c>
    </row>
    <row r="105" spans="1:14">
      <c r="A105" s="3308"/>
      <c r="B105" s="2875">
        <v>4</v>
      </c>
      <c r="C105" s="2876">
        <f>0.9622/C101</f>
        <v>0.37439688715953312</v>
      </c>
      <c r="D105" s="2876">
        <f>0.9622/D101</f>
        <v>0.37439688715953312</v>
      </c>
      <c r="E105" s="2876">
        <f>0.8656/E101</f>
        <v>0.33680933852140083</v>
      </c>
      <c r="F105" s="2876">
        <f>0.8656/F101</f>
        <v>0.33680933852140083</v>
      </c>
      <c r="G105" s="2876">
        <f>0.8656/G101</f>
        <v>0.33680933852140083</v>
      </c>
      <c r="H105" s="2876">
        <f>0.8656/H101</f>
        <v>0.33680933852140083</v>
      </c>
      <c r="I105" s="2876">
        <f>0.8656/I101</f>
        <v>0.33680933852140083</v>
      </c>
      <c r="J105" s="2876">
        <f>0.7525/J101</f>
        <v>0.29280155642023348</v>
      </c>
      <c r="K105" s="2876">
        <f>0.7525/K101</f>
        <v>0.29280155642023348</v>
      </c>
      <c r="L105" s="2876">
        <f>0.7525/L101</f>
        <v>0.29280155642023348</v>
      </c>
      <c r="M105" s="2876">
        <f>0.7525/M101</f>
        <v>0.29280155642023348</v>
      </c>
      <c r="N105" s="2876">
        <f>0.7525/N101</f>
        <v>0.29280155642023348</v>
      </c>
    </row>
    <row r="106" spans="1:14">
      <c r="A106" s="3308"/>
      <c r="B106" s="2875">
        <v>5</v>
      </c>
      <c r="C106" s="2876">
        <f>0.8417/C101</f>
        <v>0.32750972762645919</v>
      </c>
      <c r="D106" s="2876">
        <f>0.8417/D101</f>
        <v>0.32750972762645919</v>
      </c>
      <c r="E106" s="2876">
        <f>0.7371/E101</f>
        <v>0.28680933852140078</v>
      </c>
      <c r="F106" s="2876">
        <f>0.7371/F101</f>
        <v>0.28680933852140078</v>
      </c>
      <c r="G106" s="2876">
        <f>0.7371/G101</f>
        <v>0.28680933852140078</v>
      </c>
      <c r="H106" s="2876">
        <f>0.7371/H101</f>
        <v>0.28680933852140078</v>
      </c>
      <c r="I106" s="2876">
        <f>0.7371/I101</f>
        <v>0.28680933852140078</v>
      </c>
      <c r="J106" s="2876">
        <f>0.5659/J101</f>
        <v>0.22019455252918288</v>
      </c>
      <c r="K106" s="2876">
        <f>0.5659/K101</f>
        <v>0.22019455252918288</v>
      </c>
      <c r="L106" s="2876">
        <f>0.5659/L101</f>
        <v>0.22019455252918288</v>
      </c>
      <c r="M106" s="2876">
        <f>0.5659/M101</f>
        <v>0.22019455252918288</v>
      </c>
      <c r="N106" s="2876">
        <f>0.5659/N101</f>
        <v>0.22019455252918288</v>
      </c>
    </row>
    <row r="107" spans="1:14">
      <c r="A107" s="3308"/>
      <c r="B107" s="2875">
        <v>6</v>
      </c>
      <c r="C107" s="2876">
        <f>0.7608/C101</f>
        <v>0.29603112840466927</v>
      </c>
      <c r="D107" s="2876">
        <f>0.7608/D101</f>
        <v>0.29603112840466927</v>
      </c>
      <c r="E107" s="2876">
        <f>0.6482/E101</f>
        <v>0.25221789883268486</v>
      </c>
      <c r="F107" s="2876">
        <f>0.6482/F101</f>
        <v>0.25221789883268486</v>
      </c>
      <c r="G107" s="2876">
        <f>0.6482/G101</f>
        <v>0.25221789883268486</v>
      </c>
      <c r="H107" s="2876">
        <f>0.6482/H101</f>
        <v>0.25221789883268486</v>
      </c>
      <c r="I107" s="2876">
        <f>0.6482/I101</f>
        <v>0.25221789883268486</v>
      </c>
      <c r="J107" s="2876">
        <f>0.4525/J101</f>
        <v>0.17607003891050585</v>
      </c>
      <c r="K107" s="2876">
        <f>0.4525/K101</f>
        <v>0.17607003891050585</v>
      </c>
      <c r="L107" s="2876">
        <f>0.4525/L101</f>
        <v>0.17607003891050585</v>
      </c>
      <c r="M107" s="2876">
        <f>0.4525/M101</f>
        <v>0.17607003891050585</v>
      </c>
      <c r="N107" s="2876">
        <f>0.4525/N101</f>
        <v>0.17607003891050585</v>
      </c>
    </row>
    <row r="108" spans="1:14">
      <c r="A108" s="3308"/>
      <c r="B108" s="3146" t="s">
        <v>2964</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309"/>
      <c r="B109" s="3147"/>
      <c r="C109" s="2878">
        <f>(-0.163*(C108^2)-0.59*C108+7617)*(10^(-4))/C101</f>
        <v>0.29638132295719849</v>
      </c>
      <c r="D109" s="2878">
        <f>(-0.163*(D108^2)-0.59*D108+7617)*(10^(-4))/D101</f>
        <v>0.29638132295719849</v>
      </c>
      <c r="E109" s="2878">
        <f>(-0.161*(E108^2)-7.509*E108+6533)*(10^(-4))/E101</f>
        <v>0.25420233463035019</v>
      </c>
      <c r="F109" s="2878">
        <f>(-0.161*(F108^2)-7.509*F108+6533)*(10^(-4))/F101</f>
        <v>0.25420233463035019</v>
      </c>
      <c r="G109" s="2878">
        <f>(-0.161*(G108^2)-7.509*G108+6533)*(10^(-4))/G101</f>
        <v>0.25420233463035019</v>
      </c>
      <c r="H109" s="2878">
        <f>(-0.161*(H108^2)-7.509*H108+6533)*(10^(-4))/H101</f>
        <v>0.25420233463035019</v>
      </c>
      <c r="I109" s="2878">
        <f>(-0.161*(I108^2)-7.509*I108+6533)*(10^(-4))/I101</f>
        <v>0.25420233463035019</v>
      </c>
      <c r="J109" s="2878">
        <f>(-0.214*(J108^2)-21.991*J108+4665)*(10^(-4))/J101</f>
        <v>0.18151750972762648</v>
      </c>
      <c r="K109" s="2878">
        <f>(-0.214*(K108^2)-21.991*K108+4665)*(10^(-4))/K101</f>
        <v>0.18151750972762648</v>
      </c>
      <c r="L109" s="2878">
        <f>(-0.214*(L108^2)-21.991*L108+4665)*(10^(-4))/L101</f>
        <v>0.18151750972762648</v>
      </c>
      <c r="M109" s="2878">
        <f>(-0.214*(M108^2)-21.991*M108+4665)*(10^(-4))/M101</f>
        <v>0.18151750972762648</v>
      </c>
      <c r="N109" s="2878">
        <f>(-0.214*(N108^2)-21.991*N108+4665)*(10^(-4))/N101</f>
        <v>0.18151750972762648</v>
      </c>
    </row>
    <row r="110" spans="1:14">
      <c r="A110" s="3305" t="s">
        <v>2965</v>
      </c>
      <c r="B110" s="3305"/>
      <c r="C110" s="3305"/>
      <c r="D110" s="3305"/>
      <c r="E110" s="3305"/>
      <c r="F110" s="3305"/>
      <c r="G110" s="3305"/>
      <c r="H110" s="3305"/>
      <c r="I110" s="3305"/>
      <c r="J110" s="3305"/>
      <c r="K110" s="2881"/>
      <c r="L110" s="2881"/>
      <c r="M110" s="2881"/>
      <c r="N110" s="2881"/>
    </row>
    <row r="112" spans="1:14" ht="13.8" thickBot="1"/>
    <row r="113" spans="1:13" ht="25.8" thickBot="1">
      <c r="A113" s="896" t="s">
        <v>2966</v>
      </c>
      <c r="B113" s="1280">
        <f>G3</f>
        <v>2.57</v>
      </c>
      <c r="C113" s="897" t="s">
        <v>2967</v>
      </c>
      <c r="D113" s="898">
        <f>SUMPRODUCT((A115:A118=F113)*(B114:M114=H113)*B115:M118)</f>
        <v>0</v>
      </c>
      <c r="E113" s="2712" t="s">
        <v>2799</v>
      </c>
      <c r="F113" s="2883">
        <f>E2</f>
        <v>0</v>
      </c>
      <c r="G113" s="2712" t="s">
        <v>2800</v>
      </c>
      <c r="H113" s="2883">
        <f>G2</f>
        <v>0</v>
      </c>
      <c r="I113" s="2712"/>
      <c r="J113" s="2884"/>
      <c r="K113" s="2884"/>
      <c r="L113" s="2884"/>
      <c r="M113" s="2884"/>
    </row>
    <row r="114" spans="1:13">
      <c r="A114" s="901"/>
      <c r="B114" s="2885" t="s">
        <v>2968</v>
      </c>
      <c r="C114" s="2885" t="s">
        <v>2969</v>
      </c>
      <c r="D114" s="2885" t="s">
        <v>2970</v>
      </c>
      <c r="E114" s="2886" t="s">
        <v>2971</v>
      </c>
      <c r="F114" s="2886" t="s">
        <v>2972</v>
      </c>
      <c r="G114" s="2886" t="s">
        <v>2973</v>
      </c>
      <c r="H114" s="2887" t="s">
        <v>2974</v>
      </c>
      <c r="I114" s="2887" t="s">
        <v>2975</v>
      </c>
      <c r="J114" s="2888" t="s">
        <v>2976</v>
      </c>
      <c r="K114" s="2888" t="s">
        <v>2977</v>
      </c>
      <c r="L114" s="2888" t="s">
        <v>2978</v>
      </c>
      <c r="M114" s="2889" t="s">
        <v>2979</v>
      </c>
    </row>
    <row r="115" spans="1:13">
      <c r="A115" s="902" t="s">
        <v>2864</v>
      </c>
      <c r="B115" s="903">
        <f>ROUND(0.9335-0.0094*B113,4)</f>
        <v>0.9093</v>
      </c>
      <c r="C115" s="903">
        <f>B115</f>
        <v>0.9093</v>
      </c>
      <c r="D115" s="903">
        <f>ROUND(0.8331-0.0109*B113,4)</f>
        <v>0.80510000000000004</v>
      </c>
      <c r="E115" s="903">
        <f>D115</f>
        <v>0.80510000000000004</v>
      </c>
      <c r="F115" s="903">
        <f>E115</f>
        <v>0.80510000000000004</v>
      </c>
      <c r="G115" s="903">
        <f>F115</f>
        <v>0.80510000000000004</v>
      </c>
      <c r="H115" s="903">
        <f>G115</f>
        <v>0.80510000000000004</v>
      </c>
      <c r="I115" s="903">
        <f>ROUND(0.689-0.0155*B113,4)</f>
        <v>0.6492</v>
      </c>
      <c r="J115" s="903">
        <f t="shared" ref="J115:M118" si="33">I115</f>
        <v>0.6492</v>
      </c>
      <c r="K115" s="903">
        <f t="shared" si="33"/>
        <v>0.6492</v>
      </c>
      <c r="L115" s="903">
        <f t="shared" si="33"/>
        <v>0.6492</v>
      </c>
      <c r="M115" s="904">
        <f t="shared" si="33"/>
        <v>0.6492</v>
      </c>
    </row>
    <row r="116" spans="1:13">
      <c r="A116" s="902" t="s">
        <v>2865</v>
      </c>
      <c r="B116" s="903">
        <f>ROUND(0.949-0.012*B113,4)</f>
        <v>0.91820000000000002</v>
      </c>
      <c r="C116" s="903">
        <f>B116</f>
        <v>0.91820000000000002</v>
      </c>
      <c r="D116" s="903">
        <f>ROUND(0.8567-0.013*B113,4)</f>
        <v>0.82330000000000003</v>
      </c>
      <c r="E116" s="903">
        <f t="shared" ref="E116:H117" si="34">D116</f>
        <v>0.82330000000000003</v>
      </c>
      <c r="F116" s="903">
        <f t="shared" si="34"/>
        <v>0.82330000000000003</v>
      </c>
      <c r="G116" s="903">
        <f t="shared" si="34"/>
        <v>0.82330000000000003</v>
      </c>
      <c r="H116" s="903">
        <f t="shared" si="34"/>
        <v>0.82330000000000003</v>
      </c>
      <c r="I116" s="903">
        <f>ROUND(0.7694-0.014*B113,4)</f>
        <v>0.73340000000000005</v>
      </c>
      <c r="J116" s="903">
        <f t="shared" si="33"/>
        <v>0.73340000000000005</v>
      </c>
      <c r="K116" s="903">
        <f t="shared" si="33"/>
        <v>0.73340000000000005</v>
      </c>
      <c r="L116" s="903">
        <f t="shared" si="33"/>
        <v>0.73340000000000005</v>
      </c>
      <c r="M116" s="904">
        <f t="shared" si="33"/>
        <v>0.73340000000000005</v>
      </c>
    </row>
    <row r="117" spans="1:13">
      <c r="A117" s="902" t="s">
        <v>2866</v>
      </c>
      <c r="B117" s="903">
        <f>ROUND(0.8808-0.006*B113,4)</f>
        <v>0.86539999999999995</v>
      </c>
      <c r="C117" s="903">
        <f>B117</f>
        <v>0.86539999999999995</v>
      </c>
      <c r="D117" s="903">
        <f>ROUND(0.8748-0.008*B113,4)</f>
        <v>0.85419999999999996</v>
      </c>
      <c r="E117" s="903">
        <f t="shared" si="34"/>
        <v>0.85419999999999996</v>
      </c>
      <c r="F117" s="903">
        <f t="shared" si="34"/>
        <v>0.85419999999999996</v>
      </c>
      <c r="G117" s="903">
        <f t="shared" si="34"/>
        <v>0.85419999999999996</v>
      </c>
      <c r="H117" s="903">
        <f t="shared" si="34"/>
        <v>0.85419999999999996</v>
      </c>
      <c r="I117" s="903">
        <f>ROUND(0.7412-0.0095*B113,4)</f>
        <v>0.71679999999999999</v>
      </c>
      <c r="J117" s="903">
        <f t="shared" si="33"/>
        <v>0.71679999999999999</v>
      </c>
      <c r="K117" s="903">
        <f t="shared" si="33"/>
        <v>0.71679999999999999</v>
      </c>
      <c r="L117" s="903">
        <f t="shared" si="33"/>
        <v>0.71679999999999999</v>
      </c>
      <c r="M117" s="904">
        <f t="shared" si="33"/>
        <v>0.71679999999999999</v>
      </c>
    </row>
    <row r="118" spans="1:13" ht="13.8" thickBot="1">
      <c r="A118" s="713" t="s">
        <v>2867</v>
      </c>
      <c r="B118" s="905">
        <f>ROUND(0.7275-0.01*B113,4)</f>
        <v>0.70179999999999998</v>
      </c>
      <c r="C118" s="905">
        <f>B118</f>
        <v>0.70179999999999998</v>
      </c>
      <c r="D118" s="905">
        <f>ROUND(0.7043-0.012*B113,4)</f>
        <v>0.67349999999999999</v>
      </c>
      <c r="E118" s="905">
        <f>D118</f>
        <v>0.67349999999999999</v>
      </c>
      <c r="F118" s="905">
        <f>E118</f>
        <v>0.67349999999999999</v>
      </c>
      <c r="G118" s="905">
        <f>ROUND(0.6299-0.0122*B113,4)</f>
        <v>0.59850000000000003</v>
      </c>
      <c r="H118" s="905">
        <f>G118</f>
        <v>0.59850000000000003</v>
      </c>
      <c r="I118" s="905">
        <f>ROUND(0.5667-0.0136*B113,4)</f>
        <v>0.53169999999999995</v>
      </c>
      <c r="J118" s="905">
        <f t="shared" si="33"/>
        <v>0.53169999999999995</v>
      </c>
      <c r="K118" s="905">
        <f t="shared" si="33"/>
        <v>0.53169999999999995</v>
      </c>
      <c r="L118" s="905">
        <f t="shared" si="33"/>
        <v>0.53169999999999995</v>
      </c>
      <c r="M118" s="906">
        <f t="shared" si="33"/>
        <v>0.53169999999999995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3037</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15" t="s">
        <v>183</v>
      </c>
      <c r="B18" s="875" t="s">
        <v>560</v>
      </c>
      <c r="C18" s="876" t="s">
        <v>561</v>
      </c>
      <c r="D18" s="877"/>
      <c r="E18" s="875">
        <v>1</v>
      </c>
      <c r="F18" s="878" t="s">
        <v>562</v>
      </c>
      <c r="G18" s="879"/>
      <c r="H18" s="871"/>
      <c r="I18" s="871"/>
    </row>
    <row r="19" spans="1:9" s="880" customFormat="1" ht="19.5" customHeight="1">
      <c r="A19" s="3315"/>
      <c r="B19" s="3315" t="s">
        <v>563</v>
      </c>
      <c r="C19" s="876" t="s">
        <v>564</v>
      </c>
      <c r="D19" s="877"/>
      <c r="E19" s="875">
        <v>0.9</v>
      </c>
      <c r="F19" s="878" t="s">
        <v>565</v>
      </c>
      <c r="G19" s="879"/>
      <c r="H19" s="871"/>
      <c r="I19" s="871"/>
    </row>
    <row r="20" spans="1:9" s="880" customFormat="1" ht="19.5" customHeight="1">
      <c r="A20" s="3315"/>
      <c r="B20" s="3315"/>
      <c r="C20" s="876" t="s">
        <v>566</v>
      </c>
      <c r="D20" s="877"/>
      <c r="E20" s="875">
        <v>1.1000000000000001</v>
      </c>
      <c r="F20" s="878" t="s">
        <v>567</v>
      </c>
      <c r="G20" s="879"/>
      <c r="H20" s="871"/>
      <c r="I20" s="871"/>
    </row>
    <row r="21" spans="1:9" s="880" customFormat="1" ht="19.5" customHeight="1">
      <c r="A21" s="3315"/>
      <c r="B21" s="3315"/>
      <c r="C21" s="876" t="s">
        <v>568</v>
      </c>
      <c r="D21" s="877"/>
      <c r="E21" s="875">
        <v>0.8</v>
      </c>
      <c r="F21" s="878" t="s">
        <v>569</v>
      </c>
      <c r="G21" s="879"/>
      <c r="H21" s="871"/>
      <c r="I21" s="871"/>
    </row>
    <row r="22" spans="1:9" s="880" customFormat="1" ht="19.5" customHeight="1">
      <c r="A22" s="3315"/>
      <c r="B22" s="3315"/>
      <c r="C22" s="876" t="s">
        <v>570</v>
      </c>
      <c r="D22" s="877"/>
      <c r="E22" s="875">
        <v>0.5</v>
      </c>
      <c r="F22" s="878"/>
      <c r="G22" s="879"/>
      <c r="H22" s="871"/>
      <c r="I22" s="871"/>
    </row>
    <row r="23" spans="1:9" s="880" customFormat="1" ht="19.5" customHeight="1">
      <c r="A23" s="3315" t="s">
        <v>184</v>
      </c>
      <c r="B23" s="875" t="s">
        <v>560</v>
      </c>
      <c r="C23" s="876" t="s">
        <v>571</v>
      </c>
      <c r="D23" s="877"/>
      <c r="E23" s="875">
        <v>1</v>
      </c>
      <c r="F23" s="878" t="s">
        <v>572</v>
      </c>
      <c r="G23" s="879"/>
      <c r="H23" s="871"/>
      <c r="I23" s="871"/>
    </row>
    <row r="24" spans="1:9" s="880" customFormat="1" ht="19.5" customHeight="1">
      <c r="A24" s="3315"/>
      <c r="B24" s="3315" t="s">
        <v>563</v>
      </c>
      <c r="C24" s="876" t="s">
        <v>573</v>
      </c>
      <c r="D24" s="877"/>
      <c r="E24" s="875">
        <v>0.5</v>
      </c>
      <c r="F24" s="878"/>
      <c r="G24" s="879"/>
      <c r="H24" s="871"/>
      <c r="I24" s="871"/>
    </row>
    <row r="25" spans="1:9" s="880" customFormat="1" ht="19.5" customHeight="1">
      <c r="A25" s="3315"/>
      <c r="B25" s="3315"/>
      <c r="C25" s="876" t="s">
        <v>574</v>
      </c>
      <c r="D25" s="877"/>
      <c r="E25" s="875">
        <v>1.1000000000000001</v>
      </c>
      <c r="F25" s="878"/>
      <c r="G25" s="879"/>
      <c r="H25" s="871"/>
      <c r="I25" s="871"/>
    </row>
    <row r="26" spans="1:9" s="880" customFormat="1" ht="19.5" customHeight="1">
      <c r="A26" s="3315"/>
      <c r="B26" s="3315"/>
      <c r="C26" s="876" t="s">
        <v>575</v>
      </c>
      <c r="D26" s="877"/>
      <c r="E26" s="875">
        <v>1.1000000000000001</v>
      </c>
      <c r="F26" s="878"/>
      <c r="G26" s="879"/>
      <c r="H26" s="871"/>
      <c r="I26" s="871"/>
    </row>
    <row r="27" spans="1:9" s="880" customFormat="1" ht="19.5" customHeight="1">
      <c r="A27" s="3315"/>
      <c r="B27" s="3315"/>
      <c r="C27" s="876" t="s">
        <v>576</v>
      </c>
      <c r="D27" s="877"/>
      <c r="E27" s="875">
        <v>0.9</v>
      </c>
      <c r="F27" s="878" t="s">
        <v>577</v>
      </c>
      <c r="G27" s="879"/>
      <c r="H27" s="871"/>
      <c r="I27" s="871"/>
    </row>
    <row r="28" spans="1:9" s="880" customFormat="1" ht="19.5" customHeight="1">
      <c r="A28" s="3315"/>
      <c r="B28" s="3315"/>
      <c r="C28" s="876" t="s">
        <v>578</v>
      </c>
      <c r="D28" s="877"/>
      <c r="E28" s="875">
        <v>0.9</v>
      </c>
      <c r="F28" s="878" t="s">
        <v>579</v>
      </c>
      <c r="G28" s="879"/>
      <c r="H28" s="871"/>
      <c r="I28" s="871"/>
    </row>
    <row r="29" spans="1:9" s="880" customFormat="1" ht="19.5" customHeight="1">
      <c r="A29" s="3315"/>
      <c r="B29" s="3315"/>
      <c r="C29" s="876" t="s">
        <v>580</v>
      </c>
      <c r="D29" s="877"/>
      <c r="E29" s="875">
        <v>0.9</v>
      </c>
      <c r="F29" s="878" t="s">
        <v>581</v>
      </c>
      <c r="G29" s="879"/>
      <c r="H29" s="871"/>
      <c r="I29" s="871"/>
    </row>
    <row r="30" spans="1:9" s="880" customFormat="1" ht="19.5" customHeight="1">
      <c r="A30" s="3315"/>
      <c r="B30" s="3315"/>
      <c r="C30" s="876" t="s">
        <v>582</v>
      </c>
      <c r="D30" s="877"/>
      <c r="E30" s="875">
        <v>0.9</v>
      </c>
      <c r="F30" s="878" t="s">
        <v>583</v>
      </c>
      <c r="G30" s="879"/>
      <c r="H30" s="871"/>
      <c r="I30" s="871"/>
    </row>
    <row r="31" spans="1:9" s="880" customFormat="1" ht="19.5" customHeight="1">
      <c r="A31" s="3315"/>
      <c r="B31" s="3315"/>
      <c r="C31" s="876" t="s">
        <v>584</v>
      </c>
      <c r="D31" s="877"/>
      <c r="E31" s="875">
        <v>0.8</v>
      </c>
      <c r="F31" s="878" t="s">
        <v>585</v>
      </c>
      <c r="G31" s="879"/>
      <c r="H31" s="871"/>
      <c r="I31" s="871"/>
    </row>
    <row r="32" spans="1:9" s="880" customFormat="1" ht="19.5" customHeight="1">
      <c r="A32" s="3315"/>
      <c r="B32" s="3315"/>
      <c r="C32" s="876" t="s">
        <v>586</v>
      </c>
      <c r="D32" s="877"/>
      <c r="E32" s="875">
        <v>0.8</v>
      </c>
      <c r="F32" s="878" t="s">
        <v>587</v>
      </c>
      <c r="G32" s="879"/>
      <c r="H32" s="871"/>
      <c r="I32" s="871"/>
    </row>
    <row r="33" spans="1:9" s="880" customFormat="1" ht="19.5" customHeight="1">
      <c r="A33" s="3315" t="s">
        <v>185</v>
      </c>
      <c r="B33" s="875" t="s">
        <v>560</v>
      </c>
      <c r="C33" s="876" t="s">
        <v>588</v>
      </c>
      <c r="D33" s="877"/>
      <c r="E33" s="875">
        <v>1</v>
      </c>
      <c r="F33" s="878" t="s">
        <v>589</v>
      </c>
      <c r="G33" s="879"/>
      <c r="H33" s="871"/>
      <c r="I33" s="871"/>
    </row>
    <row r="34" spans="1:9" s="880" customFormat="1" ht="19.5" customHeight="1">
      <c r="A34" s="3315"/>
      <c r="B34" s="875" t="s">
        <v>563</v>
      </c>
      <c r="C34" s="876" t="s">
        <v>590</v>
      </c>
      <c r="D34" s="877"/>
      <c r="E34" s="875">
        <v>1.5</v>
      </c>
      <c r="F34" s="878" t="s">
        <v>591</v>
      </c>
      <c r="G34" s="879"/>
      <c r="H34" s="871"/>
      <c r="I34" s="871"/>
    </row>
    <row r="35" spans="1:9" s="880" customFormat="1" ht="19.5" customHeight="1">
      <c r="A35" s="3315" t="s">
        <v>186</v>
      </c>
      <c r="B35" s="875" t="s">
        <v>560</v>
      </c>
      <c r="C35" s="876" t="s">
        <v>592</v>
      </c>
      <c r="D35" s="877"/>
      <c r="E35" s="875">
        <v>1</v>
      </c>
      <c r="F35" s="878" t="s">
        <v>593</v>
      </c>
      <c r="G35" s="879"/>
      <c r="H35" s="871"/>
      <c r="I35" s="871"/>
    </row>
    <row r="36" spans="1:9" s="880" customFormat="1" ht="19.5" customHeight="1">
      <c r="A36" s="3315"/>
      <c r="B36" s="3315" t="s">
        <v>563</v>
      </c>
      <c r="C36" s="876" t="s">
        <v>594</v>
      </c>
      <c r="D36" s="877"/>
      <c r="E36" s="875">
        <v>1</v>
      </c>
      <c r="F36" s="878" t="s">
        <v>595</v>
      </c>
      <c r="G36" s="879"/>
      <c r="H36" s="871"/>
      <c r="I36" s="871"/>
    </row>
    <row r="37" spans="1:9" s="880" customFormat="1" ht="19.5" customHeight="1">
      <c r="A37" s="3315"/>
      <c r="B37" s="3315"/>
      <c r="C37" s="876" t="s">
        <v>596</v>
      </c>
      <c r="D37" s="877"/>
      <c r="E37" s="875">
        <v>1.5</v>
      </c>
      <c r="F37" s="878" t="s">
        <v>597</v>
      </c>
      <c r="G37" s="879"/>
      <c r="H37" s="871"/>
      <c r="I37" s="871"/>
    </row>
    <row r="38" spans="1:9" s="880" customFormat="1" ht="19.5" customHeight="1">
      <c r="A38" s="3315"/>
      <c r="B38" s="3315"/>
      <c r="C38" s="876" t="s">
        <v>598</v>
      </c>
      <c r="D38" s="877"/>
      <c r="E38" s="875">
        <v>1</v>
      </c>
      <c r="F38" s="878" t="s">
        <v>599</v>
      </c>
      <c r="G38" s="879"/>
      <c r="H38" s="871"/>
      <c r="I38" s="871"/>
    </row>
    <row r="39" spans="1:9" s="880" customFormat="1" ht="19.5" customHeight="1">
      <c r="A39" s="3315"/>
      <c r="B39" s="331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15" t="s">
        <v>614</v>
      </c>
      <c r="C61" s="811" t="s">
        <v>615</v>
      </c>
      <c r="D61" s="811" t="s">
        <v>616</v>
      </c>
      <c r="E61" s="888">
        <v>0.5</v>
      </c>
      <c r="F61" s="875">
        <v>80</v>
      </c>
    </row>
    <row r="62" spans="1:8" s="871" customFormat="1" ht="36">
      <c r="A62" s="875">
        <v>2</v>
      </c>
      <c r="B62" s="3315"/>
      <c r="C62" s="811" t="s">
        <v>617</v>
      </c>
      <c r="D62" s="811" t="s">
        <v>618</v>
      </c>
      <c r="E62" s="888">
        <v>0.5</v>
      </c>
      <c r="F62" s="875">
        <v>80</v>
      </c>
    </row>
    <row r="63" spans="1:8" s="871" customFormat="1" ht="48">
      <c r="A63" s="875">
        <v>3</v>
      </c>
      <c r="B63" s="3315"/>
      <c r="C63" s="811" t="s">
        <v>619</v>
      </c>
      <c r="D63" s="811" t="s">
        <v>620</v>
      </c>
      <c r="E63" s="888">
        <v>0.5</v>
      </c>
      <c r="F63" s="875">
        <v>80</v>
      </c>
    </row>
    <row r="64" spans="1:8" s="871" customFormat="1" ht="48">
      <c r="A64" s="875">
        <v>4</v>
      </c>
      <c r="B64" s="3315"/>
      <c r="C64" s="811" t="s">
        <v>621</v>
      </c>
      <c r="D64" s="811" t="s">
        <v>622</v>
      </c>
      <c r="E64" s="888">
        <v>0.4</v>
      </c>
      <c r="F64" s="875">
        <v>60</v>
      </c>
    </row>
    <row r="65" spans="1:6" s="871" customFormat="1" ht="48">
      <c r="A65" s="875">
        <v>5</v>
      </c>
      <c r="B65" s="3315"/>
      <c r="C65" s="811" t="s">
        <v>623</v>
      </c>
      <c r="D65" s="811" t="s">
        <v>624</v>
      </c>
      <c r="E65" s="888">
        <v>0.2</v>
      </c>
      <c r="F65" s="875">
        <v>30</v>
      </c>
    </row>
    <row r="66" spans="1:6" s="871" customFormat="1" ht="48">
      <c r="A66" s="875">
        <v>6</v>
      </c>
      <c r="B66" s="3315"/>
      <c r="C66" s="811" t="s">
        <v>625</v>
      </c>
      <c r="D66" s="811" t="s">
        <v>626</v>
      </c>
      <c r="E66" s="888">
        <v>0.3</v>
      </c>
      <c r="F66" s="875">
        <v>50</v>
      </c>
    </row>
    <row r="67" spans="1:6" s="871" customFormat="1" ht="48">
      <c r="A67" s="875">
        <v>7</v>
      </c>
      <c r="B67" s="3315"/>
      <c r="C67" s="811" t="s">
        <v>627</v>
      </c>
      <c r="D67" s="811" t="s">
        <v>628</v>
      </c>
      <c r="E67" s="888">
        <v>0.2</v>
      </c>
      <c r="F67" s="875">
        <v>30</v>
      </c>
    </row>
    <row r="68" spans="1:6" s="871" customFormat="1" ht="48">
      <c r="A68" s="875">
        <v>8</v>
      </c>
      <c r="B68" s="3315"/>
      <c r="C68" s="811" t="s">
        <v>629</v>
      </c>
      <c r="D68" s="811" t="s">
        <v>630</v>
      </c>
      <c r="E68" s="888">
        <v>0.2</v>
      </c>
      <c r="F68" s="875">
        <v>30</v>
      </c>
    </row>
    <row r="69" spans="1:6" s="871" customFormat="1" ht="48">
      <c r="A69" s="875">
        <v>9</v>
      </c>
      <c r="B69" s="3315"/>
      <c r="C69" s="811" t="s">
        <v>631</v>
      </c>
      <c r="D69" s="811" t="s">
        <v>632</v>
      </c>
      <c r="E69" s="888">
        <v>0.2</v>
      </c>
      <c r="F69" s="875">
        <v>30</v>
      </c>
    </row>
    <row r="70" spans="1:6" s="871" customFormat="1" ht="60">
      <c r="A70" s="875">
        <v>10</v>
      </c>
      <c r="B70" s="3315"/>
      <c r="C70" s="811" t="s">
        <v>633</v>
      </c>
      <c r="D70" s="811" t="s">
        <v>634</v>
      </c>
      <c r="E70" s="888">
        <v>0.2</v>
      </c>
      <c r="F70" s="875">
        <v>30</v>
      </c>
    </row>
    <row r="71" spans="1:6" s="871" customFormat="1" ht="60">
      <c r="A71" s="875">
        <v>11</v>
      </c>
      <c r="B71" s="3315"/>
      <c r="C71" s="811" t="s">
        <v>635</v>
      </c>
      <c r="D71" s="811" t="s">
        <v>636</v>
      </c>
      <c r="E71" s="888">
        <v>0.2</v>
      </c>
      <c r="F71" s="875">
        <v>30</v>
      </c>
    </row>
    <row r="72" spans="1:6" s="871" customFormat="1" ht="36">
      <c r="A72" s="875">
        <v>12</v>
      </c>
      <c r="B72" s="3315"/>
      <c r="C72" s="811" t="s">
        <v>637</v>
      </c>
      <c r="D72" s="811" t="s">
        <v>638</v>
      </c>
      <c r="E72" s="888">
        <v>0.5</v>
      </c>
      <c r="F72" s="875">
        <v>80</v>
      </c>
    </row>
    <row r="73" spans="1:6" s="871" customFormat="1" ht="36">
      <c r="A73" s="875">
        <v>13</v>
      </c>
      <c r="B73" s="3315"/>
      <c r="C73" s="811" t="s">
        <v>639</v>
      </c>
      <c r="D73" s="811" t="s">
        <v>640</v>
      </c>
      <c r="E73" s="888">
        <v>0.4</v>
      </c>
      <c r="F73" s="875">
        <v>60</v>
      </c>
    </row>
    <row r="74" spans="1:6" s="871" customFormat="1" ht="36">
      <c r="A74" s="875">
        <v>14</v>
      </c>
      <c r="B74" s="3315"/>
      <c r="C74" s="811" t="s">
        <v>641</v>
      </c>
      <c r="D74" s="811" t="s">
        <v>642</v>
      </c>
      <c r="E74" s="888">
        <v>0.2</v>
      </c>
      <c r="F74" s="875">
        <v>30</v>
      </c>
    </row>
    <row r="75" spans="1:6" s="871" customFormat="1" ht="36">
      <c r="A75" s="875">
        <v>15</v>
      </c>
      <c r="B75" s="3315"/>
      <c r="C75" s="811" t="s">
        <v>643</v>
      </c>
      <c r="D75" s="811" t="s">
        <v>644</v>
      </c>
      <c r="E75" s="888">
        <v>0.2</v>
      </c>
      <c r="F75" s="875">
        <v>30</v>
      </c>
    </row>
    <row r="76" spans="1:6" s="871" customFormat="1" ht="36">
      <c r="A76" s="875">
        <v>16</v>
      </c>
      <c r="B76" s="3315" t="s">
        <v>645</v>
      </c>
      <c r="C76" s="811" t="s">
        <v>646</v>
      </c>
      <c r="D76" s="811" t="s">
        <v>647</v>
      </c>
      <c r="E76" s="888">
        <v>0.5</v>
      </c>
      <c r="F76" s="875">
        <v>80</v>
      </c>
    </row>
    <row r="77" spans="1:6" s="871" customFormat="1" ht="36">
      <c r="A77" s="875">
        <v>17</v>
      </c>
      <c r="B77" s="3315"/>
      <c r="C77" s="811" t="s">
        <v>648</v>
      </c>
      <c r="D77" s="811" t="s">
        <v>649</v>
      </c>
      <c r="E77" s="888">
        <v>0.5</v>
      </c>
      <c r="F77" s="875">
        <v>80</v>
      </c>
    </row>
    <row r="78" spans="1:6" s="871" customFormat="1" ht="36">
      <c r="A78" s="875">
        <v>18</v>
      </c>
      <c r="B78" s="3315"/>
      <c r="C78" s="811" t="s">
        <v>650</v>
      </c>
      <c r="D78" s="811" t="s">
        <v>651</v>
      </c>
      <c r="E78" s="888">
        <v>0.2</v>
      </c>
      <c r="F78" s="875">
        <v>30</v>
      </c>
    </row>
    <row r="79" spans="1:6" s="871" customFormat="1" ht="36">
      <c r="A79" s="875">
        <v>19</v>
      </c>
      <c r="B79" s="3315"/>
      <c r="C79" s="811" t="s">
        <v>652</v>
      </c>
      <c r="D79" s="811" t="s">
        <v>653</v>
      </c>
      <c r="E79" s="888">
        <v>0.5</v>
      </c>
      <c r="F79" s="875">
        <v>80</v>
      </c>
    </row>
    <row r="80" spans="1:6" s="871" customFormat="1" ht="36">
      <c r="A80" s="875">
        <v>20</v>
      </c>
      <c r="B80" s="3315"/>
      <c r="C80" s="811" t="s">
        <v>654</v>
      </c>
      <c r="D80" s="811" t="s">
        <v>655</v>
      </c>
      <c r="E80" s="888">
        <v>0.2</v>
      </c>
      <c r="F80" s="875">
        <v>30</v>
      </c>
    </row>
    <row r="81" spans="1:6" s="871" customFormat="1" ht="36">
      <c r="A81" s="875">
        <v>21</v>
      </c>
      <c r="B81" s="3315"/>
      <c r="C81" s="811" t="s">
        <v>656</v>
      </c>
      <c r="D81" s="811" t="s">
        <v>657</v>
      </c>
      <c r="E81" s="888">
        <v>0.2</v>
      </c>
      <c r="F81" s="875">
        <v>30</v>
      </c>
    </row>
    <row r="82" spans="1:6" s="871" customFormat="1" ht="60">
      <c r="A82" s="875">
        <v>22</v>
      </c>
      <c r="B82" s="3315"/>
      <c r="C82" s="811" t="s">
        <v>658</v>
      </c>
      <c r="D82" s="811" t="s">
        <v>659</v>
      </c>
      <c r="E82" s="888">
        <v>0.2</v>
      </c>
      <c r="F82" s="875">
        <v>30</v>
      </c>
    </row>
    <row r="83" spans="1:6" s="871" customFormat="1" ht="60">
      <c r="A83" s="875">
        <v>23</v>
      </c>
      <c r="B83" s="3315"/>
      <c r="C83" s="811" t="s">
        <v>660</v>
      </c>
      <c r="D83" s="811" t="s">
        <v>661</v>
      </c>
      <c r="E83" s="888">
        <v>0.2</v>
      </c>
      <c r="F83" s="875">
        <v>30</v>
      </c>
    </row>
    <row r="84" spans="1:6" s="871" customFormat="1" ht="48">
      <c r="A84" s="875">
        <v>24</v>
      </c>
      <c r="B84" s="3315"/>
      <c r="C84" s="811" t="s">
        <v>662</v>
      </c>
      <c r="D84" s="811" t="s">
        <v>663</v>
      </c>
      <c r="E84" s="888">
        <v>0.2</v>
      </c>
      <c r="F84" s="875">
        <v>30</v>
      </c>
    </row>
    <row r="85" spans="1:6" s="871" customFormat="1" ht="36">
      <c r="A85" s="875">
        <v>25</v>
      </c>
      <c r="B85" s="3315"/>
      <c r="C85" s="811" t="s">
        <v>664</v>
      </c>
      <c r="D85" s="811" t="s">
        <v>665</v>
      </c>
      <c r="E85" s="888">
        <v>0.5</v>
      </c>
      <c r="F85" s="875">
        <v>80</v>
      </c>
    </row>
    <row r="86" spans="1:6" s="871" customFormat="1" ht="36">
      <c r="A86" s="875">
        <v>26</v>
      </c>
      <c r="B86" s="3315"/>
      <c r="C86" s="811" t="s">
        <v>666</v>
      </c>
      <c r="D86" s="811" t="s">
        <v>667</v>
      </c>
      <c r="E86" s="888">
        <v>0.2</v>
      </c>
      <c r="F86" s="875">
        <v>30</v>
      </c>
    </row>
    <row r="87" spans="1:6" s="871" customFormat="1" ht="36">
      <c r="A87" s="875">
        <v>27</v>
      </c>
      <c r="B87" s="3315"/>
      <c r="C87" s="811" t="s">
        <v>668</v>
      </c>
      <c r="D87" s="811" t="s">
        <v>669</v>
      </c>
      <c r="E87" s="888">
        <v>0.2</v>
      </c>
      <c r="F87" s="875">
        <v>30</v>
      </c>
    </row>
    <row r="88" spans="1:6" s="871" customFormat="1" ht="36">
      <c r="A88" s="875">
        <v>28</v>
      </c>
      <c r="B88" s="3315"/>
      <c r="C88" s="811" t="s">
        <v>670</v>
      </c>
      <c r="D88" s="811" t="s">
        <v>671</v>
      </c>
      <c r="E88" s="888">
        <v>0.2</v>
      </c>
      <c r="F88" s="875">
        <v>30</v>
      </c>
    </row>
    <row r="89" spans="1:6" s="871" customFormat="1" ht="36">
      <c r="A89" s="875">
        <v>29</v>
      </c>
      <c r="B89" s="3315"/>
      <c r="C89" s="811" t="s">
        <v>672</v>
      </c>
      <c r="D89" s="811" t="s">
        <v>673</v>
      </c>
      <c r="E89" s="888">
        <v>0.2</v>
      </c>
      <c r="F89" s="875">
        <v>30</v>
      </c>
    </row>
    <row r="90" spans="1:6" s="871" customFormat="1" ht="36">
      <c r="A90" s="875">
        <v>30</v>
      </c>
      <c r="B90" s="3315"/>
      <c r="C90" s="811" t="s">
        <v>674</v>
      </c>
      <c r="D90" s="811" t="s">
        <v>675</v>
      </c>
      <c r="E90" s="888">
        <v>0.2</v>
      </c>
      <c r="F90" s="875">
        <v>30</v>
      </c>
    </row>
    <row r="91" spans="1:6" s="871" customFormat="1" ht="48">
      <c r="A91" s="875">
        <v>31</v>
      </c>
      <c r="B91" s="3315"/>
      <c r="C91" s="811" t="s">
        <v>676</v>
      </c>
      <c r="D91" s="811" t="s">
        <v>677</v>
      </c>
      <c r="E91" s="888">
        <v>0.2</v>
      </c>
      <c r="F91" s="875">
        <v>30</v>
      </c>
    </row>
    <row r="92" spans="1:6" s="871" customFormat="1" ht="36">
      <c r="A92" s="875">
        <v>32</v>
      </c>
      <c r="B92" s="3315" t="s">
        <v>678</v>
      </c>
      <c r="C92" s="875" t="s">
        <v>679</v>
      </c>
      <c r="D92" s="811" t="s">
        <v>680</v>
      </c>
      <c r="E92" s="888">
        <v>0.2</v>
      </c>
      <c r="F92" s="875">
        <v>30</v>
      </c>
    </row>
    <row r="93" spans="1:6" s="871" customFormat="1" ht="36">
      <c r="A93" s="875">
        <v>33</v>
      </c>
      <c r="B93" s="3315"/>
      <c r="C93" s="875" t="s">
        <v>681</v>
      </c>
      <c r="D93" s="811" t="s">
        <v>682</v>
      </c>
      <c r="E93" s="888">
        <v>0.2</v>
      </c>
      <c r="F93" s="875">
        <v>30</v>
      </c>
    </row>
    <row r="94" spans="1:6" s="871" customFormat="1" ht="60">
      <c r="A94" s="875">
        <v>34</v>
      </c>
      <c r="B94" s="3315"/>
      <c r="C94" s="875" t="s">
        <v>683</v>
      </c>
      <c r="D94" s="811" t="s">
        <v>684</v>
      </c>
      <c r="E94" s="888">
        <v>0.2</v>
      </c>
      <c r="F94" s="875">
        <v>30</v>
      </c>
    </row>
    <row r="95" spans="1:6" s="871" customFormat="1" ht="48">
      <c r="A95" s="875">
        <v>35</v>
      </c>
      <c r="B95" s="3315"/>
      <c r="C95" s="875" t="s">
        <v>685</v>
      </c>
      <c r="D95" s="811" t="s">
        <v>686</v>
      </c>
      <c r="E95" s="888">
        <v>0.2</v>
      </c>
      <c r="F95" s="875">
        <v>30</v>
      </c>
    </row>
    <row r="96" spans="1:6" s="871" customFormat="1" ht="72">
      <c r="A96" s="875">
        <v>36</v>
      </c>
      <c r="B96" s="3315"/>
      <c r="C96" s="811" t="s">
        <v>687</v>
      </c>
      <c r="D96" s="811" t="s">
        <v>688</v>
      </c>
      <c r="E96" s="888">
        <v>0.2</v>
      </c>
      <c r="F96" s="875">
        <v>30</v>
      </c>
    </row>
    <row r="97" spans="1:6" s="871" customFormat="1" ht="36">
      <c r="A97" s="875">
        <v>37</v>
      </c>
      <c r="B97" s="3315"/>
      <c r="C97" s="875" t="s">
        <v>689</v>
      </c>
      <c r="D97" s="811" t="s">
        <v>690</v>
      </c>
      <c r="E97" s="888">
        <v>0.2</v>
      </c>
      <c r="F97" s="875">
        <v>30</v>
      </c>
    </row>
    <row r="98" spans="1:6" s="871" customFormat="1" ht="36">
      <c r="A98" s="875">
        <v>38</v>
      </c>
      <c r="B98" s="3315"/>
      <c r="C98" s="875" t="s">
        <v>691</v>
      </c>
      <c r="D98" s="811" t="s">
        <v>692</v>
      </c>
      <c r="E98" s="888">
        <v>0.2</v>
      </c>
      <c r="F98" s="875">
        <v>30</v>
      </c>
    </row>
    <row r="99" spans="1:6" s="871" customFormat="1" ht="36">
      <c r="A99" s="875">
        <v>39</v>
      </c>
      <c r="B99" s="3315" t="s">
        <v>693</v>
      </c>
      <c r="C99" s="875" t="s">
        <v>694</v>
      </c>
      <c r="D99" s="811" t="s">
        <v>695</v>
      </c>
      <c r="E99" s="888">
        <v>0.3</v>
      </c>
      <c r="F99" s="875">
        <v>50</v>
      </c>
    </row>
    <row r="100" spans="1:6" s="871" customFormat="1" ht="36">
      <c r="A100" s="875">
        <v>40</v>
      </c>
      <c r="B100" s="3315"/>
      <c r="C100" s="875" t="s">
        <v>696</v>
      </c>
      <c r="D100" s="811" t="s">
        <v>697</v>
      </c>
      <c r="E100" s="888">
        <v>0.2</v>
      </c>
      <c r="F100" s="875">
        <v>30</v>
      </c>
    </row>
    <row r="101" spans="1:6" s="871" customFormat="1" ht="36">
      <c r="A101" s="875">
        <v>41</v>
      </c>
      <c r="B101" s="3315"/>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15" t="s">
        <v>708</v>
      </c>
      <c r="C105" s="875" t="s">
        <v>709</v>
      </c>
      <c r="D105" s="811" t="s">
        <v>710</v>
      </c>
      <c r="E105" s="888">
        <v>0.2</v>
      </c>
      <c r="F105" s="875">
        <v>30</v>
      </c>
    </row>
    <row r="106" spans="1:6" s="871" customFormat="1" ht="48">
      <c r="A106" s="875">
        <v>46</v>
      </c>
      <c r="B106" s="3315"/>
      <c r="C106" s="875" t="s">
        <v>711</v>
      </c>
      <c r="D106" s="811" t="s">
        <v>712</v>
      </c>
      <c r="E106" s="888">
        <v>0.2</v>
      </c>
      <c r="F106" s="875">
        <v>30</v>
      </c>
    </row>
    <row r="107" spans="1:6" s="871" customFormat="1" ht="36">
      <c r="A107" s="875">
        <v>47</v>
      </c>
      <c r="B107" s="3315" t="s">
        <v>713</v>
      </c>
      <c r="C107" s="875" t="s">
        <v>714</v>
      </c>
      <c r="D107" s="811" t="s">
        <v>715</v>
      </c>
      <c r="E107" s="888">
        <v>0.3</v>
      </c>
      <c r="F107" s="875">
        <v>50</v>
      </c>
    </row>
    <row r="108" spans="1:6" s="871" customFormat="1" ht="48">
      <c r="A108" s="875">
        <v>48</v>
      </c>
      <c r="B108" s="331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15" t="s">
        <v>724</v>
      </c>
      <c r="C111" s="875" t="s">
        <v>725</v>
      </c>
      <c r="D111" s="811" t="s">
        <v>726</v>
      </c>
      <c r="E111" s="888">
        <v>0.2</v>
      </c>
      <c r="F111" s="875">
        <v>30</v>
      </c>
    </row>
    <row r="112" spans="1:6" s="871" customFormat="1" ht="36">
      <c r="A112" s="875">
        <v>52</v>
      </c>
      <c r="B112" s="3315"/>
      <c r="C112" s="875" t="s">
        <v>727</v>
      </c>
      <c r="D112" s="811" t="s">
        <v>728</v>
      </c>
      <c r="E112" s="888">
        <v>0.2</v>
      </c>
      <c r="F112" s="875">
        <v>30</v>
      </c>
    </row>
    <row r="113" spans="1:6" s="871" customFormat="1" ht="36">
      <c r="A113" s="875">
        <v>53</v>
      </c>
      <c r="B113" s="3315"/>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15" t="s">
        <v>737</v>
      </c>
      <c r="C116" s="875" t="s">
        <v>738</v>
      </c>
      <c r="D116" s="811" t="s">
        <v>739</v>
      </c>
      <c r="E116" s="888">
        <v>0.2</v>
      </c>
      <c r="F116" s="875">
        <v>30</v>
      </c>
    </row>
    <row r="117" spans="1:6" ht="36">
      <c r="A117" s="875">
        <v>57</v>
      </c>
      <c r="B117" s="3315"/>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0" t="s">
        <v>2988</v>
      </c>
    </row>
    <row r="2" spans="1:5" ht="15.6">
      <c r="A2" s="2890" t="s">
        <v>2980</v>
      </c>
      <c r="B2" s="2891" t="e">
        <f ca="1">SUMIF(B6:B13,"&lt;&gt;#ref!",B6:B13)</f>
        <v>#DIV/0!</v>
      </c>
      <c r="C2" s="2890" t="s">
        <v>2981</v>
      </c>
      <c r="D2" s="2890" t="s">
        <v>2982</v>
      </c>
      <c r="E2" s="2891">
        <f ca="1">SUMIF(E6:E13,"&lt;&gt;#ref!",E6:E13)</f>
        <v>0</v>
      </c>
    </row>
    <row r="3" spans="1:5" ht="15.6">
      <c r="A3" s="2890" t="s">
        <v>2983</v>
      </c>
      <c r="B3" s="2891" t="e">
        <f ca="1">ROUND(B2*10000/E2,0)</f>
        <v>#DIV/0!</v>
      </c>
      <c r="C3" s="2890" t="s">
        <v>2989</v>
      </c>
      <c r="D3" s="2892"/>
      <c r="E3" s="2892"/>
    </row>
    <row r="4" spans="1:5" ht="15.6">
      <c r="A4" s="2893"/>
      <c r="B4" s="2892"/>
      <c r="C4" s="2892"/>
      <c r="D4" s="2892"/>
      <c r="E4" s="2892"/>
    </row>
    <row r="5" spans="1:5" ht="31.2">
      <c r="A5" s="2894" t="s">
        <v>2984</v>
      </c>
      <c r="B5" s="2890" t="s">
        <v>2985</v>
      </c>
      <c r="C5" s="2891"/>
      <c r="D5" s="2892"/>
      <c r="E5" s="2890" t="s">
        <v>2986</v>
      </c>
    </row>
    <row r="6" spans="1:5" ht="15.6">
      <c r="A6" s="2895" t="s">
        <v>2987</v>
      </c>
      <c r="B6" s="2891" t="e">
        <f ca="1">SUMIF(INDIRECT("'"&amp;A6&amp;"'"&amp;"!A:A"),"总价",INDIRECT("'"&amp;A6&amp;"'"&amp;"!B:B"))</f>
        <v>#DIV/0!</v>
      </c>
      <c r="C6" s="2890" t="s">
        <v>2981</v>
      </c>
      <c r="D6" s="2892"/>
      <c r="E6" s="2564">
        <f ca="1">SUMIF(INDIRECT("'"&amp;A6&amp;"'"&amp;"!C:C"),"建筑面积",INDIRECT("'"&amp;A6&amp;"'"&amp;"!D:D"))</f>
        <v>0</v>
      </c>
    </row>
    <row r="7" spans="1:5" ht="15.6">
      <c r="A7" s="2895"/>
      <c r="B7" s="2891" t="e">
        <f ca="1">SUMIF(INDIRECT("'"&amp;A7&amp;"'"&amp;"!A:A"),"总价",INDIRECT("'"&amp;A7&amp;"'"&amp;"!B:B"))</f>
        <v>#REF!</v>
      </c>
      <c r="C7" s="2890" t="s">
        <v>2981</v>
      </c>
      <c r="D7" s="2892"/>
      <c r="E7" s="2564" t="e">
        <f t="shared" ref="E7:E13" ca="1" si="0">SUMIF(INDIRECT("'"&amp;A7&amp;"'"&amp;"!C:C"),"建筑面积",INDIRECT("'"&amp;A7&amp;"'"&amp;"!D:D"))</f>
        <v>#REF!</v>
      </c>
    </row>
    <row r="8" spans="1:5" ht="15.6">
      <c r="A8" s="2895"/>
      <c r="B8" s="2891" t="e">
        <f t="shared" ref="B8:B13" ca="1" si="1">SUMIF(INDIRECT("'"&amp;A8&amp;"'"&amp;"!A:A"),"总价",INDIRECT("'"&amp;A8&amp;"'"&amp;"!B:B"))</f>
        <v>#REF!</v>
      </c>
      <c r="C8" s="2890" t="s">
        <v>2981</v>
      </c>
      <c r="D8" s="2892"/>
      <c r="E8" s="2564" t="e">
        <f t="shared" ca="1" si="0"/>
        <v>#REF!</v>
      </c>
    </row>
    <row r="9" spans="1:5" ht="15.6">
      <c r="A9" s="2895"/>
      <c r="B9" s="2891" t="e">
        <f t="shared" ca="1" si="1"/>
        <v>#REF!</v>
      </c>
      <c r="C9" s="2890" t="s">
        <v>2981</v>
      </c>
      <c r="D9" s="2892"/>
      <c r="E9" s="2564" t="e">
        <f t="shared" ca="1" si="0"/>
        <v>#REF!</v>
      </c>
    </row>
    <row r="10" spans="1:5" ht="15.6">
      <c r="A10" s="2895"/>
      <c r="B10" s="2891" t="e">
        <f t="shared" ca="1" si="1"/>
        <v>#REF!</v>
      </c>
      <c r="C10" s="2890" t="s">
        <v>2981</v>
      </c>
      <c r="D10" s="2892"/>
      <c r="E10" s="2564" t="e">
        <f t="shared" ca="1" si="0"/>
        <v>#REF!</v>
      </c>
    </row>
    <row r="11" spans="1:5" ht="15.6">
      <c r="A11" s="2895"/>
      <c r="B11" s="2891" t="e">
        <f t="shared" ca="1" si="1"/>
        <v>#REF!</v>
      </c>
      <c r="C11" s="2890" t="s">
        <v>2981</v>
      </c>
      <c r="D11" s="2892"/>
      <c r="E11" s="2564" t="e">
        <f t="shared" ca="1" si="0"/>
        <v>#REF!</v>
      </c>
    </row>
    <row r="12" spans="1:5" ht="15.6">
      <c r="A12" s="2895"/>
      <c r="B12" s="2891" t="e">
        <f t="shared" ca="1" si="1"/>
        <v>#REF!</v>
      </c>
      <c r="C12" s="2890" t="s">
        <v>2981</v>
      </c>
      <c r="D12" s="2892"/>
      <c r="E12" s="2564" t="e">
        <f t="shared" ca="1" si="0"/>
        <v>#REF!</v>
      </c>
    </row>
    <row r="13" spans="1:5" ht="15.6">
      <c r="A13" s="2895"/>
      <c r="B13" s="2891" t="e">
        <f t="shared" ca="1" si="1"/>
        <v>#REF!</v>
      </c>
      <c r="C13" s="2890" t="s">
        <v>2981</v>
      </c>
      <c r="D13" s="2892"/>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21" t="s">
        <v>1146</v>
      </c>
      <c r="C1" s="3321"/>
      <c r="D1" s="3321"/>
      <c r="E1" s="3321"/>
      <c r="F1" s="3321"/>
      <c r="G1" s="3320" t="s">
        <v>1147</v>
      </c>
      <c r="H1" s="3320"/>
      <c r="I1" s="3320"/>
      <c r="J1" s="3320"/>
      <c r="K1" s="3320"/>
      <c r="L1" s="3320"/>
      <c r="N1" s="3320" t="s">
        <v>1148</v>
      </c>
      <c r="O1" s="3320"/>
      <c r="P1" s="3320"/>
      <c r="Q1" s="3320"/>
      <c r="R1" s="1439"/>
      <c r="S1" s="3320" t="s">
        <v>1149</v>
      </c>
      <c r="T1" s="3320"/>
      <c r="U1" s="3320"/>
      <c r="V1" s="3320"/>
      <c r="X1" s="3319" t="s">
        <v>1150</v>
      </c>
      <c r="Y1" s="3320"/>
      <c r="Z1" s="3320"/>
      <c r="AA1" s="3320"/>
      <c r="AB1" s="3320"/>
      <c r="AD1" s="3319" t="s">
        <v>1151</v>
      </c>
      <c r="AE1" s="3320"/>
      <c r="AF1" s="3320"/>
      <c r="AG1" s="3320"/>
      <c r="AH1" s="3320"/>
    </row>
    <row r="2" spans="1:34" s="1440" customFormat="1" ht="1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6" customFormat="1" ht="14.4">
      <c r="A3" s="2915" t="s">
        <v>3023</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46" customFormat="1" ht="14.4">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3040</v>
      </c>
      <c r="B5" s="1784">
        <f t="shared" ref="B5" si="2">B6*(1+N5)</f>
        <v>474.30670301923408</v>
      </c>
      <c r="C5" s="1784">
        <f t="shared" ref="C5" si="3">C6*(1+O5)</f>
        <v>349.50705005996491</v>
      </c>
      <c r="D5" s="1784">
        <f t="shared" ref="D5" si="4">C5</f>
        <v>349.50705005996491</v>
      </c>
      <c r="E5" s="1784">
        <f t="shared" ref="E5" si="5">E6*(1+P5)</f>
        <v>678.22831959706957</v>
      </c>
      <c r="F5" s="1784">
        <f t="shared" ref="F5" si="6">F6*(1+Q5)</f>
        <v>312.0556832169558</v>
      </c>
      <c r="G5" s="2935">
        <v>2019</v>
      </c>
      <c r="H5" s="1723">
        <v>3</v>
      </c>
      <c r="I5" s="2902">
        <v>0</v>
      </c>
      <c r="J5" s="2902">
        <v>0</v>
      </c>
      <c r="K5" s="2902">
        <v>0</v>
      </c>
      <c r="L5" s="2902">
        <v>0</v>
      </c>
      <c r="N5" s="1460">
        <f>I5/100</f>
        <v>0</v>
      </c>
      <c r="O5" s="1460">
        <f t="shared" ref="O5" si="7">J5/100</f>
        <v>0</v>
      </c>
      <c r="P5" s="1460">
        <f t="shared" ref="P5" si="8">K5/100</f>
        <v>0</v>
      </c>
      <c r="Q5" s="1460">
        <f t="shared" ref="Q5" si="9">L5/100</f>
        <v>0</v>
      </c>
      <c r="R5" s="1725"/>
      <c r="S5" s="1726"/>
      <c r="T5" s="1725"/>
      <c r="U5" s="1725"/>
      <c r="V5" s="1725"/>
      <c r="W5" s="2905" t="s">
        <v>3024</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1">
        <f>ROUND(AVERAGE(I5:I$27)/100,4)</f>
        <v>2.0400000000000001E-2</v>
      </c>
      <c r="AE5" s="1461">
        <f>ROUND(AVERAGE(J5:J$27)/100,4)</f>
        <v>1.44E-2</v>
      </c>
      <c r="AF5" s="1461">
        <f t="shared" ref="AF5" si="11">AE5</f>
        <v>1.44E-2</v>
      </c>
      <c r="AG5" s="1461">
        <f>ROUND(AVERAGE(K5:K$27)/100,4)</f>
        <v>2.23E-2</v>
      </c>
      <c r="AH5" s="1461">
        <f>ROUND(AVERAGE(L5:L$27)/100,4)</f>
        <v>1.4E-2</v>
      </c>
    </row>
    <row r="6" spans="1:34" s="1459" customFormat="1">
      <c r="A6" s="1454" t="s">
        <v>3039</v>
      </c>
      <c r="B6" s="1470">
        <f t="shared" ref="B6" si="12">B7*(1+N6)</f>
        <v>474.30670301923408</v>
      </c>
      <c r="C6" s="1470">
        <f t="shared" ref="C6" si="13">C7*(1+O6)</f>
        <v>349.50705005996491</v>
      </c>
      <c r="D6" s="1470">
        <f t="shared" ref="D6" si="14">C6</f>
        <v>349.50705005996491</v>
      </c>
      <c r="E6" s="1470">
        <f t="shared" ref="E6" si="15">E7*(1+P6)</f>
        <v>678.22831959706957</v>
      </c>
      <c r="F6" s="1470">
        <f t="shared" ref="F6" si="16">F7*(1+Q6)</f>
        <v>312.0556832169558</v>
      </c>
      <c r="G6" s="2935">
        <v>2019</v>
      </c>
      <c r="H6" s="1455">
        <v>2</v>
      </c>
      <c r="I6" s="2948">
        <v>1.53</v>
      </c>
      <c r="J6" s="2948">
        <v>1.01</v>
      </c>
      <c r="K6" s="2948">
        <v>1.62</v>
      </c>
      <c r="L6" s="2949">
        <v>1.25</v>
      </c>
      <c r="M6" s="1464"/>
      <c r="N6" s="1465">
        <f>I6/100</f>
        <v>1.5300000000000001E-2</v>
      </c>
      <c r="O6" s="1466">
        <f t="shared" ref="O6" si="17">J6/100</f>
        <v>1.01E-2</v>
      </c>
      <c r="P6" s="1466">
        <f t="shared" ref="P6" si="18">K6/100</f>
        <v>1.6200000000000003E-2</v>
      </c>
      <c r="Q6" s="1466">
        <f t="shared" ref="Q6" si="19">L6/100</f>
        <v>1.2500000000000001E-2</v>
      </c>
      <c r="R6" s="1467"/>
      <c r="S6" s="1465"/>
      <c r="T6" s="1466"/>
      <c r="U6" s="1466"/>
      <c r="V6" s="1466"/>
      <c r="W6" s="1783"/>
      <c r="X6" s="1781">
        <f>ROUND(IF(项目基本情况!B8="出让",SUMPRODUCT(PRODUCT(1+N6:N$27)),SUMPRODUCT(PRODUCT(1+N6:N$26))),4)</f>
        <v>1.5422</v>
      </c>
      <c r="Y6" s="1781">
        <f>ROUND(IF(项目基本情况!B8="出让",SUMPRODUCT(PRODUCT(1+O6:O$27)),SUMPRODUCT(PRODUCT(1+O6:O$26))),4)</f>
        <v>1.3557999999999999</v>
      </c>
      <c r="Z6" s="1781">
        <f t="shared" ref="Z6" si="20">Y6</f>
        <v>1.3557999999999999</v>
      </c>
      <c r="AA6" s="1781">
        <f>ROUND(IF(项目基本情况!B8="出让",SUMPRODUCT(PRODUCT(1+P6:P$27)),SUMPRODUCT(PRODUCT(1+P6:P$26))),4)</f>
        <v>1.6036999999999999</v>
      </c>
      <c r="AB6" s="1781">
        <f>ROUND(IF(项目基本情况!B8="出让",SUMPRODUCT(PRODUCT(1+Q6:Q$27)),SUMPRODUCT(PRODUCT(1+Q6:Q$26))),4)</f>
        <v>1.3573</v>
      </c>
      <c r="AC6" s="1783"/>
      <c r="AD6" s="1782">
        <f>ROUND(AVERAGE(I6:I$27)/100,4)</f>
        <v>2.1299999999999999E-2</v>
      </c>
      <c r="AE6" s="1782">
        <f>ROUND(AVERAGE(J6:J$27)/100,4)</f>
        <v>1.4999999999999999E-2</v>
      </c>
      <c r="AF6" s="1782">
        <f t="shared" ref="AF6" si="21">AE6</f>
        <v>1.4999999999999999E-2</v>
      </c>
      <c r="AG6" s="1782">
        <f>ROUND(AVERAGE(K6:K$27)/100,4)</f>
        <v>2.3300000000000001E-2</v>
      </c>
      <c r="AH6" s="1782">
        <f>ROUND(AVERAGE(L6:L$27)/100,4)</f>
        <v>1.46E-2</v>
      </c>
    </row>
    <row r="7" spans="1:34" s="1459" customFormat="1" ht="13.8" thickBot="1">
      <c r="A7" s="1454" t="s">
        <v>3036</v>
      </c>
      <c r="B7" s="1470">
        <f t="shared" ref="B7" si="22">B8*(1+N7)</f>
        <v>467.15916775261894</v>
      </c>
      <c r="C7" s="1470">
        <f t="shared" ref="C7" si="23">C8*(1+O7)</f>
        <v>346.01232557169084</v>
      </c>
      <c r="D7" s="1470">
        <f t="shared" ref="D7" si="24">C7</f>
        <v>346.01232557169084</v>
      </c>
      <c r="E7" s="1470">
        <f t="shared" ref="E7" si="25">E8*(1+P7)</f>
        <v>667.41617752122568</v>
      </c>
      <c r="F7" s="1470">
        <f t="shared" ref="F7" si="26">F8*(1+Q7)</f>
        <v>308.20314391798104</v>
      </c>
      <c r="G7" s="2919">
        <v>2019</v>
      </c>
      <c r="H7" s="1457">
        <v>1</v>
      </c>
      <c r="I7" s="1457">
        <v>0.6</v>
      </c>
      <c r="J7" s="1457">
        <v>0.37</v>
      </c>
      <c r="K7" s="1457">
        <v>0.63</v>
      </c>
      <c r="L7" s="1471">
        <v>1.1299999999999999</v>
      </c>
      <c r="M7" s="1464"/>
      <c r="N7" s="1465">
        <f>I7/100</f>
        <v>6.0000000000000001E-3</v>
      </c>
      <c r="O7" s="1466">
        <f t="shared" ref="O7" si="27">J7/100</f>
        <v>3.7000000000000002E-3</v>
      </c>
      <c r="P7" s="1466">
        <f t="shared" ref="P7" si="28">K7/100</f>
        <v>6.3E-3</v>
      </c>
      <c r="Q7" s="1466">
        <f t="shared" ref="Q7" si="29">L7/100</f>
        <v>1.1299999999999999E-2</v>
      </c>
      <c r="R7" s="1467"/>
      <c r="S7" s="1465">
        <f>B7/B8-1</f>
        <v>6.0000000000000053E-3</v>
      </c>
      <c r="T7" s="1466">
        <f t="shared" ref="T7" si="30">C7/C8-1</f>
        <v>3.7000000000000366E-3</v>
      </c>
      <c r="U7" s="1466">
        <f t="shared" ref="U7" si="31">D7/D8-1</f>
        <v>3.7000000000000366E-3</v>
      </c>
      <c r="V7" s="1466">
        <f t="shared" ref="V7" si="32">E7/E8-1</f>
        <v>6.2999999999999723E-3</v>
      </c>
      <c r="W7" s="1783"/>
      <c r="X7" s="1781">
        <f>ROUND(IF(项目基本情况!B8="出让",SUMPRODUCT(PRODUCT(1+N7:N$27)),SUMPRODUCT(PRODUCT(1+N7:N$26))),4)</f>
        <v>1.5189999999999999</v>
      </c>
      <c r="Y7" s="1781">
        <f>ROUND(IF(项目基本情况!B8="出让",SUMPRODUCT(PRODUCT(1+O7:O$27)),SUMPRODUCT(PRODUCT(1+O7:O$26))),4)</f>
        <v>1.3423</v>
      </c>
      <c r="Z7" s="1781">
        <f t="shared" ref="Z7" si="33">Y7</f>
        <v>1.3423</v>
      </c>
      <c r="AA7" s="1781">
        <f>ROUND(IF(项目基本情况!B8="出让",SUMPRODUCT(PRODUCT(1+P7:P$27)),SUMPRODUCT(PRODUCT(1+P7:P$26))),4)</f>
        <v>1.5782</v>
      </c>
      <c r="AB7" s="1781">
        <f>ROUND(IF(项目基本情况!B8="出让",SUMPRODUCT(PRODUCT(1+Q7:Q$27)),SUMPRODUCT(PRODUCT(1+Q7:Q$26))),4)</f>
        <v>1.3405</v>
      </c>
      <c r="AC7" s="1783"/>
      <c r="AD7" s="1782">
        <f>ROUND(AVERAGE(I7:I$27)/100,4)</f>
        <v>2.1600000000000001E-2</v>
      </c>
      <c r="AE7" s="1782">
        <f>ROUND(AVERAGE(J7:J$27)/100,4)</f>
        <v>1.5299999999999999E-2</v>
      </c>
      <c r="AF7" s="1782">
        <f t="shared" ref="AF7" si="34">AE7</f>
        <v>1.5299999999999999E-2</v>
      </c>
      <c r="AG7" s="1782">
        <f>ROUND(AVERAGE(K7:K$27)/100,4)</f>
        <v>2.3699999999999999E-2</v>
      </c>
      <c r="AH7" s="1782">
        <f>ROUND(AVERAGE(L7:L$27)/100,4)</f>
        <v>1.47E-2</v>
      </c>
    </row>
    <row r="8" spans="1:34" s="1459" customFormat="1">
      <c r="A8" s="1454" t="s">
        <v>3041</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317">
        <v>2018</v>
      </c>
      <c r="H8" s="1455">
        <v>4</v>
      </c>
      <c r="I8" s="1455">
        <v>0.96</v>
      </c>
      <c r="J8" s="1455">
        <v>1.03</v>
      </c>
      <c r="K8" s="1455">
        <v>0.92</v>
      </c>
      <c r="L8" s="1456">
        <v>1.29</v>
      </c>
      <c r="M8" s="1464"/>
      <c r="N8" s="1465">
        <f>I8/100</f>
        <v>9.5999999999999992E-3</v>
      </c>
      <c r="O8" s="1466">
        <f t="shared" ref="O8" si="40">J8/100</f>
        <v>1.03E-2</v>
      </c>
      <c r="P8" s="1466">
        <f t="shared" ref="P8" si="41">K8/100</f>
        <v>9.1999999999999998E-3</v>
      </c>
      <c r="Q8" s="1466">
        <f t="shared" ref="Q8" si="42">L8/100</f>
        <v>1.29E-2</v>
      </c>
      <c r="R8" s="1467"/>
      <c r="S8" s="1465"/>
      <c r="T8" s="1466"/>
      <c r="U8" s="1466"/>
      <c r="V8" s="1466"/>
      <c r="W8" s="1783"/>
      <c r="X8" s="1781">
        <f>ROUND(SUMPRODUCT(PRODUCT(1+N8:N$26)),4)</f>
        <v>1.5099</v>
      </c>
      <c r="Y8" s="1781">
        <f>ROUND(SUMPRODUCT(PRODUCT(1+O8:O$26)),4)</f>
        <v>1.3372999999999999</v>
      </c>
      <c r="Z8" s="1781">
        <f t="shared" ref="Z8" si="43">Y8</f>
        <v>1.3372999999999999</v>
      </c>
      <c r="AA8" s="1781">
        <f>ROUND(SUMPRODUCT(PRODUCT(1+P8:P$26)),4)</f>
        <v>1.5683</v>
      </c>
      <c r="AB8" s="1781">
        <f>ROUND(SUMPRODUCT(PRODUCT(1+Q8:Q$26)),4)</f>
        <v>1.3255999999999999</v>
      </c>
      <c r="AC8" s="1783"/>
      <c r="AD8" s="1782">
        <f>ROUND(AVERAGE(I8:I$27)/100,4)</f>
        <v>2.24E-2</v>
      </c>
      <c r="AE8" s="1782">
        <f>ROUND(AVERAGE(J8:J$27)/100,4)</f>
        <v>1.5800000000000002E-2</v>
      </c>
      <c r="AF8" s="1782">
        <f t="shared" ref="AF8" si="44">AE8</f>
        <v>1.5800000000000002E-2</v>
      </c>
      <c r="AG8" s="1782">
        <f>ROUND(AVERAGE(K8:K$27)/100,4)</f>
        <v>2.4500000000000001E-2</v>
      </c>
      <c r="AH8" s="1782">
        <f>ROUND(AVERAGE(L8:L$27)/100,4)</f>
        <v>1.49E-2</v>
      </c>
    </row>
    <row r="9" spans="1:34" s="1459" customFormat="1" ht="14.4" customHeight="1">
      <c r="A9" s="1454" t="s">
        <v>3030</v>
      </c>
      <c r="B9" s="1470">
        <f t="shared" ref="B9" si="45">B10*(1+N9)</f>
        <v>459.95733971036987</v>
      </c>
      <c r="C9" s="1470">
        <f t="shared" ref="C9" si="46">C10*(1+O9)</f>
        <v>341.22221064422405</v>
      </c>
      <c r="D9" s="1470">
        <f t="shared" ref="D9" si="47">C9</f>
        <v>341.22221064422405</v>
      </c>
      <c r="E9" s="1470">
        <f t="shared" ref="E9" si="48">E10*(1+P9)</f>
        <v>657.19161663724799</v>
      </c>
      <c r="F9" s="1470">
        <f t="shared" ref="F9" si="49">F10*(1+Q9)</f>
        <v>300.87803644464805</v>
      </c>
      <c r="G9" s="3317"/>
      <c r="H9" s="1457">
        <v>3</v>
      </c>
      <c r="I9" s="1457">
        <v>1.51</v>
      </c>
      <c r="J9" s="1457">
        <v>1.41</v>
      </c>
      <c r="K9" s="1457">
        <v>1.52</v>
      </c>
      <c r="L9" s="1471">
        <v>1.74</v>
      </c>
      <c r="M9" s="1464"/>
      <c r="N9" s="1465">
        <f>I9/100</f>
        <v>1.5100000000000001E-2</v>
      </c>
      <c r="O9" s="1466">
        <f t="shared" ref="O9" si="50">J9/100</f>
        <v>1.41E-2</v>
      </c>
      <c r="P9" s="1466">
        <f t="shared" ref="P9" si="51">K9/100</f>
        <v>1.52E-2</v>
      </c>
      <c r="Q9" s="1466">
        <f t="shared" ref="Q9" si="52">L9/100</f>
        <v>1.7399999999999999E-2</v>
      </c>
      <c r="R9" s="1467"/>
      <c r="S9" s="1465"/>
      <c r="T9" s="1466"/>
      <c r="U9" s="1466"/>
      <c r="V9" s="1466"/>
      <c r="W9" s="1783"/>
      <c r="X9" s="1781">
        <f>ROUND(SUMPRODUCT(PRODUCT(1+N9:N$26)),4)</f>
        <v>1.4956</v>
      </c>
      <c r="Y9" s="1781">
        <f>ROUND(SUMPRODUCT(PRODUCT(1+O9:O$26)),4)</f>
        <v>1.3237000000000001</v>
      </c>
      <c r="Z9" s="1781">
        <f t="shared" ref="Z9" si="53">Y9</f>
        <v>1.3237000000000001</v>
      </c>
      <c r="AA9" s="1781">
        <f>ROUND(SUMPRODUCT(PRODUCT(1+P9:P$26)),4)</f>
        <v>1.554</v>
      </c>
      <c r="AB9" s="1781">
        <f>ROUND(SUMPRODUCT(PRODUCT(1+Q9:Q$26)),4)</f>
        <v>1.3087</v>
      </c>
      <c r="AC9" s="1783"/>
      <c r="AD9" s="1782">
        <f>ROUND(AVERAGE(I9:I$27)/100,4)</f>
        <v>2.3099999999999999E-2</v>
      </c>
      <c r="AE9" s="1782">
        <f>ROUND(AVERAGE(J9:J$27)/100,4)</f>
        <v>1.61E-2</v>
      </c>
      <c r="AF9" s="1782">
        <f t="shared" ref="AF9" si="54">AE9</f>
        <v>1.61E-2</v>
      </c>
      <c r="AG9" s="1782">
        <f>ROUND(AVERAGE(K9:K$27)/100,4)</f>
        <v>2.53E-2</v>
      </c>
      <c r="AH9" s="1782">
        <f>ROUND(AVERAGE(L9:L$27)/100,4)</f>
        <v>1.4999999999999999E-2</v>
      </c>
    </row>
    <row r="10" spans="1:34" s="1459" customFormat="1" ht="14.4" customHeight="1">
      <c r="A10" s="1454" t="s">
        <v>3029</v>
      </c>
      <c r="B10" s="1470">
        <f t="shared" ref="B10" si="55">B11*(1+N10)</f>
        <v>453.11529869999993</v>
      </c>
      <c r="C10" s="1470">
        <f t="shared" ref="C10" si="56">C11*(1+O10)</f>
        <v>336.47787264000004</v>
      </c>
      <c r="D10" s="1470">
        <f t="shared" ref="D10" si="57">C10</f>
        <v>336.47787264000004</v>
      </c>
      <c r="E10" s="1470">
        <f t="shared" ref="E10" si="58">E11*(1+P10)</f>
        <v>647.35186823999993</v>
      </c>
      <c r="F10" s="1470">
        <f t="shared" ref="F10" si="59">F11*(1+Q10)</f>
        <v>295.73229452000004</v>
      </c>
      <c r="G10" s="3317"/>
      <c r="H10" s="1458">
        <v>2</v>
      </c>
      <c r="I10" s="1458">
        <v>1.49</v>
      </c>
      <c r="J10" s="1458">
        <v>0.96</v>
      </c>
      <c r="K10" s="1458">
        <v>1.58</v>
      </c>
      <c r="L10" s="1472">
        <v>2.44</v>
      </c>
      <c r="M10" s="1464"/>
      <c r="N10" s="1465">
        <f t="shared" ref="N10" si="60">I10/100</f>
        <v>1.49E-2</v>
      </c>
      <c r="O10" s="1466">
        <f t="shared" ref="O10" si="61">J10/100</f>
        <v>9.5999999999999992E-3</v>
      </c>
      <c r="P10" s="1466">
        <f t="shared" ref="P10" si="62">K10/100</f>
        <v>1.5800000000000002E-2</v>
      </c>
      <c r="Q10" s="1466">
        <f t="shared" ref="Q10" si="63">L10/100</f>
        <v>2.4399999999999998E-2</v>
      </c>
      <c r="R10" s="1467"/>
      <c r="S10" s="1465"/>
      <c r="T10" s="1466"/>
      <c r="U10" s="1466"/>
      <c r="V10" s="1466"/>
      <c r="W10" s="1783"/>
      <c r="X10" s="1781">
        <f>ROUND(SUMPRODUCT(PRODUCT(1+N10:N$26)),4)</f>
        <v>1.4733000000000001</v>
      </c>
      <c r="Y10" s="1781">
        <f>ROUND(SUMPRODUCT(PRODUCT(1+O10:O$26)),4)</f>
        <v>1.3052999999999999</v>
      </c>
      <c r="Z10" s="1781">
        <f t="shared" ref="Z10" si="64">Y10</f>
        <v>1.3052999999999999</v>
      </c>
      <c r="AA10" s="1781">
        <f>ROUND(SUMPRODUCT(PRODUCT(1+P10:P$26)),4)</f>
        <v>1.5306999999999999</v>
      </c>
      <c r="AB10" s="1781">
        <f>ROUND(SUMPRODUCT(PRODUCT(1+Q10:Q$26)),4)</f>
        <v>1.2863</v>
      </c>
      <c r="AC10" s="1783"/>
      <c r="AD10" s="1782">
        <f>ROUND(AVERAGE(I10:I$27)/100,4)</f>
        <v>2.35E-2</v>
      </c>
      <c r="AE10" s="1782">
        <f>ROUND(AVERAGE(J10:J$27)/100,4)</f>
        <v>1.6199999999999999E-2</v>
      </c>
      <c r="AF10" s="1782">
        <f t="shared" ref="AF10" si="65">AE10</f>
        <v>1.6199999999999999E-2</v>
      </c>
      <c r="AG10" s="1782">
        <f>ROUND(AVERAGE(K10:K$27)/100,4)</f>
        <v>2.5899999999999999E-2</v>
      </c>
      <c r="AH10" s="1782">
        <f>ROUND(AVERAGE(L10:L$27)/100,4)</f>
        <v>1.49E-2</v>
      </c>
    </row>
    <row r="11" spans="1:34" s="1459" customFormat="1" ht="15" customHeight="1" thickBot="1">
      <c r="A11" s="1454" t="s">
        <v>3022</v>
      </c>
      <c r="B11" s="1470">
        <f t="shared" ref="B11" si="66">B12*(1+N11)</f>
        <v>446.46299999999997</v>
      </c>
      <c r="C11" s="1470">
        <f t="shared" ref="C11" si="67">C12*(1+O11)</f>
        <v>333.27840000000003</v>
      </c>
      <c r="D11" s="1470">
        <f t="shared" ref="D11" si="68">C11</f>
        <v>333.27840000000003</v>
      </c>
      <c r="E11" s="1470">
        <f t="shared" ref="E11" si="69">E12*(1+P11)</f>
        <v>637.28279999999995</v>
      </c>
      <c r="F11" s="1470">
        <f t="shared" ref="F11" si="70">F12*(1+Q11)</f>
        <v>288.68830000000003</v>
      </c>
      <c r="G11" s="3326"/>
      <c r="H11" s="1457">
        <v>1</v>
      </c>
      <c r="I11" s="1457">
        <v>1.7</v>
      </c>
      <c r="J11" s="1457">
        <v>1.92</v>
      </c>
      <c r="K11" s="1457">
        <v>1.64</v>
      </c>
      <c r="L11" s="1471">
        <v>2.0099999999999998</v>
      </c>
      <c r="M11" s="1464"/>
      <c r="N11" s="1465">
        <f t="shared" ref="N11:N16" si="71">I11/100</f>
        <v>1.7000000000000001E-2</v>
      </c>
      <c r="O11" s="1466">
        <f t="shared" ref="O11" si="72">J11/100</f>
        <v>1.9199999999999998E-2</v>
      </c>
      <c r="P11" s="1466">
        <f t="shared" ref="P11" si="73">K11/100</f>
        <v>1.6399999999999998E-2</v>
      </c>
      <c r="Q11" s="1466">
        <f t="shared" ref="Q11" si="74">L11/100</f>
        <v>2.0099999999999996E-2</v>
      </c>
      <c r="R11" s="1467"/>
      <c r="S11" s="1465">
        <f>B11/B12-1</f>
        <v>1.6999999999999904E-2</v>
      </c>
      <c r="T11" s="1466">
        <f t="shared" ref="T11" si="75">C11/C12-1</f>
        <v>1.9200000000000106E-2</v>
      </c>
      <c r="U11" s="1466">
        <f t="shared" ref="U11" si="76">D11/D12-1</f>
        <v>1.9200000000000106E-2</v>
      </c>
      <c r="V11" s="1466">
        <f t="shared" ref="V11" si="77">E11/E12-1</f>
        <v>1.639999999999997E-2</v>
      </c>
      <c r="W11" s="1783"/>
      <c r="X11" s="1781">
        <f>ROUND(SUMPRODUCT(PRODUCT(1+N11:N$26)),4)</f>
        <v>1.4517</v>
      </c>
      <c r="Y11" s="1781">
        <f>ROUND(SUMPRODUCT(PRODUCT(1+O11:O$26)),4)</f>
        <v>1.2928999999999999</v>
      </c>
      <c r="Z11" s="1781">
        <f t="shared" ref="Z11" si="78">Y11</f>
        <v>1.2928999999999999</v>
      </c>
      <c r="AA11" s="1781">
        <f>ROUND(SUMPRODUCT(PRODUCT(1+P11:P$26)),4)</f>
        <v>1.5068999999999999</v>
      </c>
      <c r="AB11" s="1781">
        <f>ROUND(SUMPRODUCT(PRODUCT(1+Q11:Q$26)),4)</f>
        <v>1.2557</v>
      </c>
      <c r="AC11" s="1783"/>
      <c r="AD11" s="1782">
        <f>ROUND(AVERAGE(I11:I$27)/100,4)</f>
        <v>2.4E-2</v>
      </c>
      <c r="AE11" s="1782">
        <f>ROUND(AVERAGE(J11:J$27)/100,4)</f>
        <v>1.66E-2</v>
      </c>
      <c r="AF11" s="1782">
        <f t="shared" ref="AF11" si="79">AE11</f>
        <v>1.66E-2</v>
      </c>
      <c r="AG11" s="1782">
        <f>ROUND(AVERAGE(K11:K$27)/100,4)</f>
        <v>2.6499999999999999E-2</v>
      </c>
      <c r="AH11" s="1782">
        <f>ROUND(AVERAGE(L11:L$27)/100,4)</f>
        <v>1.43E-2</v>
      </c>
    </row>
    <row r="12" spans="1:34">
      <c r="A12" s="1454" t="s">
        <v>3019</v>
      </c>
      <c r="B12" s="1462">
        <v>439</v>
      </c>
      <c r="C12" s="1462">
        <v>327</v>
      </c>
      <c r="D12" s="1462">
        <f>C12</f>
        <v>327</v>
      </c>
      <c r="E12" s="1462">
        <v>627</v>
      </c>
      <c r="F12" s="1463">
        <v>283</v>
      </c>
      <c r="G12" s="3322">
        <v>2017</v>
      </c>
      <c r="H12" s="1455">
        <v>4</v>
      </c>
      <c r="I12" s="1455">
        <v>1.71</v>
      </c>
      <c r="J12" s="1455">
        <v>1.78</v>
      </c>
      <c r="K12" s="1455">
        <v>1.71</v>
      </c>
      <c r="L12" s="1456">
        <v>1.43</v>
      </c>
      <c r="N12" s="1465">
        <f t="shared" si="71"/>
        <v>1.7100000000000001E-2</v>
      </c>
      <c r="O12" s="1466">
        <f t="shared" ref="O12" si="80">J12/100</f>
        <v>1.78E-2</v>
      </c>
      <c r="P12" s="1466">
        <f t="shared" ref="P12" si="81">K12/100</f>
        <v>1.7100000000000001E-2</v>
      </c>
      <c r="Q12" s="1466">
        <f t="shared" ref="Q12" si="82">L12/100</f>
        <v>1.43E-2</v>
      </c>
      <c r="R12" s="1467"/>
      <c r="S12" s="1468"/>
      <c r="T12" s="1469"/>
      <c r="U12" s="1469"/>
      <c r="V12" s="1469"/>
      <c r="X12" s="1452">
        <f>ROUND(SUMPRODUCT(PRODUCT(1+N12:N$26)),4)</f>
        <v>1.4274</v>
      </c>
      <c r="Y12" s="1452">
        <f>ROUND(SUMPRODUCT(PRODUCT(1+O12:O$26)),4)</f>
        <v>1.2685</v>
      </c>
      <c r="Z12" s="1452">
        <f t="shared" si="0"/>
        <v>1.2685</v>
      </c>
      <c r="AA12" s="1452">
        <f>ROUND(SUMPRODUCT(PRODUCT(1+P12:P$26)),4)</f>
        <v>1.4825999999999999</v>
      </c>
      <c r="AB12" s="1452">
        <f>ROUND(SUMPRODUCT(PRODUCT(1+Q12:Q$26)),4)</f>
        <v>1.2309000000000001</v>
      </c>
      <c r="AD12" s="1453">
        <f>ROUND(AVERAGE(I12:I$27)/100,4)</f>
        <v>2.4500000000000001E-2</v>
      </c>
      <c r="AE12" s="1453">
        <f>ROUND(AVERAGE(J12:J$27)/100,4)</f>
        <v>1.6500000000000001E-2</v>
      </c>
      <c r="AF12" s="1453">
        <f t="shared" si="1"/>
        <v>1.6500000000000001E-2</v>
      </c>
      <c r="AG12" s="1453">
        <f>ROUND(AVERAGE(K12:K$27)/100,4)</f>
        <v>2.7099999999999999E-2</v>
      </c>
      <c r="AH12" s="1453">
        <f>ROUND(AVERAGE(L12:L$27)/100,4)</f>
        <v>1.3899999999999999E-2</v>
      </c>
    </row>
    <row r="13" spans="1:34" s="1459" customFormat="1" ht="14.4" customHeight="1">
      <c r="A13" s="1454" t="s">
        <v>3020</v>
      </c>
      <c r="B13" s="1470">
        <f t="shared" ref="B13:B14" si="83">B14*(1+N13)</f>
        <v>431.80730811680002</v>
      </c>
      <c r="C13" s="1470">
        <f t="shared" ref="C13:C14" si="84">C14*(1+O13)</f>
        <v>320.57880516480003</v>
      </c>
      <c r="D13" s="1470">
        <f t="shared" ref="D13:D14" si="85">C13</f>
        <v>320.57880516480003</v>
      </c>
      <c r="E13" s="1470">
        <f t="shared" ref="E13:E14" si="86">E14*(1+P13)</f>
        <v>615.96110553196797</v>
      </c>
      <c r="F13" s="1470">
        <f t="shared" ref="F13:F14" si="87">F14*(1+Q13)</f>
        <v>279.46777300108801</v>
      </c>
      <c r="G13" s="3317"/>
      <c r="H13" s="1457">
        <v>3</v>
      </c>
      <c r="I13" s="1457">
        <v>2.98</v>
      </c>
      <c r="J13" s="1457">
        <v>2.11</v>
      </c>
      <c r="K13" s="1457">
        <v>3.24</v>
      </c>
      <c r="L13" s="1471">
        <v>1.72</v>
      </c>
      <c r="M13" s="1464"/>
      <c r="N13" s="1465">
        <f t="shared" si="71"/>
        <v>2.98E-2</v>
      </c>
      <c r="O13" s="1466">
        <f t="shared" ref="O13" si="88">J13/100</f>
        <v>2.1099999999999997E-2</v>
      </c>
      <c r="P13" s="1466">
        <f t="shared" ref="P13" si="89">K13/100</f>
        <v>3.2400000000000005E-2</v>
      </c>
      <c r="Q13" s="1466">
        <f t="shared" ref="Q13" si="90">L13/100</f>
        <v>1.72E-2</v>
      </c>
      <c r="R13" s="1467"/>
      <c r="S13" s="1465"/>
      <c r="T13" s="1466"/>
      <c r="U13" s="1466"/>
      <c r="V13" s="1466"/>
      <c r="W13" s="1783"/>
      <c r="X13" s="1781">
        <f>ROUND(SUMPRODUCT(PRODUCT(1+N13:N$26)),4)</f>
        <v>1.4034</v>
      </c>
      <c r="Y13" s="1781">
        <f>ROUND(SUMPRODUCT(PRODUCT(1+O13:O$26)),4)</f>
        <v>1.2463</v>
      </c>
      <c r="Z13" s="1781">
        <f t="shared" si="0"/>
        <v>1.2463</v>
      </c>
      <c r="AA13" s="1781">
        <f>ROUND(SUMPRODUCT(PRODUCT(1+P13:P$26)),4)</f>
        <v>1.4577</v>
      </c>
      <c r="AB13" s="1781">
        <f>ROUND(SUMPRODUCT(PRODUCT(1+Q13:Q$26)),4)</f>
        <v>1.2136</v>
      </c>
      <c r="AC13" s="1783"/>
      <c r="AD13" s="1782">
        <f>ROUND(AVERAGE(I13:I$27)/100,4)</f>
        <v>2.4899999999999999E-2</v>
      </c>
      <c r="AE13" s="1782">
        <f>ROUND(AVERAGE(J13:J$27)/100,4)</f>
        <v>1.6400000000000001E-2</v>
      </c>
      <c r="AF13" s="1782">
        <f t="shared" si="1"/>
        <v>1.6400000000000001E-2</v>
      </c>
      <c r="AG13" s="1782">
        <f>ROUND(AVERAGE(K13:K$27)/100,4)</f>
        <v>2.7799999999999998E-2</v>
      </c>
      <c r="AH13" s="1782">
        <f>ROUND(AVERAGE(L13:L$27)/100,4)</f>
        <v>1.3899999999999999E-2</v>
      </c>
    </row>
    <row r="14" spans="1:34" s="1724" customFormat="1" ht="14.4" customHeight="1">
      <c r="A14" s="1454" t="s">
        <v>1381</v>
      </c>
      <c r="B14" s="1470">
        <f t="shared" si="83"/>
        <v>419.31181600000002</v>
      </c>
      <c r="C14" s="1470">
        <f t="shared" si="84"/>
        <v>313.95436800000004</v>
      </c>
      <c r="D14" s="1470">
        <f t="shared" si="85"/>
        <v>313.95436800000004</v>
      </c>
      <c r="E14" s="1470">
        <f t="shared" si="86"/>
        <v>596.63028431999999</v>
      </c>
      <c r="F14" s="1470">
        <f t="shared" si="87"/>
        <v>274.74220703999998</v>
      </c>
      <c r="G14" s="3317"/>
      <c r="H14" s="1458">
        <v>2</v>
      </c>
      <c r="I14" s="1458">
        <v>3.4</v>
      </c>
      <c r="J14" s="1458">
        <v>2</v>
      </c>
      <c r="K14" s="1458">
        <v>3.82</v>
      </c>
      <c r="L14" s="1472">
        <v>1.68</v>
      </c>
      <c r="M14" s="1464"/>
      <c r="N14" s="1465">
        <f t="shared" si="71"/>
        <v>3.4000000000000002E-2</v>
      </c>
      <c r="O14" s="1466">
        <f t="shared" ref="O14" si="91">J14/100</f>
        <v>0.02</v>
      </c>
      <c r="P14" s="1466">
        <f t="shared" ref="P14" si="92">K14/100</f>
        <v>3.8199999999999998E-2</v>
      </c>
      <c r="Q14" s="1466">
        <f t="shared" ref="Q14" si="93">L14/100</f>
        <v>1.6799999999999999E-2</v>
      </c>
      <c r="R14" s="1467"/>
      <c r="S14" s="1468"/>
      <c r="T14" s="1469"/>
      <c r="U14" s="1469"/>
      <c r="V14" s="1469"/>
      <c r="W14" s="1446"/>
      <c r="X14" s="1781">
        <f>ROUND(SUMPRODUCT(PRODUCT(1+N14:N$26)),4)</f>
        <v>1.3628</v>
      </c>
      <c r="Y14" s="1781">
        <f>ROUND(SUMPRODUCT(PRODUCT(1+O14:O$26)),4)</f>
        <v>1.2205999999999999</v>
      </c>
      <c r="Z14" s="1781">
        <f t="shared" si="0"/>
        <v>1.2205999999999999</v>
      </c>
      <c r="AA14" s="1781">
        <f>ROUND(SUMPRODUCT(PRODUCT(1+P14:P$26)),4)</f>
        <v>1.4118999999999999</v>
      </c>
      <c r="AB14" s="1781">
        <f>ROUND(SUMPRODUCT(PRODUCT(1+Q14:Q$26)),4)</f>
        <v>1.1930000000000001</v>
      </c>
      <c r="AC14" s="1446"/>
      <c r="AD14" s="1782">
        <f>ROUND(AVERAGE(I14:I$27)/100,4)</f>
        <v>2.46E-2</v>
      </c>
      <c r="AE14" s="1782">
        <f>ROUND(AVERAGE(J14:J$27)/100,4)</f>
        <v>1.6E-2</v>
      </c>
      <c r="AF14" s="1782">
        <f t="shared" si="1"/>
        <v>1.6E-2</v>
      </c>
      <c r="AG14" s="1782">
        <f>ROUND(AVERAGE(K14:K$27)/100,4)</f>
        <v>2.75E-2</v>
      </c>
      <c r="AH14" s="1782">
        <f>ROUND(AVERAGE(L14:L$27)/100,4)</f>
        <v>1.37E-2</v>
      </c>
    </row>
    <row r="15" spans="1:34" s="1459" customFormat="1" ht="15" customHeight="1" thickBot="1">
      <c r="A15" s="1454" t="s">
        <v>1157</v>
      </c>
      <c r="B15" s="1470">
        <f>B16*(1+N15)</f>
        <v>405.524</v>
      </c>
      <c r="C15" s="1470">
        <f>C16*(1+O15)</f>
        <v>307.79840000000002</v>
      </c>
      <c r="D15" s="1470">
        <f>C15</f>
        <v>307.79840000000002</v>
      </c>
      <c r="E15" s="1470">
        <f>E16*(1+P15)</f>
        <v>574.67759999999998</v>
      </c>
      <c r="F15" s="1470">
        <f>F16*(1+Q15)</f>
        <v>270.20280000000002</v>
      </c>
      <c r="G15" s="3326"/>
      <c r="H15" s="1457">
        <v>1</v>
      </c>
      <c r="I15" s="1457">
        <v>3.45</v>
      </c>
      <c r="J15" s="1457">
        <v>1.92</v>
      </c>
      <c r="K15" s="1457">
        <v>3.92</v>
      </c>
      <c r="L15" s="1471">
        <v>1.58</v>
      </c>
      <c r="M15" s="1464"/>
      <c r="N15" s="1465">
        <f t="shared" si="71"/>
        <v>3.4500000000000003E-2</v>
      </c>
      <c r="O15" s="1466">
        <f t="shared" ref="O15:Q30" si="94">J15/100</f>
        <v>1.9199999999999998E-2</v>
      </c>
      <c r="P15" s="1466">
        <f t="shared" si="94"/>
        <v>3.9199999999999999E-2</v>
      </c>
      <c r="Q15" s="1466">
        <f t="shared" si="94"/>
        <v>1.5800000000000002E-2</v>
      </c>
      <c r="R15" s="1467"/>
      <c r="S15" s="1465">
        <f>B15/B16-1</f>
        <v>3.4499999999999975E-2</v>
      </c>
      <c r="T15" s="1466">
        <f t="shared" ref="T15:V15" si="95">C15/C16-1</f>
        <v>1.9200000000000106E-2</v>
      </c>
      <c r="U15" s="1466">
        <f t="shared" si="95"/>
        <v>1.9200000000000106E-2</v>
      </c>
      <c r="V15" s="1466">
        <f t="shared" si="95"/>
        <v>3.9199999999999902E-2</v>
      </c>
      <c r="W15" s="1783"/>
      <c r="X15" s="1781">
        <f>ROUND(SUMPRODUCT(PRODUCT(1+N15:N$26)),4)</f>
        <v>1.3180000000000001</v>
      </c>
      <c r="Y15" s="1781">
        <f>ROUND(SUMPRODUCT(PRODUCT(1+O15:O$26)),4)</f>
        <v>1.1966000000000001</v>
      </c>
      <c r="Z15" s="1781">
        <f t="shared" si="0"/>
        <v>1.1966000000000001</v>
      </c>
      <c r="AA15" s="1781">
        <f>ROUND(SUMPRODUCT(PRODUCT(1+P15:P$26)),4)</f>
        <v>1.36</v>
      </c>
      <c r="AB15" s="1781">
        <f>ROUND(SUMPRODUCT(PRODUCT(1+Q15:Q$26)),4)</f>
        <v>1.1733</v>
      </c>
      <c r="AC15" s="1783"/>
      <c r="AD15" s="1782">
        <f>ROUND(AVERAGE(I15:I$27)/100,4)</f>
        <v>2.3900000000000001E-2</v>
      </c>
      <c r="AE15" s="1782">
        <f>ROUND(AVERAGE(J15:J$27)/100,4)</f>
        <v>1.5699999999999999E-2</v>
      </c>
      <c r="AF15" s="1782">
        <f t="shared" si="1"/>
        <v>1.5699999999999999E-2</v>
      </c>
      <c r="AG15" s="1782">
        <f>ROUND(AVERAGE(K15:K$27)/100,4)</f>
        <v>2.6599999999999999E-2</v>
      </c>
      <c r="AH15" s="1782">
        <f>ROUND(AVERAGE(L15:L$27)/100,4)</f>
        <v>1.34E-2</v>
      </c>
    </row>
    <row r="16" spans="1:34">
      <c r="A16" s="1454" t="s">
        <v>154</v>
      </c>
      <c r="B16" s="1462">
        <v>392</v>
      </c>
      <c r="C16" s="1462">
        <v>302</v>
      </c>
      <c r="D16" s="1462">
        <f>C16</f>
        <v>302</v>
      </c>
      <c r="E16" s="1462">
        <v>553</v>
      </c>
      <c r="F16" s="1463">
        <v>266</v>
      </c>
      <c r="G16" s="3322">
        <v>2016</v>
      </c>
      <c r="H16" s="1455">
        <v>4</v>
      </c>
      <c r="I16" s="1455">
        <v>4.5599999999999996</v>
      </c>
      <c r="J16" s="1455">
        <v>2.15</v>
      </c>
      <c r="K16" s="1455">
        <v>5.32</v>
      </c>
      <c r="L16" s="1456">
        <v>1.57</v>
      </c>
      <c r="N16" s="1465">
        <f t="shared" si="71"/>
        <v>4.5599999999999995E-2</v>
      </c>
      <c r="O16" s="1466">
        <f t="shared" si="94"/>
        <v>2.1499999999999998E-2</v>
      </c>
      <c r="P16" s="1466">
        <f t="shared" si="94"/>
        <v>5.3200000000000004E-2</v>
      </c>
      <c r="Q16" s="1466">
        <f t="shared" si="94"/>
        <v>1.5700000000000002E-2</v>
      </c>
      <c r="R16" s="1467"/>
      <c r="S16" s="1468"/>
      <c r="T16" s="1469"/>
      <c r="U16" s="1469"/>
      <c r="V16" s="1469"/>
      <c r="X16" s="1452">
        <f>ROUND(SUMPRODUCT(PRODUCT(1+N16:N$26)),4)</f>
        <v>1.274</v>
      </c>
      <c r="Y16" s="1452">
        <f>ROUND(SUMPRODUCT(PRODUCT(1+O16:O$26)),4)</f>
        <v>1.1740999999999999</v>
      </c>
      <c r="Z16" s="1452">
        <f t="shared" si="0"/>
        <v>1.1740999999999999</v>
      </c>
      <c r="AA16" s="1452">
        <f>ROUND(SUMPRODUCT(PRODUCT(1+P16:P$26)),4)</f>
        <v>1.3087</v>
      </c>
      <c r="AB16" s="1452">
        <f>ROUND(SUMPRODUCT(PRODUCT(1+Q16:Q$26)),4)</f>
        <v>1.1551</v>
      </c>
      <c r="AD16" s="1453">
        <f>ROUND(AVERAGE(I16:I$27)/100,4)</f>
        <v>2.3E-2</v>
      </c>
      <c r="AE16" s="1453">
        <f>ROUND(AVERAGE(J16:J$27)/100,4)</f>
        <v>1.55E-2</v>
      </c>
      <c r="AF16" s="1453">
        <f t="shared" si="1"/>
        <v>1.55E-2</v>
      </c>
      <c r="AG16" s="1453">
        <f>ROUND(AVERAGE(K16:K$27)/100,4)</f>
        <v>2.5600000000000001E-2</v>
      </c>
      <c r="AH16" s="1453">
        <f>ROUND(AVERAGE(L16:L$27)/100,4)</f>
        <v>1.32E-2</v>
      </c>
    </row>
    <row r="17" spans="1:34">
      <c r="A17" s="1454" t="s">
        <v>153</v>
      </c>
      <c r="B17" s="1470">
        <f t="shared" ref="B17:C19" si="96">B16/(1+N16)</f>
        <v>374.90436113236416</v>
      </c>
      <c r="C17" s="1470">
        <f t="shared" si="96"/>
        <v>295.64366128242779</v>
      </c>
      <c r="D17" s="1470">
        <f t="shared" ref="D17:D76" si="97">C17</f>
        <v>295.64366128242779</v>
      </c>
      <c r="E17" s="1470">
        <f t="shared" ref="E17:F19" si="98">E16/(1+P16)</f>
        <v>525.06646410938095</v>
      </c>
      <c r="F17" s="1470">
        <f t="shared" si="98"/>
        <v>261.88835286009646</v>
      </c>
      <c r="G17" s="3317"/>
      <c r="H17" s="1457">
        <v>3</v>
      </c>
      <c r="I17" s="1457">
        <v>4.12</v>
      </c>
      <c r="J17" s="1457">
        <v>2</v>
      </c>
      <c r="K17" s="1457">
        <v>4.79</v>
      </c>
      <c r="L17" s="1471">
        <v>1.97</v>
      </c>
      <c r="N17" s="1465">
        <f t="shared" ref="N17:Q51" si="99">I17/100</f>
        <v>4.1200000000000001E-2</v>
      </c>
      <c r="O17" s="1466">
        <f t="shared" si="94"/>
        <v>0.02</v>
      </c>
      <c r="P17" s="1466">
        <f t="shared" si="94"/>
        <v>4.7899999999999998E-2</v>
      </c>
      <c r="Q17" s="1466">
        <f t="shared" si="94"/>
        <v>1.9699999999999999E-2</v>
      </c>
      <c r="R17" s="1467"/>
      <c r="S17" s="1465"/>
      <c r="T17" s="1466"/>
      <c r="U17" s="1466"/>
      <c r="V17" s="1466"/>
      <c r="X17" s="1452">
        <f>ROUND(SUMPRODUCT(PRODUCT(1+N17:N$26)),4)</f>
        <v>1.2184999999999999</v>
      </c>
      <c r="Y17" s="1452">
        <f>ROUND(SUMPRODUCT(PRODUCT(1+O17:O$26)),4)</f>
        <v>1.1494</v>
      </c>
      <c r="Z17" s="1452">
        <f t="shared" si="0"/>
        <v>1.1494</v>
      </c>
      <c r="AA17" s="1452">
        <f>ROUND(SUMPRODUCT(PRODUCT(1+P17:P$26)),4)</f>
        <v>1.2425999999999999</v>
      </c>
      <c r="AB17" s="1452">
        <f>ROUND(SUMPRODUCT(PRODUCT(1+Q17:Q$26)),4)</f>
        <v>1.1372</v>
      </c>
      <c r="AD17" s="1453">
        <f>ROUND(AVERAGE(I17:I$27)/100,4)</f>
        <v>2.0899999999999998E-2</v>
      </c>
      <c r="AE17" s="1453">
        <f>ROUND(AVERAGE(J17:J$27)/100,4)</f>
        <v>1.49E-2</v>
      </c>
      <c r="AF17" s="1453">
        <f t="shared" si="1"/>
        <v>1.49E-2</v>
      </c>
      <c r="AG17" s="1453">
        <f>ROUND(AVERAGE(K17:K$27)/100,4)</f>
        <v>2.3099999999999999E-2</v>
      </c>
      <c r="AH17" s="1453">
        <f>ROUND(AVERAGE(L17:L$27)/100,4)</f>
        <v>1.2999999999999999E-2</v>
      </c>
    </row>
    <row r="18" spans="1:34">
      <c r="A18" s="1454" t="s">
        <v>143</v>
      </c>
      <c r="B18" s="1470">
        <f t="shared" si="96"/>
        <v>360.06949782209392</v>
      </c>
      <c r="C18" s="1470">
        <f t="shared" si="96"/>
        <v>289.84672674747821</v>
      </c>
      <c r="D18" s="1470">
        <f t="shared" si="97"/>
        <v>289.84672674747821</v>
      </c>
      <c r="E18" s="1470">
        <f t="shared" si="98"/>
        <v>501.06543001181495</v>
      </c>
      <c r="F18" s="1470">
        <f t="shared" si="98"/>
        <v>256.82882500744967</v>
      </c>
      <c r="G18" s="3317"/>
      <c r="H18" s="1458">
        <v>2</v>
      </c>
      <c r="I18" s="1458">
        <v>3.85</v>
      </c>
      <c r="J18" s="1458">
        <v>1.95</v>
      </c>
      <c r="K18" s="1458">
        <v>4.4800000000000004</v>
      </c>
      <c r="L18" s="1472">
        <v>1.41</v>
      </c>
      <c r="N18" s="1465">
        <f t="shared" si="99"/>
        <v>3.85E-2</v>
      </c>
      <c r="O18" s="1466">
        <f t="shared" si="94"/>
        <v>1.95E-2</v>
      </c>
      <c r="P18" s="1466">
        <f t="shared" si="94"/>
        <v>4.4800000000000006E-2</v>
      </c>
      <c r="Q18" s="1466">
        <f t="shared" si="94"/>
        <v>1.41E-2</v>
      </c>
      <c r="R18" s="1467"/>
      <c r="S18" s="1465"/>
      <c r="T18" s="1466"/>
      <c r="U18" s="1466"/>
      <c r="V18" s="1466"/>
      <c r="X18" s="1452">
        <f>ROUND(SUMPRODUCT(PRODUCT(1+N18:N$26)),4)</f>
        <v>1.1702999999999999</v>
      </c>
      <c r="Y18" s="1452">
        <f>ROUND(SUMPRODUCT(PRODUCT(1+O18:O$26)),4)</f>
        <v>1.1269</v>
      </c>
      <c r="Z18" s="1452">
        <f t="shared" si="0"/>
        <v>1.1269</v>
      </c>
      <c r="AA18" s="1452">
        <f>ROUND(SUMPRODUCT(PRODUCT(1+P18:P$26)),4)</f>
        <v>1.1858</v>
      </c>
      <c r="AB18" s="1452">
        <f>ROUND(SUMPRODUCT(PRODUCT(1+Q18:Q$26)),4)</f>
        <v>1.1152</v>
      </c>
      <c r="AD18" s="1453">
        <f>ROUND(AVERAGE(I18:I$27)/100,4)</f>
        <v>1.89E-2</v>
      </c>
      <c r="AE18" s="1453">
        <f>ROUND(AVERAGE(J18:J$27)/100,4)</f>
        <v>1.44E-2</v>
      </c>
      <c r="AF18" s="1453">
        <f t="shared" si="1"/>
        <v>1.44E-2</v>
      </c>
      <c r="AG18" s="1453">
        <f>ROUND(AVERAGE(K18:K$27)/100,4)</f>
        <v>2.06E-2</v>
      </c>
      <c r="AH18" s="1453">
        <f>ROUND(AVERAGE(L18:L$27)/100,4)</f>
        <v>1.23E-2</v>
      </c>
    </row>
    <row r="19" spans="1:34" ht="13.8" thickBot="1">
      <c r="A19" s="1454" t="s">
        <v>152</v>
      </c>
      <c r="B19" s="1470">
        <f t="shared" si="96"/>
        <v>346.720748986128</v>
      </c>
      <c r="C19" s="1470">
        <f t="shared" si="96"/>
        <v>284.30282172386285</v>
      </c>
      <c r="D19" s="1470">
        <f t="shared" si="97"/>
        <v>284.30282172386285</v>
      </c>
      <c r="E19" s="1470">
        <f t="shared" si="98"/>
        <v>479.58023546306947</v>
      </c>
      <c r="F19" s="1470">
        <f t="shared" si="98"/>
        <v>253.25788877571213</v>
      </c>
      <c r="G19" s="3318"/>
      <c r="H19" s="1457">
        <v>1</v>
      </c>
      <c r="I19" s="1457">
        <v>4.09</v>
      </c>
      <c r="J19" s="1457">
        <v>2.93</v>
      </c>
      <c r="K19" s="1457">
        <v>4.54</v>
      </c>
      <c r="L19" s="1471">
        <v>1.48</v>
      </c>
      <c r="N19" s="1465">
        <f t="shared" si="99"/>
        <v>4.0899999999999999E-2</v>
      </c>
      <c r="O19" s="1466">
        <f t="shared" si="94"/>
        <v>2.9300000000000003E-2</v>
      </c>
      <c r="P19" s="1466">
        <f t="shared" si="94"/>
        <v>4.5400000000000003E-2</v>
      </c>
      <c r="Q19" s="1466">
        <f t="shared" si="94"/>
        <v>1.4800000000000001E-2</v>
      </c>
      <c r="R19" s="1467"/>
      <c r="S19" s="1473">
        <f>B19/B20-1</f>
        <v>4.1203450408792808E-2</v>
      </c>
      <c r="T19" s="1474">
        <f>C19/C20-1</f>
        <v>2.6363977342465095E-2</v>
      </c>
      <c r="U19" s="1474">
        <f>E19/E20-1</f>
        <v>4.4837114298626357E-2</v>
      </c>
      <c r="V19" s="1474">
        <f>F19/F20-1</f>
        <v>1.7099954922538574E-2</v>
      </c>
      <c r="X19" s="1452">
        <f>ROUND(SUMPRODUCT(PRODUCT(1+N19:N$26)),4)</f>
        <v>1.1269</v>
      </c>
      <c r="Y19" s="1452">
        <f>ROUND(SUMPRODUCT(PRODUCT(1+O19:O$26)),4)</f>
        <v>1.1052999999999999</v>
      </c>
      <c r="Z19" s="1452">
        <f t="shared" si="0"/>
        <v>1.1052999999999999</v>
      </c>
      <c r="AA19" s="1452">
        <f>ROUND(SUMPRODUCT(PRODUCT(1+P19:P$26)),4)</f>
        <v>1.1349</v>
      </c>
      <c r="AB19" s="1452">
        <f>ROUND(SUMPRODUCT(PRODUCT(1+Q19:Q$26)),4)</f>
        <v>1.0996999999999999</v>
      </c>
      <c r="AD19" s="1453">
        <f>ROUND(AVERAGE(I19:I$27)/100,4)</f>
        <v>1.67E-2</v>
      </c>
      <c r="AE19" s="1453">
        <f>ROUND(AVERAGE(J19:J$27)/100,4)</f>
        <v>1.38E-2</v>
      </c>
      <c r="AF19" s="1453">
        <f t="shared" si="1"/>
        <v>1.38E-2</v>
      </c>
      <c r="AG19" s="1453">
        <f>ROUND(AVERAGE(K19:K$27)/100,4)</f>
        <v>1.7899999999999999E-2</v>
      </c>
      <c r="AH19" s="1453">
        <f>ROUND(AVERAGE(L19:L$27)/100,4)</f>
        <v>1.21E-2</v>
      </c>
    </row>
    <row r="20" spans="1:34" ht="13.8" thickBot="1">
      <c r="A20" s="1454" t="s">
        <v>151</v>
      </c>
      <c r="B20" s="1462">
        <v>333</v>
      </c>
      <c r="C20" s="1462">
        <v>277</v>
      </c>
      <c r="D20" s="1462">
        <f t="shared" si="97"/>
        <v>277</v>
      </c>
      <c r="E20" s="1462">
        <v>459</v>
      </c>
      <c r="F20" s="1463">
        <v>249</v>
      </c>
      <c r="G20" s="3316">
        <v>2015</v>
      </c>
      <c r="H20" s="1475">
        <v>4</v>
      </c>
      <c r="I20" s="1475">
        <v>1.63</v>
      </c>
      <c r="J20" s="1475">
        <v>1.1100000000000001</v>
      </c>
      <c r="K20" s="1475">
        <v>1.77</v>
      </c>
      <c r="L20" s="1476">
        <v>1.89</v>
      </c>
      <c r="N20" s="1477">
        <f t="shared" si="99"/>
        <v>1.6299999999999999E-2</v>
      </c>
      <c r="O20" s="1478">
        <f t="shared" si="94"/>
        <v>1.11E-2</v>
      </c>
      <c r="P20" s="1478">
        <f t="shared" si="94"/>
        <v>1.77E-2</v>
      </c>
      <c r="Q20" s="1478">
        <f t="shared" si="94"/>
        <v>1.89E-2</v>
      </c>
      <c r="R20" s="1467"/>
      <c r="X20" s="1452">
        <f>ROUND(SUMPRODUCT(PRODUCT(1+N20:N$26)),4)</f>
        <v>1.0826</v>
      </c>
      <c r="Y20" s="1452">
        <f>ROUND(SUMPRODUCT(PRODUCT(1+O20:O$26)),4)</f>
        <v>1.0738000000000001</v>
      </c>
      <c r="Z20" s="1452">
        <f t="shared" si="0"/>
        <v>1.0738000000000001</v>
      </c>
      <c r="AA20" s="1452">
        <f>ROUND(SUMPRODUCT(PRODUCT(1+P20:P$26)),4)</f>
        <v>1.0855999999999999</v>
      </c>
      <c r="AB20" s="1452">
        <f>ROUND(SUMPRODUCT(PRODUCT(1+Q20:Q$26)),4)</f>
        <v>1.0837000000000001</v>
      </c>
      <c r="AD20" s="1453">
        <f>ROUND(AVERAGE(I20:I$27)/100,4)</f>
        <v>1.37E-2</v>
      </c>
      <c r="AE20" s="1453">
        <f>ROUND(AVERAGE(J20:J$27)/100,4)</f>
        <v>1.1900000000000001E-2</v>
      </c>
      <c r="AF20" s="1453">
        <f t="shared" si="1"/>
        <v>1.1900000000000001E-2</v>
      </c>
      <c r="AG20" s="1453">
        <f>ROUND(AVERAGE(K20:K$27)/100,4)</f>
        <v>1.4500000000000001E-2</v>
      </c>
      <c r="AH20" s="1453">
        <f>ROUND(AVERAGE(L20:L$27)/100,4)</f>
        <v>1.18E-2</v>
      </c>
    </row>
    <row r="21" spans="1:34">
      <c r="A21" s="1454" t="s">
        <v>150</v>
      </c>
      <c r="B21" s="1470">
        <f t="shared" ref="B21:C23" si="100">B20/(1+N20)</f>
        <v>327.65915576109415</v>
      </c>
      <c r="C21" s="1470">
        <f t="shared" si="100"/>
        <v>273.95905449510434</v>
      </c>
      <c r="D21" s="1470">
        <f t="shared" si="97"/>
        <v>273.95905449510434</v>
      </c>
      <c r="E21" s="1470">
        <f t="shared" ref="E21:F23" si="101">E20/(1+P20)</f>
        <v>451.01699911565294</v>
      </c>
      <c r="F21" s="1470">
        <f t="shared" si="101"/>
        <v>244.38119540681129</v>
      </c>
      <c r="G21" s="3317"/>
      <c r="H21" s="1480">
        <v>3</v>
      </c>
      <c r="I21" s="1480">
        <v>1.65</v>
      </c>
      <c r="J21" s="1480">
        <v>0.92</v>
      </c>
      <c r="K21" s="1480">
        <v>1.88</v>
      </c>
      <c r="L21" s="1481">
        <v>1.26</v>
      </c>
      <c r="N21" s="1465">
        <f t="shared" si="99"/>
        <v>1.6500000000000001E-2</v>
      </c>
      <c r="O21" s="1482">
        <f t="shared" si="94"/>
        <v>9.1999999999999998E-3</v>
      </c>
      <c r="P21" s="1482">
        <f t="shared" si="94"/>
        <v>1.8799999999999997E-2</v>
      </c>
      <c r="Q21" s="1482">
        <f t="shared" si="94"/>
        <v>1.26E-2</v>
      </c>
      <c r="R21" s="1467"/>
      <c r="S21" s="1465"/>
      <c r="T21" s="1466"/>
      <c r="U21" s="1466"/>
      <c r="V21" s="1466"/>
      <c r="X21" s="1452">
        <f>ROUND(SUMPRODUCT(PRODUCT(1+N21:N$26)),4)</f>
        <v>1.0651999999999999</v>
      </c>
      <c r="Y21" s="1452">
        <f>ROUND(SUMPRODUCT(PRODUCT(1+O21:O$26)),4)</f>
        <v>1.0621</v>
      </c>
      <c r="Z21" s="1452">
        <f t="shared" si="0"/>
        <v>1.0621</v>
      </c>
      <c r="AA21" s="1452">
        <f>ROUND(SUMPRODUCT(PRODUCT(1+P21:P$26)),4)</f>
        <v>1.0668</v>
      </c>
      <c r="AB21" s="1452">
        <f>ROUND(SUMPRODUCT(PRODUCT(1+Q21:Q$26)),4)</f>
        <v>1.0636000000000001</v>
      </c>
      <c r="AD21" s="1453">
        <f>ROUND(AVERAGE(I21:I$27)/100,4)</f>
        <v>1.3299999999999999E-2</v>
      </c>
      <c r="AE21" s="1453">
        <f>ROUND(AVERAGE(J21:J$27)/100,4)</f>
        <v>1.2E-2</v>
      </c>
      <c r="AF21" s="1453">
        <f t="shared" si="1"/>
        <v>1.2E-2</v>
      </c>
      <c r="AG21" s="1453">
        <f>ROUND(AVERAGE(K21:K$27)/100,4)</f>
        <v>1.4E-2</v>
      </c>
      <c r="AH21" s="1453">
        <f>ROUND(AVERAGE(L21:L$27)/100,4)</f>
        <v>1.0800000000000001E-2</v>
      </c>
    </row>
    <row r="22" spans="1:34">
      <c r="A22" s="1454" t="s">
        <v>149</v>
      </c>
      <c r="B22" s="1470">
        <f t="shared" si="100"/>
        <v>322.34053690220776</v>
      </c>
      <c r="C22" s="1470">
        <f t="shared" si="100"/>
        <v>271.46160770422546</v>
      </c>
      <c r="D22" s="1470">
        <f t="shared" si="97"/>
        <v>271.46160770422546</v>
      </c>
      <c r="E22" s="1470">
        <f t="shared" si="101"/>
        <v>442.69434542172456</v>
      </c>
      <c r="F22" s="1470">
        <f t="shared" si="101"/>
        <v>241.34030753190925</v>
      </c>
      <c r="G22" s="3317"/>
      <c r="H22" s="1458">
        <v>2</v>
      </c>
      <c r="I22" s="1458">
        <v>0.77</v>
      </c>
      <c r="J22" s="1458">
        <v>0.69</v>
      </c>
      <c r="K22" s="1458">
        <v>0.8</v>
      </c>
      <c r="L22" s="1472">
        <v>0.88</v>
      </c>
      <c r="N22" s="1465">
        <f t="shared" si="99"/>
        <v>7.7000000000000002E-3</v>
      </c>
      <c r="O22" s="1482">
        <f t="shared" si="94"/>
        <v>6.8999999999999999E-3</v>
      </c>
      <c r="P22" s="1482">
        <f t="shared" si="94"/>
        <v>8.0000000000000002E-3</v>
      </c>
      <c r="Q22" s="1482">
        <f t="shared" si="94"/>
        <v>8.8000000000000005E-3</v>
      </c>
      <c r="R22" s="1467"/>
      <c r="S22" s="1465"/>
      <c r="T22" s="1466"/>
      <c r="U22" s="1466"/>
      <c r="V22" s="1466"/>
      <c r="X22" s="1452">
        <f>ROUND(SUMPRODUCT(PRODUCT(1+N22:N$26)),4)</f>
        <v>1.048</v>
      </c>
      <c r="Y22" s="1452">
        <f>ROUND(SUMPRODUCT(PRODUCT(1+O22:O$26)),4)</f>
        <v>1.0524</v>
      </c>
      <c r="Z22" s="1452">
        <f t="shared" si="0"/>
        <v>1.0524</v>
      </c>
      <c r="AA22" s="1452">
        <f>ROUND(SUMPRODUCT(PRODUCT(1+P22:P$26)),4)</f>
        <v>1.0470999999999999</v>
      </c>
      <c r="AB22" s="1452">
        <f>ROUND(SUMPRODUCT(PRODUCT(1+Q22:Q$26)),4)</f>
        <v>1.0504</v>
      </c>
      <c r="AD22" s="1453">
        <f>ROUND(AVERAGE(I22:I$27)/100,4)</f>
        <v>1.2800000000000001E-2</v>
      </c>
      <c r="AE22" s="1453">
        <f>ROUND(AVERAGE(J22:J$27)/100,4)</f>
        <v>1.2500000000000001E-2</v>
      </c>
      <c r="AF22" s="1453">
        <f t="shared" si="1"/>
        <v>1.2500000000000001E-2</v>
      </c>
      <c r="AG22" s="1453">
        <f>ROUND(AVERAGE(K22:K$27)/100,4)</f>
        <v>1.32E-2</v>
      </c>
      <c r="AH22" s="1453">
        <f>ROUND(AVERAGE(L22:L$27)/100,4)</f>
        <v>1.0500000000000001E-2</v>
      </c>
    </row>
    <row r="23" spans="1:34">
      <c r="A23" s="1454" t="s">
        <v>148</v>
      </c>
      <c r="B23" s="1470">
        <f t="shared" si="100"/>
        <v>319.87748030386797</v>
      </c>
      <c r="C23" s="1470">
        <f t="shared" si="100"/>
        <v>269.60135833173649</v>
      </c>
      <c r="D23" s="1470">
        <f t="shared" si="97"/>
        <v>269.60135833173649</v>
      </c>
      <c r="E23" s="1470">
        <f t="shared" si="101"/>
        <v>439.18089823583784</v>
      </c>
      <c r="F23" s="1470">
        <f t="shared" si="101"/>
        <v>239.23503918706311</v>
      </c>
      <c r="G23" s="3318"/>
      <c r="H23" s="1457">
        <v>1</v>
      </c>
      <c r="I23" s="1457">
        <v>0.51</v>
      </c>
      <c r="J23" s="1457">
        <v>0.54</v>
      </c>
      <c r="K23" s="1457">
        <v>0.48</v>
      </c>
      <c r="L23" s="1471">
        <v>0.93</v>
      </c>
      <c r="N23" s="1473">
        <f t="shared" si="99"/>
        <v>5.1000000000000004E-3</v>
      </c>
      <c r="O23" s="1474">
        <f t="shared" si="94"/>
        <v>5.4000000000000003E-3</v>
      </c>
      <c r="P23" s="1474">
        <f t="shared" si="94"/>
        <v>4.7999999999999996E-3</v>
      </c>
      <c r="Q23" s="1474">
        <f t="shared" si="94"/>
        <v>9.300000000000001E-3</v>
      </c>
      <c r="R23" s="1467"/>
      <c r="S23" s="1473">
        <f>B23/B24-1</f>
        <v>5.9040261127922822E-3</v>
      </c>
      <c r="T23" s="1474">
        <f>C23/C24-1</f>
        <v>5.9752176557332781E-3</v>
      </c>
      <c r="U23" s="1474">
        <f>E23/E24-1</f>
        <v>4.9906138119859556E-3</v>
      </c>
      <c r="V23" s="1474">
        <f>F23/F24-1</f>
        <v>9.4305450930933787E-3</v>
      </c>
      <c r="X23" s="1452">
        <f>ROUND(SUMPRODUCT(PRODUCT(1+N23:N$26)),4)</f>
        <v>1.0399</v>
      </c>
      <c r="Y23" s="1452">
        <f>ROUND(SUMPRODUCT(PRODUCT(1+O23:O$26)),4)</f>
        <v>1.0451999999999999</v>
      </c>
      <c r="Z23" s="1452">
        <f t="shared" si="0"/>
        <v>1.0451999999999999</v>
      </c>
      <c r="AA23" s="1452">
        <f>ROUND(SUMPRODUCT(PRODUCT(1+P23:P$26)),4)</f>
        <v>1.0387999999999999</v>
      </c>
      <c r="AB23" s="1452">
        <f>ROUND(SUMPRODUCT(PRODUCT(1+Q23:Q$26)),4)</f>
        <v>1.0411999999999999</v>
      </c>
      <c r="AD23" s="1453">
        <f>ROUND(AVERAGE(I23:I$27)/100,4)</f>
        <v>1.38E-2</v>
      </c>
      <c r="AE23" s="1453">
        <f>ROUND(AVERAGE(J23:J$27)/100,4)</f>
        <v>1.3599999999999999E-2</v>
      </c>
      <c r="AF23" s="1453">
        <f t="shared" si="1"/>
        <v>1.3599999999999999E-2</v>
      </c>
      <c r="AG23" s="1453">
        <f>ROUND(AVERAGE(K23:K$27)/100,4)</f>
        <v>1.4200000000000001E-2</v>
      </c>
      <c r="AH23" s="1453">
        <f>ROUND(AVERAGE(L23:L$27)/100,4)</f>
        <v>1.0800000000000001E-2</v>
      </c>
    </row>
    <row r="24" spans="1:34" ht="13.8" thickBot="1">
      <c r="A24" s="1454" t="s">
        <v>147</v>
      </c>
      <c r="B24" s="1483">
        <v>318</v>
      </c>
      <c r="C24" s="1483">
        <v>268</v>
      </c>
      <c r="D24" s="1483">
        <f t="shared" si="97"/>
        <v>268</v>
      </c>
      <c r="E24" s="1483">
        <v>437</v>
      </c>
      <c r="F24" s="1484">
        <v>237</v>
      </c>
      <c r="G24" s="3316">
        <v>2014</v>
      </c>
      <c r="H24" s="1475">
        <v>4</v>
      </c>
      <c r="I24" s="1475">
        <v>0.21</v>
      </c>
      <c r="J24" s="1475">
        <v>0.41</v>
      </c>
      <c r="K24" s="1475">
        <v>0.12</v>
      </c>
      <c r="L24" s="1476">
        <v>0.89</v>
      </c>
      <c r="N24" s="1465">
        <f t="shared" si="99"/>
        <v>2.0999999999999999E-3</v>
      </c>
      <c r="O24" s="1466">
        <f t="shared" si="94"/>
        <v>4.0999999999999995E-3</v>
      </c>
      <c r="P24" s="1466">
        <f t="shared" si="94"/>
        <v>1.1999999999999999E-3</v>
      </c>
      <c r="Q24" s="1466">
        <f t="shared" si="94"/>
        <v>8.8999999999999999E-3</v>
      </c>
      <c r="R24" s="1467"/>
      <c r="S24" s="1468"/>
      <c r="T24" s="1469"/>
      <c r="U24" s="1469"/>
      <c r="V24" s="1469"/>
      <c r="X24" s="1452">
        <f>ROUND(SUMPRODUCT(PRODUCT(1+N24:N$26)),4)</f>
        <v>1.0347</v>
      </c>
      <c r="Y24" s="1452">
        <f>ROUND(SUMPRODUCT(PRODUCT(1+O24:O$26)),4)</f>
        <v>1.0395000000000001</v>
      </c>
      <c r="Z24" s="1452">
        <f t="shared" si="0"/>
        <v>1.0395000000000001</v>
      </c>
      <c r="AA24" s="1452">
        <f>ROUND(SUMPRODUCT(PRODUCT(1+P24:P$26)),4)</f>
        <v>1.0338000000000001</v>
      </c>
      <c r="AB24" s="1452">
        <f>ROUND(SUMPRODUCT(PRODUCT(1+Q24:Q$26)),4)</f>
        <v>1.0316000000000001</v>
      </c>
      <c r="AD24" s="1453">
        <f>ROUND(AVERAGE(I24:I$27)/100,4)</f>
        <v>1.6E-2</v>
      </c>
      <c r="AE24" s="1453">
        <f>ROUND(AVERAGE(J24:J$27)/100,4)</f>
        <v>1.5599999999999999E-2</v>
      </c>
      <c r="AF24" s="1453">
        <f t="shared" si="1"/>
        <v>1.5599999999999999E-2</v>
      </c>
      <c r="AG24" s="1453">
        <f>ROUND(AVERAGE(K24:K$27)/100,4)</f>
        <v>1.66E-2</v>
      </c>
      <c r="AH24" s="1453">
        <f>ROUND(AVERAGE(L24:L$27)/100,4)</f>
        <v>1.12E-2</v>
      </c>
    </row>
    <row r="25" spans="1:34">
      <c r="A25" s="1454" t="s">
        <v>146</v>
      </c>
      <c r="B25" s="1470">
        <f t="shared" ref="B25:C27" si="102">B24/(1+N24)</f>
        <v>317.33359944117353</v>
      </c>
      <c r="C25" s="1470">
        <f t="shared" si="102"/>
        <v>266.90568668459315</v>
      </c>
      <c r="D25" s="1470">
        <f t="shared" si="97"/>
        <v>266.90568668459315</v>
      </c>
      <c r="E25" s="1470">
        <f t="shared" ref="E25:F27" si="103">E24/(1+P24)</f>
        <v>436.47622852576905</v>
      </c>
      <c r="F25" s="1470">
        <f t="shared" si="103"/>
        <v>234.90930716622066</v>
      </c>
      <c r="G25" s="3317"/>
      <c r="H25" s="1485">
        <v>3</v>
      </c>
      <c r="I25" s="1485">
        <v>0.83</v>
      </c>
      <c r="J25" s="1485">
        <v>1.47</v>
      </c>
      <c r="K25" s="1485">
        <v>0.65</v>
      </c>
      <c r="L25" s="1486">
        <v>0.72</v>
      </c>
      <c r="N25" s="1465">
        <f t="shared" si="99"/>
        <v>8.3000000000000001E-3</v>
      </c>
      <c r="O25" s="1466">
        <f t="shared" si="94"/>
        <v>1.47E-2</v>
      </c>
      <c r="P25" s="1466">
        <f t="shared" si="94"/>
        <v>6.5000000000000006E-3</v>
      </c>
      <c r="Q25" s="1466">
        <f t="shared" si="94"/>
        <v>7.1999999999999998E-3</v>
      </c>
      <c r="R25" s="1467"/>
      <c r="S25" s="1465"/>
      <c r="T25" s="1466"/>
      <c r="U25" s="1466"/>
      <c r="V25" s="1466"/>
      <c r="X25" s="1452">
        <f>ROUND(SUMPRODUCT(PRODUCT(1+N25:N$26)),4)</f>
        <v>1.0325</v>
      </c>
      <c r="Y25" s="1452">
        <f>ROUND(SUMPRODUCT(PRODUCT(1+O25:O$26)),4)</f>
        <v>1.0353000000000001</v>
      </c>
      <c r="Z25" s="1452">
        <f t="shared" ref="Z25:Z26" si="104">Y25</f>
        <v>1.0353000000000001</v>
      </c>
      <c r="AA25" s="1452">
        <f>ROUND(SUMPRODUCT(PRODUCT(1+P25:P$26)),4)</f>
        <v>1.0326</v>
      </c>
      <c r="AB25" s="1452">
        <f>ROUND(SUMPRODUCT(PRODUCT(1+Q25:Q$26)),4)</f>
        <v>1.0225</v>
      </c>
      <c r="AD25" s="1453">
        <f>ROUND(AVERAGE(I25:I$27)/100,4)</f>
        <v>2.07E-2</v>
      </c>
      <c r="AE25" s="1453">
        <f>ROUND(AVERAGE(J25:J$27)/100,4)</f>
        <v>1.95E-2</v>
      </c>
      <c r="AF25" s="1453">
        <f t="shared" si="1"/>
        <v>1.95E-2</v>
      </c>
      <c r="AG25" s="1453">
        <f>ROUND(AVERAGE(K25:K$27)/100,4)</f>
        <v>2.1700000000000001E-2</v>
      </c>
      <c r="AH25" s="1453">
        <f>ROUND(AVERAGE(L25:L$27)/100,4)</f>
        <v>1.2E-2</v>
      </c>
    </row>
    <row r="26" spans="1:34" ht="13.8" thickBot="1">
      <c r="A26" s="1454" t="s">
        <v>145</v>
      </c>
      <c r="B26" s="1470">
        <f t="shared" si="102"/>
        <v>314.72141172386546</v>
      </c>
      <c r="C26" s="1470">
        <f t="shared" si="102"/>
        <v>263.03901319069001</v>
      </c>
      <c r="D26" s="1470">
        <f t="shared" si="97"/>
        <v>263.03901319069001</v>
      </c>
      <c r="E26" s="1470">
        <f t="shared" si="103"/>
        <v>433.65745506782821</v>
      </c>
      <c r="F26" s="1470">
        <f t="shared" si="103"/>
        <v>233.23005080045735</v>
      </c>
      <c r="G26" s="3317"/>
      <c r="H26" s="1475">
        <v>2</v>
      </c>
      <c r="I26" s="1475">
        <v>2.4</v>
      </c>
      <c r="J26" s="1475">
        <v>2.0299999999999998</v>
      </c>
      <c r="K26" s="1475">
        <v>2.59</v>
      </c>
      <c r="L26" s="1476">
        <v>1.52</v>
      </c>
      <c r="N26" s="1465">
        <f t="shared" si="99"/>
        <v>2.4E-2</v>
      </c>
      <c r="O26" s="1466">
        <f t="shared" si="94"/>
        <v>2.0299999999999999E-2</v>
      </c>
      <c r="P26" s="1466">
        <f t="shared" si="94"/>
        <v>2.5899999999999999E-2</v>
      </c>
      <c r="Q26" s="1466">
        <f t="shared" si="94"/>
        <v>1.52E-2</v>
      </c>
      <c r="R26" s="1467"/>
      <c r="S26" s="1465"/>
      <c r="T26" s="1466"/>
      <c r="U26" s="1466"/>
      <c r="V26" s="1466"/>
      <c r="X26" s="1452">
        <f>1+N26</f>
        <v>1.024</v>
      </c>
      <c r="Y26" s="1452">
        <f>1+O26</f>
        <v>1.0203</v>
      </c>
      <c r="Z26" s="1452">
        <f t="shared" si="104"/>
        <v>1.0203</v>
      </c>
      <c r="AA26" s="1452">
        <f>1+P26</f>
        <v>1.0259</v>
      </c>
      <c r="AB26" s="1452">
        <f>1+Q26</f>
        <v>1.0152000000000001</v>
      </c>
      <c r="AD26" s="1453">
        <f>ROUND(AVERAGE(I26:I$27)/100,4)</f>
        <v>2.69E-2</v>
      </c>
      <c r="AE26" s="1453">
        <f>ROUND(AVERAGE(J26:J$27)/100,4)</f>
        <v>2.1899999999999999E-2</v>
      </c>
      <c r="AF26" s="1453">
        <f t="shared" ref="AF26" si="105">AE26</f>
        <v>2.1899999999999999E-2</v>
      </c>
      <c r="AG26" s="1453">
        <f>ROUND(AVERAGE(K26:K$27)/100,4)</f>
        <v>2.9399999999999999E-2</v>
      </c>
      <c r="AH26" s="1453">
        <f>ROUND(AVERAGE(L26:L$27)/100,4)</f>
        <v>1.44E-2</v>
      </c>
    </row>
    <row r="27" spans="1:34" s="1491" customFormat="1" ht="13.8" thickBot="1">
      <c r="A27" s="1487" t="s">
        <v>144</v>
      </c>
      <c r="B27" s="1488">
        <f t="shared" si="102"/>
        <v>307.34512863658733</v>
      </c>
      <c r="C27" s="1488">
        <f t="shared" si="102"/>
        <v>257.80556031626975</v>
      </c>
      <c r="D27" s="1488">
        <f t="shared" si="97"/>
        <v>257.80556031626975</v>
      </c>
      <c r="E27" s="1488">
        <f t="shared" si="103"/>
        <v>422.70928459677179</v>
      </c>
      <c r="F27" s="1488">
        <f t="shared" si="103"/>
        <v>229.73803270336617</v>
      </c>
      <c r="G27" s="3318"/>
      <c r="H27" s="1489">
        <v>1</v>
      </c>
      <c r="I27" s="1489">
        <v>2.97</v>
      </c>
      <c r="J27" s="1489">
        <v>2.34</v>
      </c>
      <c r="K27" s="1489">
        <v>3.28</v>
      </c>
      <c r="L27" s="1490">
        <v>1.36</v>
      </c>
      <c r="N27" s="1492">
        <f t="shared" si="99"/>
        <v>2.9700000000000001E-2</v>
      </c>
      <c r="O27" s="1493">
        <f t="shared" si="94"/>
        <v>2.3399999999999997E-2</v>
      </c>
      <c r="P27" s="1493">
        <f t="shared" si="94"/>
        <v>3.2799999999999996E-2</v>
      </c>
      <c r="Q27" s="1493">
        <f t="shared" si="94"/>
        <v>1.3600000000000001E-2</v>
      </c>
      <c r="R27" s="1494"/>
      <c r="S27" s="1495">
        <f>B27/B28-1</f>
        <v>2.7910129219355539E-2</v>
      </c>
      <c r="T27" s="1496">
        <f>C27/C28-1</f>
        <v>2.3037937762975247E-2</v>
      </c>
      <c r="U27" s="1496">
        <f>E27/E28-1</f>
        <v>3.3519033243940788E-2</v>
      </c>
      <c r="V27" s="1496">
        <f>F27/F28-1</f>
        <v>1.2061818076502862E-2</v>
      </c>
      <c r="W27" s="1497" t="s">
        <v>1158</v>
      </c>
      <c r="X27" s="1498">
        <v>1</v>
      </c>
      <c r="Y27" s="1498">
        <v>1</v>
      </c>
      <c r="Z27" s="1498">
        <v>1</v>
      </c>
      <c r="AA27" s="1498">
        <v>1</v>
      </c>
      <c r="AB27" s="1498">
        <v>1</v>
      </c>
      <c r="AD27" s="1720">
        <f>I27/100</f>
        <v>2.9700000000000001E-2</v>
      </c>
      <c r="AE27" s="1720">
        <f>J27/100</f>
        <v>2.3399999999999997E-2</v>
      </c>
      <c r="AF27" s="1720">
        <f>AE27</f>
        <v>2.3399999999999997E-2</v>
      </c>
      <c r="AG27" s="1720">
        <f>K27/100</f>
        <v>3.2799999999999996E-2</v>
      </c>
      <c r="AH27" s="1720">
        <f>L27/100</f>
        <v>1.3600000000000001E-2</v>
      </c>
    </row>
    <row r="28" spans="1:34" ht="13.8" thickBot="1">
      <c r="A28" s="1454" t="s">
        <v>1159</v>
      </c>
      <c r="B28" s="1462">
        <v>299</v>
      </c>
      <c r="C28" s="1462">
        <v>252</v>
      </c>
      <c r="D28" s="1462">
        <f t="shared" si="97"/>
        <v>252</v>
      </c>
      <c r="E28" s="1462">
        <v>409</v>
      </c>
      <c r="F28" s="1463">
        <v>227</v>
      </c>
      <c r="G28" s="3323">
        <v>2013</v>
      </c>
      <c r="H28" s="1499">
        <v>4</v>
      </c>
      <c r="I28" s="1499">
        <v>1.83</v>
      </c>
      <c r="J28" s="1499">
        <v>1.68</v>
      </c>
      <c r="K28" s="1499">
        <v>1.97</v>
      </c>
      <c r="L28" s="1500">
        <v>0.87</v>
      </c>
      <c r="N28" s="1477">
        <f t="shared" si="99"/>
        <v>1.83E-2</v>
      </c>
      <c r="O28" s="1478">
        <f t="shared" si="94"/>
        <v>1.6799999999999999E-2</v>
      </c>
      <c r="P28" s="1478">
        <f t="shared" si="94"/>
        <v>1.9699999999999999E-2</v>
      </c>
      <c r="Q28" s="1478">
        <f t="shared" si="94"/>
        <v>8.6999999999999994E-3</v>
      </c>
      <c r="R28" s="1467"/>
      <c r="S28" s="1468"/>
      <c r="T28" s="1469"/>
      <c r="U28" s="1469"/>
      <c r="V28" s="1469"/>
      <c r="X28" s="1469"/>
      <c r="Y28" s="1469"/>
      <c r="Z28" s="1469"/>
    </row>
    <row r="29" spans="1:34">
      <c r="A29" s="1454" t="s">
        <v>1160</v>
      </c>
      <c r="B29" s="1470">
        <f t="shared" ref="B29:C31" si="106">B28/(1+N28)</f>
        <v>293.62663262299913</v>
      </c>
      <c r="C29" s="1470">
        <f t="shared" si="106"/>
        <v>247.83634933123525</v>
      </c>
      <c r="D29" s="1470">
        <f t="shared" si="97"/>
        <v>247.83634933123525</v>
      </c>
      <c r="E29" s="1470">
        <f t="shared" ref="E29:F31" si="107">E28/(1+P28)</f>
        <v>401.09836226341076</v>
      </c>
      <c r="F29" s="1470">
        <f t="shared" si="107"/>
        <v>225.04213343908003</v>
      </c>
      <c r="G29" s="3324"/>
      <c r="H29" s="1480">
        <v>3</v>
      </c>
      <c r="I29" s="1480">
        <v>1.86</v>
      </c>
      <c r="J29" s="1480">
        <v>1.72</v>
      </c>
      <c r="K29" s="1480">
        <v>1.98</v>
      </c>
      <c r="L29" s="1481">
        <v>0.88</v>
      </c>
      <c r="N29" s="1465">
        <f t="shared" si="99"/>
        <v>1.8600000000000002E-2</v>
      </c>
      <c r="O29" s="1482">
        <f t="shared" si="94"/>
        <v>1.72E-2</v>
      </c>
      <c r="P29" s="1482">
        <f t="shared" si="94"/>
        <v>1.9799999999999998E-2</v>
      </c>
      <c r="Q29" s="1482">
        <f t="shared" si="94"/>
        <v>8.8000000000000005E-3</v>
      </c>
      <c r="R29" s="1467"/>
      <c r="S29" s="1465"/>
      <c r="T29" s="1466"/>
      <c r="U29" s="1466"/>
      <c r="V29" s="1466"/>
    </row>
    <row r="30" spans="1:34">
      <c r="A30" s="1454" t="s">
        <v>1161</v>
      </c>
      <c r="B30" s="1470">
        <f t="shared" si="106"/>
        <v>288.2649053828776</v>
      </c>
      <c r="C30" s="1470">
        <f t="shared" si="106"/>
        <v>243.64564425013293</v>
      </c>
      <c r="D30" s="1470">
        <f t="shared" si="97"/>
        <v>243.64564425013293</v>
      </c>
      <c r="E30" s="1470">
        <f t="shared" si="107"/>
        <v>393.31080825986544</v>
      </c>
      <c r="F30" s="1470">
        <f t="shared" si="107"/>
        <v>223.07903790551154</v>
      </c>
      <c r="G30" s="3324"/>
      <c r="H30" s="1458">
        <v>2</v>
      </c>
      <c r="I30" s="1458">
        <v>2.04</v>
      </c>
      <c r="J30" s="1458">
        <v>2.33</v>
      </c>
      <c r="K30" s="1458">
        <v>2.0699999999999998</v>
      </c>
      <c r="L30" s="1472">
        <v>0.69</v>
      </c>
      <c r="N30" s="1465">
        <f t="shared" si="99"/>
        <v>2.0400000000000001E-2</v>
      </c>
      <c r="O30" s="1482">
        <f t="shared" si="94"/>
        <v>2.3300000000000001E-2</v>
      </c>
      <c r="P30" s="1482">
        <f t="shared" si="94"/>
        <v>2.07E-2</v>
      </c>
      <c r="Q30" s="1482">
        <f t="shared" si="94"/>
        <v>6.8999999999999999E-3</v>
      </c>
      <c r="R30" s="1467"/>
      <c r="S30" s="1465"/>
      <c r="T30" s="1466"/>
      <c r="U30" s="1466"/>
      <c r="V30" s="1466"/>
      <c r="X30" s="1501"/>
      <c r="Y30" s="1502"/>
    </row>
    <row r="31" spans="1:34">
      <c r="A31" s="1454" t="s">
        <v>1162</v>
      </c>
      <c r="B31" s="1470">
        <f t="shared" si="106"/>
        <v>282.50186729015837</v>
      </c>
      <c r="C31" s="1470">
        <f t="shared" si="106"/>
        <v>238.09796174155468</v>
      </c>
      <c r="D31" s="1470">
        <f t="shared" si="97"/>
        <v>238.09796174155468</v>
      </c>
      <c r="E31" s="1470">
        <f t="shared" si="107"/>
        <v>385.33438646014054</v>
      </c>
      <c r="F31" s="1470">
        <f t="shared" si="107"/>
        <v>221.55034055567739</v>
      </c>
      <c r="G31" s="3325"/>
      <c r="H31" s="1457">
        <v>1</v>
      </c>
      <c r="I31" s="1457">
        <v>1.67</v>
      </c>
      <c r="J31" s="1457">
        <v>1.31</v>
      </c>
      <c r="K31" s="1457">
        <v>1.85</v>
      </c>
      <c r="L31" s="1471">
        <v>0.96</v>
      </c>
      <c r="N31" s="1473">
        <f t="shared" si="99"/>
        <v>1.67E-2</v>
      </c>
      <c r="O31" s="1474">
        <f t="shared" si="99"/>
        <v>1.3100000000000001E-2</v>
      </c>
      <c r="P31" s="1474">
        <f t="shared" si="99"/>
        <v>1.8500000000000003E-2</v>
      </c>
      <c r="Q31" s="1474">
        <f t="shared" si="99"/>
        <v>9.5999999999999992E-3</v>
      </c>
      <c r="R31" s="1467"/>
      <c r="S31" s="1473">
        <f>B31/B32-1</f>
        <v>1.6193767230785472E-2</v>
      </c>
      <c r="T31" s="1474">
        <f>C31/C32-1</f>
        <v>1.7512657015190891E-2</v>
      </c>
      <c r="U31" s="1474">
        <f>E31/E32-1</f>
        <v>1.6713420739157048E-2</v>
      </c>
      <c r="V31" s="1474">
        <f>F31/F32-1</f>
        <v>7.0470025258062563E-3</v>
      </c>
      <c r="X31" s="1503"/>
      <c r="Y31" s="1453"/>
      <c r="Z31" s="1453"/>
    </row>
    <row r="32" spans="1:34" ht="13.8" thickBot="1">
      <c r="A32" s="1454" t="s">
        <v>1163</v>
      </c>
      <c r="B32" s="1504">
        <v>278</v>
      </c>
      <c r="C32" s="1504">
        <v>234</v>
      </c>
      <c r="D32" s="1504">
        <f t="shared" si="97"/>
        <v>234</v>
      </c>
      <c r="E32" s="1504">
        <v>379</v>
      </c>
      <c r="F32" s="1505">
        <v>220</v>
      </c>
      <c r="G32" s="3316">
        <v>2012</v>
      </c>
      <c r="H32" s="1475">
        <v>4</v>
      </c>
      <c r="I32" s="1475">
        <v>0.91</v>
      </c>
      <c r="J32" s="1475">
        <v>0.68</v>
      </c>
      <c r="K32" s="1475">
        <v>0.98</v>
      </c>
      <c r="L32" s="1476">
        <v>0.9</v>
      </c>
      <c r="N32" s="1465">
        <f t="shared" si="99"/>
        <v>9.1000000000000004E-3</v>
      </c>
      <c r="O32" s="1466">
        <f t="shared" si="99"/>
        <v>6.8000000000000005E-3</v>
      </c>
      <c r="P32" s="1466">
        <f t="shared" si="99"/>
        <v>9.7999999999999997E-3</v>
      </c>
      <c r="Q32" s="1466">
        <f t="shared" si="99"/>
        <v>9.0000000000000011E-3</v>
      </c>
      <c r="R32" s="1467"/>
      <c r="S32" s="1468"/>
      <c r="T32" s="1469"/>
      <c r="U32" s="1469"/>
      <c r="V32" s="1469"/>
      <c r="X32" s="1469"/>
      <c r="Y32" s="1469"/>
      <c r="Z32" s="1469"/>
    </row>
    <row r="33" spans="1:26">
      <c r="A33" s="1454" t="s">
        <v>1164</v>
      </c>
      <c r="B33" s="1470">
        <f>B32/(1+N32)</f>
        <v>275.49301357645425</v>
      </c>
      <c r="C33" s="1470">
        <f>C32/(1+O32)</f>
        <v>232.41954707985698</v>
      </c>
      <c r="D33" s="1470">
        <f t="shared" si="97"/>
        <v>232.41954707985698</v>
      </c>
      <c r="E33" s="1470">
        <f t="shared" ref="E33:F35" si="108">E32/(1+P32)</f>
        <v>375.32184591008121</v>
      </c>
      <c r="F33" s="1470">
        <f t="shared" si="108"/>
        <v>218.03766105054513</v>
      </c>
      <c r="G33" s="3317"/>
      <c r="H33" s="1480">
        <v>3</v>
      </c>
      <c r="I33" s="1480">
        <v>0.09</v>
      </c>
      <c r="J33" s="1480">
        <v>0.28999999999999998</v>
      </c>
      <c r="K33" s="1480">
        <v>-0.01</v>
      </c>
      <c r="L33" s="1481">
        <v>0.57999999999999996</v>
      </c>
      <c r="N33" s="1465">
        <f t="shared" si="99"/>
        <v>8.9999999999999998E-4</v>
      </c>
      <c r="O33" s="1466">
        <f t="shared" si="99"/>
        <v>2.8999999999999998E-3</v>
      </c>
      <c r="P33" s="1466">
        <f t="shared" si="99"/>
        <v>-1E-4</v>
      </c>
      <c r="Q33" s="1466">
        <f t="shared" si="99"/>
        <v>5.7999999999999996E-3</v>
      </c>
      <c r="R33" s="1467"/>
      <c r="S33" s="1465"/>
      <c r="T33" s="1466"/>
      <c r="U33" s="1466"/>
      <c r="V33" s="1466"/>
    </row>
    <row r="34" spans="1:26">
      <c r="A34" s="1454" t="s">
        <v>1165</v>
      </c>
      <c r="B34" s="1470">
        <f>B33/(1+N33)</f>
        <v>275.24529281292263</v>
      </c>
      <c r="C34" s="1470">
        <f>C33/(1+O33)</f>
        <v>231.74747938962707</v>
      </c>
      <c r="D34" s="1470">
        <f t="shared" si="97"/>
        <v>231.74747938962707</v>
      </c>
      <c r="E34" s="1470">
        <f t="shared" si="108"/>
        <v>375.35938184826603</v>
      </c>
      <c r="F34" s="1470">
        <f t="shared" si="108"/>
        <v>216.78033510692495</v>
      </c>
      <c r="G34" s="3317"/>
      <c r="H34" s="1458">
        <v>2</v>
      </c>
      <c r="I34" s="1458">
        <v>0.02</v>
      </c>
      <c r="J34" s="1458">
        <v>0.12</v>
      </c>
      <c r="K34" s="1458">
        <v>-0.08</v>
      </c>
      <c r="L34" s="1472">
        <v>1.24</v>
      </c>
      <c r="N34" s="1465">
        <f t="shared" si="99"/>
        <v>2.0000000000000001E-4</v>
      </c>
      <c r="O34" s="1466">
        <f t="shared" si="99"/>
        <v>1.1999999999999999E-3</v>
      </c>
      <c r="P34" s="1466">
        <f t="shared" si="99"/>
        <v>-8.0000000000000004E-4</v>
      </c>
      <c r="Q34" s="1466">
        <f t="shared" si="99"/>
        <v>1.24E-2</v>
      </c>
      <c r="R34" s="1467"/>
      <c r="S34" s="1465"/>
      <c r="T34" s="1466"/>
      <c r="U34" s="1466"/>
      <c r="V34" s="1466"/>
    </row>
    <row r="35" spans="1:26" ht="13.8" thickBot="1">
      <c r="A35" s="1454" t="s">
        <v>1166</v>
      </c>
      <c r="B35" s="1470">
        <f>B34/(1+N34)</f>
        <v>275.19025476197027</v>
      </c>
      <c r="C35" s="1506">
        <v>232</v>
      </c>
      <c r="D35" s="1506">
        <f t="shared" si="97"/>
        <v>232</v>
      </c>
      <c r="E35" s="1470">
        <f t="shared" si="108"/>
        <v>375.65990977608692</v>
      </c>
      <c r="F35" s="1470">
        <f t="shared" si="108"/>
        <v>214.12518283971252</v>
      </c>
      <c r="G35" s="3318"/>
      <c r="H35" s="1457">
        <v>1</v>
      </c>
      <c r="I35" s="1457">
        <v>0.02</v>
      </c>
      <c r="J35" s="1457">
        <v>0.13</v>
      </c>
      <c r="K35" s="1457">
        <v>-0.04</v>
      </c>
      <c r="L35" s="1471">
        <v>0.46</v>
      </c>
      <c r="N35" s="1465">
        <f t="shared" si="99"/>
        <v>2.0000000000000001E-4</v>
      </c>
      <c r="O35" s="1466">
        <f t="shared" si="99"/>
        <v>1.2999999999999999E-3</v>
      </c>
      <c r="P35" s="1466">
        <f t="shared" si="99"/>
        <v>-4.0000000000000002E-4</v>
      </c>
      <c r="Q35" s="1466">
        <f t="shared" si="99"/>
        <v>4.5999999999999999E-3</v>
      </c>
      <c r="R35" s="1467"/>
      <c r="S35" s="1473">
        <f>B35/B36-1</f>
        <v>6.9183549807361189E-4</v>
      </c>
      <c r="T35" s="1474">
        <f>C35/C36-1</f>
        <v>0</v>
      </c>
      <c r="U35" s="1474">
        <f>E35/E36-1</f>
        <v>-9.0449527636460303E-4</v>
      </c>
      <c r="V35" s="1474">
        <f>F35/F36-1</f>
        <v>5.2825485432512753E-3</v>
      </c>
      <c r="X35" s="1453"/>
      <c r="Y35" s="1453"/>
      <c r="Z35" s="1453"/>
    </row>
    <row r="36" spans="1:26" ht="13.8" thickBot="1">
      <c r="A36" s="1454" t="s">
        <v>1167</v>
      </c>
      <c r="B36" s="1462">
        <v>275</v>
      </c>
      <c r="C36" s="1462">
        <v>232</v>
      </c>
      <c r="D36" s="1462">
        <f t="shared" si="97"/>
        <v>232</v>
      </c>
      <c r="E36" s="1462">
        <v>376</v>
      </c>
      <c r="F36" s="1463">
        <v>213</v>
      </c>
      <c r="G36" s="3316">
        <v>2011</v>
      </c>
      <c r="H36" s="1475">
        <v>4</v>
      </c>
      <c r="I36" s="1475">
        <v>-0.2</v>
      </c>
      <c r="J36" s="1475">
        <v>0.04</v>
      </c>
      <c r="K36" s="1475">
        <v>-0.34</v>
      </c>
      <c r="L36" s="1476">
        <v>0.46</v>
      </c>
      <c r="N36" s="1477">
        <f t="shared" si="99"/>
        <v>-2E-3</v>
      </c>
      <c r="O36" s="1478">
        <f t="shared" si="99"/>
        <v>4.0000000000000002E-4</v>
      </c>
      <c r="P36" s="1478">
        <f t="shared" si="99"/>
        <v>-3.4000000000000002E-3</v>
      </c>
      <c r="Q36" s="1478">
        <f t="shared" si="99"/>
        <v>4.5999999999999999E-3</v>
      </c>
      <c r="R36" s="1467"/>
      <c r="S36" s="1468"/>
      <c r="T36" s="1469"/>
      <c r="U36" s="1469"/>
      <c r="V36" s="1469"/>
      <c r="X36" s="1469"/>
      <c r="Y36" s="1469"/>
      <c r="Z36" s="1469"/>
    </row>
    <row r="37" spans="1:26">
      <c r="A37" s="1454" t="s">
        <v>1168</v>
      </c>
      <c r="B37" s="1470">
        <f t="shared" ref="B37:C39" si="109">B36/(1+N36)</f>
        <v>275.55110220440883</v>
      </c>
      <c r="C37" s="1470">
        <f t="shared" si="109"/>
        <v>231.90723710515795</v>
      </c>
      <c r="D37" s="1470">
        <f t="shared" si="97"/>
        <v>231.90723710515795</v>
      </c>
      <c r="E37" s="1470">
        <f t="shared" ref="E37:F39" si="110">E36/(1+P36)</f>
        <v>377.28276138872161</v>
      </c>
      <c r="F37" s="1470">
        <f t="shared" si="110"/>
        <v>212.02468644236512</v>
      </c>
      <c r="G37" s="3317">
        <v>2011</v>
      </c>
      <c r="H37" s="1480">
        <v>3</v>
      </c>
      <c r="I37" s="1480">
        <v>0.13</v>
      </c>
      <c r="J37" s="1480">
        <v>0.75</v>
      </c>
      <c r="K37" s="1480">
        <v>-0.08</v>
      </c>
      <c r="L37" s="1481">
        <v>0.53</v>
      </c>
      <c r="N37" s="1465">
        <f t="shared" si="99"/>
        <v>1.2999999999999999E-3</v>
      </c>
      <c r="O37" s="1482">
        <f t="shared" si="99"/>
        <v>7.4999999999999997E-3</v>
      </c>
      <c r="P37" s="1482">
        <f t="shared" si="99"/>
        <v>-8.0000000000000004E-4</v>
      </c>
      <c r="Q37" s="1482">
        <f t="shared" si="99"/>
        <v>5.3E-3</v>
      </c>
      <c r="R37" s="1467"/>
      <c r="S37" s="1465"/>
      <c r="T37" s="1466"/>
      <c r="U37" s="1466"/>
      <c r="V37" s="1466"/>
    </row>
    <row r="38" spans="1:26">
      <c r="A38" s="1454" t="s">
        <v>1169</v>
      </c>
      <c r="B38" s="1470">
        <f t="shared" si="109"/>
        <v>275.19335084830601</v>
      </c>
      <c r="C38" s="1470">
        <f t="shared" si="109"/>
        <v>230.18088050139744</v>
      </c>
      <c r="D38" s="1470">
        <f t="shared" si="97"/>
        <v>230.18088050139744</v>
      </c>
      <c r="E38" s="1470">
        <f t="shared" si="110"/>
        <v>377.58482925212331</v>
      </c>
      <c r="F38" s="1470">
        <f t="shared" si="110"/>
        <v>210.90687997847917</v>
      </c>
      <c r="G38" s="3317">
        <v>2011</v>
      </c>
      <c r="H38" s="1458">
        <v>2</v>
      </c>
      <c r="I38" s="1458">
        <v>-0.4</v>
      </c>
      <c r="J38" s="1458">
        <v>0.17</v>
      </c>
      <c r="K38" s="1458">
        <v>-0.57999999999999996</v>
      </c>
      <c r="L38" s="1472">
        <v>-0.2</v>
      </c>
      <c r="N38" s="1465">
        <f t="shared" si="99"/>
        <v>-4.0000000000000001E-3</v>
      </c>
      <c r="O38" s="1482">
        <f t="shared" si="99"/>
        <v>1.7000000000000001E-3</v>
      </c>
      <c r="P38" s="1482">
        <f t="shared" si="99"/>
        <v>-5.7999999999999996E-3</v>
      </c>
      <c r="Q38" s="1482">
        <f t="shared" si="99"/>
        <v>-2E-3</v>
      </c>
      <c r="R38" s="1467"/>
      <c r="S38" s="1465"/>
      <c r="T38" s="1466"/>
      <c r="U38" s="1466"/>
      <c r="V38" s="1466"/>
    </row>
    <row r="39" spans="1:26" ht="13.8" thickBot="1">
      <c r="A39" s="1454" t="s">
        <v>1170</v>
      </c>
      <c r="B39" s="1470">
        <f t="shared" si="109"/>
        <v>276.29854502841971</v>
      </c>
      <c r="C39" s="1470">
        <f t="shared" si="109"/>
        <v>229.79023709833027</v>
      </c>
      <c r="D39" s="1470">
        <f t="shared" si="97"/>
        <v>229.79023709833027</v>
      </c>
      <c r="E39" s="1470">
        <f t="shared" si="110"/>
        <v>379.78759731655936</v>
      </c>
      <c r="F39" s="1470">
        <f t="shared" si="110"/>
        <v>211.32953905659235</v>
      </c>
      <c r="G39" s="3318">
        <v>2011</v>
      </c>
      <c r="H39" s="1457">
        <v>1</v>
      </c>
      <c r="I39" s="1457">
        <v>2.65</v>
      </c>
      <c r="J39" s="1457">
        <v>3.76</v>
      </c>
      <c r="K39" s="1457">
        <v>1.89</v>
      </c>
      <c r="L39" s="1471">
        <v>7.95</v>
      </c>
      <c r="N39" s="1473">
        <f t="shared" si="99"/>
        <v>2.6499999999999999E-2</v>
      </c>
      <c r="O39" s="1474">
        <f t="shared" si="99"/>
        <v>3.7599999999999995E-2</v>
      </c>
      <c r="P39" s="1474">
        <f t="shared" si="99"/>
        <v>1.89E-2</v>
      </c>
      <c r="Q39" s="1474">
        <f t="shared" si="99"/>
        <v>7.9500000000000001E-2</v>
      </c>
      <c r="R39" s="1467"/>
      <c r="S39" s="1473">
        <f>B39/B40-1</f>
        <v>2.713213765211786E-2</v>
      </c>
      <c r="T39" s="1474">
        <f>C39/C40-1</f>
        <v>3.9774828499231862E-2</v>
      </c>
      <c r="U39" s="1474">
        <f>E39/E40-1</f>
        <v>1.8197311840641772E-2</v>
      </c>
      <c r="V39" s="1474">
        <f>F39/F40-1</f>
        <v>7.8211933962205826E-2</v>
      </c>
      <c r="X39" s="1453"/>
      <c r="Y39" s="1453"/>
      <c r="Z39" s="1453"/>
    </row>
    <row r="40" spans="1:26" ht="13.8" thickBot="1">
      <c r="A40" s="1454" t="s">
        <v>1171</v>
      </c>
      <c r="B40" s="1462">
        <v>269</v>
      </c>
      <c r="C40" s="1462">
        <v>221</v>
      </c>
      <c r="D40" s="1462">
        <f t="shared" si="97"/>
        <v>221</v>
      </c>
      <c r="E40" s="1462">
        <v>373</v>
      </c>
      <c r="F40" s="1463">
        <v>196</v>
      </c>
      <c r="G40" s="3316">
        <v>2010</v>
      </c>
      <c r="H40" s="1475">
        <v>4</v>
      </c>
      <c r="I40" s="1475">
        <v>5.72</v>
      </c>
      <c r="J40" s="1475">
        <v>6.57</v>
      </c>
      <c r="K40" s="1475">
        <v>5.72</v>
      </c>
      <c r="L40" s="1476">
        <v>2.72</v>
      </c>
      <c r="N40" s="1465">
        <f t="shared" si="99"/>
        <v>5.7200000000000001E-2</v>
      </c>
      <c r="O40" s="1466">
        <f t="shared" si="99"/>
        <v>6.5700000000000008E-2</v>
      </c>
      <c r="P40" s="1466">
        <f t="shared" si="99"/>
        <v>5.7200000000000001E-2</v>
      </c>
      <c r="Q40" s="1466">
        <f t="shared" si="99"/>
        <v>2.7200000000000002E-2</v>
      </c>
      <c r="R40" s="1467"/>
      <c r="S40" s="1468"/>
      <c r="T40" s="1469"/>
      <c r="U40" s="1469"/>
      <c r="V40" s="1469"/>
      <c r="X40" s="1469"/>
      <c r="Y40" s="1469"/>
      <c r="Z40" s="1469"/>
    </row>
    <row r="41" spans="1:26">
      <c r="A41" s="1454" t="s">
        <v>1172</v>
      </c>
      <c r="B41" s="1470">
        <f t="shared" ref="B41:C43" si="111">B40/(1+N40)</f>
        <v>254.44570563753314</v>
      </c>
      <c r="C41" s="1470">
        <f t="shared" si="111"/>
        <v>207.37543398705074</v>
      </c>
      <c r="D41" s="1470">
        <f t="shared" si="97"/>
        <v>207.37543398705074</v>
      </c>
      <c r="E41" s="1470">
        <f t="shared" ref="E41:F43" si="112">E40/(1+P40)</f>
        <v>352.81876655315932</v>
      </c>
      <c r="F41" s="1470">
        <f t="shared" si="112"/>
        <v>190.809968847352</v>
      </c>
      <c r="G41" s="3317">
        <v>2010</v>
      </c>
      <c r="H41" s="1480">
        <v>3</v>
      </c>
      <c r="I41" s="1480">
        <v>4.7300000000000004</v>
      </c>
      <c r="J41" s="1480">
        <v>3.9</v>
      </c>
      <c r="K41" s="1480">
        <v>5.03</v>
      </c>
      <c r="L41" s="1481">
        <v>4.21</v>
      </c>
      <c r="N41" s="1465">
        <f t="shared" si="99"/>
        <v>4.7300000000000002E-2</v>
      </c>
      <c r="O41" s="1466">
        <f t="shared" si="99"/>
        <v>3.9E-2</v>
      </c>
      <c r="P41" s="1466">
        <f t="shared" si="99"/>
        <v>5.0300000000000004E-2</v>
      </c>
      <c r="Q41" s="1466">
        <f t="shared" si="99"/>
        <v>4.2099999999999999E-2</v>
      </c>
      <c r="R41" s="1467"/>
      <c r="S41" s="1465"/>
      <c r="T41" s="1466"/>
      <c r="U41" s="1466"/>
      <c r="V41" s="1466"/>
    </row>
    <row r="42" spans="1:26">
      <c r="A42" s="1454" t="s">
        <v>1173</v>
      </c>
      <c r="B42" s="1470">
        <f t="shared" si="111"/>
        <v>242.95398227588385</v>
      </c>
      <c r="C42" s="1470">
        <f t="shared" si="111"/>
        <v>199.59137053614126</v>
      </c>
      <c r="D42" s="1470">
        <f t="shared" si="97"/>
        <v>199.59137053614126</v>
      </c>
      <c r="E42" s="1470">
        <f t="shared" si="112"/>
        <v>335.92189522342125</v>
      </c>
      <c r="F42" s="1470">
        <f t="shared" si="112"/>
        <v>183.10139991109489</v>
      </c>
      <c r="G42" s="3317">
        <v>2010</v>
      </c>
      <c r="H42" s="1458">
        <v>2</v>
      </c>
      <c r="I42" s="1458">
        <v>4.6900000000000004</v>
      </c>
      <c r="J42" s="1458">
        <v>3.55</v>
      </c>
      <c r="K42" s="1458">
        <v>5.07</v>
      </c>
      <c r="L42" s="1472">
        <v>4.2300000000000004</v>
      </c>
      <c r="N42" s="1465">
        <f t="shared" si="99"/>
        <v>4.6900000000000004E-2</v>
      </c>
      <c r="O42" s="1466">
        <f t="shared" si="99"/>
        <v>3.5499999999999997E-2</v>
      </c>
      <c r="P42" s="1466">
        <f t="shared" si="99"/>
        <v>5.0700000000000002E-2</v>
      </c>
      <c r="Q42" s="1466">
        <f t="shared" si="99"/>
        <v>4.2300000000000004E-2</v>
      </c>
      <c r="R42" s="1467"/>
      <c r="S42" s="1465"/>
      <c r="T42" s="1466"/>
      <c r="U42" s="1466"/>
      <c r="V42" s="1466"/>
    </row>
    <row r="43" spans="1:26" ht="13.8" thickBot="1">
      <c r="A43" s="1454" t="s">
        <v>1174</v>
      </c>
      <c r="B43" s="1470">
        <f t="shared" si="111"/>
        <v>232.06990378821649</v>
      </c>
      <c r="C43" s="1470">
        <f t="shared" si="111"/>
        <v>192.74878854286936</v>
      </c>
      <c r="D43" s="1470">
        <f t="shared" si="97"/>
        <v>192.74878854286936</v>
      </c>
      <c r="E43" s="1470">
        <f t="shared" si="112"/>
        <v>319.71247284992984</v>
      </c>
      <c r="F43" s="1470">
        <f t="shared" si="112"/>
        <v>175.67053622862409</v>
      </c>
      <c r="G43" s="3318">
        <v>2010</v>
      </c>
      <c r="H43" s="1457">
        <v>1</v>
      </c>
      <c r="I43" s="1457">
        <v>5.4</v>
      </c>
      <c r="J43" s="1457">
        <v>3.2</v>
      </c>
      <c r="K43" s="1457">
        <v>6.16</v>
      </c>
      <c r="L43" s="1471">
        <v>4.51</v>
      </c>
      <c r="N43" s="1465">
        <f t="shared" si="99"/>
        <v>5.4000000000000006E-2</v>
      </c>
      <c r="O43" s="1466">
        <f t="shared" si="99"/>
        <v>3.2000000000000001E-2</v>
      </c>
      <c r="P43" s="1466">
        <f t="shared" si="99"/>
        <v>6.1600000000000002E-2</v>
      </c>
      <c r="Q43" s="1466">
        <f t="shared" si="99"/>
        <v>4.5100000000000001E-2</v>
      </c>
      <c r="R43" s="1467"/>
      <c r="S43" s="1473">
        <f>B43/B44-1</f>
        <v>5.4863199037347599E-2</v>
      </c>
      <c r="T43" s="1474">
        <f>C43/C44-1</f>
        <v>3.0742184721226584E-2</v>
      </c>
      <c r="U43" s="1474">
        <f>E43/E44-1</f>
        <v>6.2167683886810154E-2</v>
      </c>
      <c r="V43" s="1474">
        <f>F43/F44-1</f>
        <v>4.5657953741810031E-2</v>
      </c>
      <c r="X43" s="1453"/>
      <c r="Y43" s="1453"/>
      <c r="Z43" s="1453"/>
    </row>
    <row r="44" spans="1:26" ht="13.8" thickBot="1">
      <c r="A44" s="1454" t="s">
        <v>1175</v>
      </c>
      <c r="B44" s="1462">
        <v>220</v>
      </c>
      <c r="C44" s="1462">
        <v>187</v>
      </c>
      <c r="D44" s="1462">
        <f t="shared" si="97"/>
        <v>187</v>
      </c>
      <c r="E44" s="1462">
        <v>301</v>
      </c>
      <c r="F44" s="1463">
        <v>168</v>
      </c>
      <c r="G44" s="3316">
        <v>2009</v>
      </c>
      <c r="H44" s="1475">
        <v>4</v>
      </c>
      <c r="I44" s="1475">
        <v>2.2999999999999998</v>
      </c>
      <c r="J44" s="1475">
        <v>1.04</v>
      </c>
      <c r="K44" s="1475">
        <v>2.84</v>
      </c>
      <c r="L44" s="1476">
        <v>0.67</v>
      </c>
      <c r="N44" s="1477">
        <f t="shared" si="99"/>
        <v>2.3E-2</v>
      </c>
      <c r="O44" s="1478">
        <f t="shared" si="99"/>
        <v>1.04E-2</v>
      </c>
      <c r="P44" s="1478">
        <f t="shared" si="99"/>
        <v>2.8399999999999998E-2</v>
      </c>
      <c r="Q44" s="1478">
        <f t="shared" si="99"/>
        <v>6.7000000000000002E-3</v>
      </c>
      <c r="R44" s="1467"/>
      <c r="S44" s="1468"/>
      <c r="T44" s="1469"/>
      <c r="U44" s="1469"/>
      <c r="V44" s="1469"/>
      <c r="X44" s="1469"/>
      <c r="Y44" s="1469"/>
      <c r="Z44" s="1469"/>
    </row>
    <row r="45" spans="1:26">
      <c r="A45" s="1454" t="s">
        <v>1176</v>
      </c>
      <c r="B45" s="1470">
        <f t="shared" ref="B45:C47" si="113">B44/(1+N44)</f>
        <v>215.05376344086022</v>
      </c>
      <c r="C45" s="1470">
        <f t="shared" si="113"/>
        <v>185.0752177355503</v>
      </c>
      <c r="D45" s="1470">
        <f t="shared" si="97"/>
        <v>185.0752177355503</v>
      </c>
      <c r="E45" s="1470">
        <f t="shared" ref="E45:F47" si="114">E44/(1+P44)</f>
        <v>292.68767016725008</v>
      </c>
      <c r="F45" s="1470">
        <f t="shared" si="114"/>
        <v>166.88189132810174</v>
      </c>
      <c r="G45" s="3317">
        <v>2009</v>
      </c>
      <c r="H45" s="1480">
        <v>3</v>
      </c>
      <c r="I45" s="1480">
        <v>2.1</v>
      </c>
      <c r="J45" s="1480">
        <v>1.86</v>
      </c>
      <c r="K45" s="1480">
        <v>2.29</v>
      </c>
      <c r="L45" s="1481">
        <v>0.85</v>
      </c>
      <c r="N45" s="1465">
        <f t="shared" si="99"/>
        <v>2.1000000000000001E-2</v>
      </c>
      <c r="O45" s="1482">
        <f t="shared" si="99"/>
        <v>1.8600000000000002E-2</v>
      </c>
      <c r="P45" s="1482">
        <f t="shared" si="99"/>
        <v>2.29E-2</v>
      </c>
      <c r="Q45" s="1482">
        <f t="shared" si="99"/>
        <v>8.5000000000000006E-3</v>
      </c>
      <c r="R45" s="1467"/>
      <c r="S45" s="1465"/>
      <c r="T45" s="1466"/>
      <c r="U45" s="1466"/>
      <c r="V45" s="1466"/>
    </row>
    <row r="46" spans="1:26">
      <c r="A46" s="1454" t="s">
        <v>1177</v>
      </c>
      <c r="B46" s="1470">
        <f t="shared" si="113"/>
        <v>210.630522469011</v>
      </c>
      <c r="C46" s="1470">
        <f t="shared" si="113"/>
        <v>181.69567812247232</v>
      </c>
      <c r="D46" s="1470">
        <f t="shared" si="97"/>
        <v>181.69567812247232</v>
      </c>
      <c r="E46" s="1470">
        <f t="shared" si="114"/>
        <v>286.13517466736738</v>
      </c>
      <c r="F46" s="1470">
        <f t="shared" si="114"/>
        <v>165.47535084591149</v>
      </c>
      <c r="G46" s="3317">
        <v>2009</v>
      </c>
      <c r="H46" s="1458">
        <v>2</v>
      </c>
      <c r="I46" s="1458">
        <v>0.86</v>
      </c>
      <c r="J46" s="1458">
        <v>-1.1299999999999999</v>
      </c>
      <c r="K46" s="1458">
        <v>1.79</v>
      </c>
      <c r="L46" s="1472">
        <v>-2.0699999999999998</v>
      </c>
      <c r="N46" s="1465">
        <f t="shared" si="99"/>
        <v>8.6E-3</v>
      </c>
      <c r="O46" s="1482">
        <f t="shared" si="99"/>
        <v>-1.1299999999999999E-2</v>
      </c>
      <c r="P46" s="1482">
        <f t="shared" si="99"/>
        <v>1.7899999999999999E-2</v>
      </c>
      <c r="Q46" s="1482">
        <f t="shared" si="99"/>
        <v>-2.07E-2</v>
      </c>
      <c r="R46" s="1467"/>
      <c r="S46" s="1465"/>
      <c r="T46" s="1466"/>
      <c r="U46" s="1466"/>
      <c r="V46" s="1466"/>
    </row>
    <row r="47" spans="1:26">
      <c r="A47" s="1454" t="s">
        <v>1178</v>
      </c>
      <c r="B47" s="1470">
        <f t="shared" si="113"/>
        <v>208.83454537875372</v>
      </c>
      <c r="C47" s="1470">
        <f t="shared" si="113"/>
        <v>183.77230517090351</v>
      </c>
      <c r="D47" s="1470">
        <f t="shared" si="97"/>
        <v>183.77230517090351</v>
      </c>
      <c r="E47" s="1470">
        <f t="shared" si="114"/>
        <v>281.10342338870947</v>
      </c>
      <c r="F47" s="1470">
        <f t="shared" si="114"/>
        <v>168.97309388942256</v>
      </c>
      <c r="G47" s="3318">
        <v>2009</v>
      </c>
      <c r="H47" s="1457">
        <v>1</v>
      </c>
      <c r="I47" s="1457">
        <v>-2.64</v>
      </c>
      <c r="J47" s="1457">
        <v>-2.5299999999999998</v>
      </c>
      <c r="K47" s="1457">
        <v>-3.02</v>
      </c>
      <c r="L47" s="1471">
        <v>1.52</v>
      </c>
      <c r="N47" s="1473">
        <f t="shared" si="99"/>
        <v>-2.64E-2</v>
      </c>
      <c r="O47" s="1474">
        <f t="shared" si="99"/>
        <v>-2.53E-2</v>
      </c>
      <c r="P47" s="1474">
        <f t="shared" si="99"/>
        <v>-3.0200000000000001E-2</v>
      </c>
      <c r="Q47" s="1474">
        <f t="shared" si="99"/>
        <v>1.52E-2</v>
      </c>
      <c r="R47" s="1467"/>
      <c r="S47" s="1473">
        <f>B47/B48-1</f>
        <v>-2.4137638417038754E-2</v>
      </c>
      <c r="T47" s="1474">
        <f>C47/C48-1</f>
        <v>-2.248773845264096E-2</v>
      </c>
      <c r="U47" s="1474">
        <f>E47/E48-1</f>
        <v>-2.7323794502735366E-2</v>
      </c>
      <c r="V47" s="1474">
        <f>F47/F48-1</f>
        <v>1.7910204153148035E-2</v>
      </c>
      <c r="X47" s="1453"/>
      <c r="Y47" s="1453"/>
      <c r="Z47" s="1453"/>
    </row>
    <row r="48" spans="1:26" ht="13.8" thickBot="1">
      <c r="A48" s="1454" t="s">
        <v>1179</v>
      </c>
      <c r="B48" s="1504">
        <v>214</v>
      </c>
      <c r="C48" s="1504">
        <v>188</v>
      </c>
      <c r="D48" s="1504">
        <f t="shared" si="97"/>
        <v>188</v>
      </c>
      <c r="E48" s="1504">
        <v>289</v>
      </c>
      <c r="F48" s="1505">
        <v>166</v>
      </c>
      <c r="G48" s="3316">
        <v>2008</v>
      </c>
      <c r="H48" s="1475">
        <v>4</v>
      </c>
      <c r="I48" s="1475">
        <v>1.73</v>
      </c>
      <c r="J48" s="1475">
        <v>0.03</v>
      </c>
      <c r="K48" s="1475">
        <v>2.59</v>
      </c>
      <c r="L48" s="1476">
        <v>-1.66</v>
      </c>
      <c r="N48" s="1465">
        <f t="shared" si="99"/>
        <v>1.7299999999999999E-2</v>
      </c>
      <c r="O48" s="1466">
        <f t="shared" si="99"/>
        <v>2.9999999999999997E-4</v>
      </c>
      <c r="P48" s="1466">
        <f t="shared" si="99"/>
        <v>2.5899999999999999E-2</v>
      </c>
      <c r="Q48" s="1466">
        <f t="shared" si="99"/>
        <v>-1.66E-2</v>
      </c>
      <c r="R48" s="1467"/>
      <c r="S48" s="1468"/>
      <c r="T48" s="1469"/>
      <c r="U48" s="1469"/>
      <c r="V48" s="1469"/>
      <c r="X48" s="1469"/>
      <c r="Y48" s="1469"/>
      <c r="Z48" s="1469"/>
    </row>
    <row r="49" spans="1:26">
      <c r="A49" s="1454" t="s">
        <v>1180</v>
      </c>
      <c r="B49" s="1470">
        <f t="shared" ref="B49:C51" si="115">B48/(1+N48)</f>
        <v>210.36075887152265</v>
      </c>
      <c r="C49" s="1470">
        <f t="shared" si="115"/>
        <v>187.94361691492554</v>
      </c>
      <c r="D49" s="1470">
        <f t="shared" si="97"/>
        <v>187.94361691492554</v>
      </c>
      <c r="E49" s="1470">
        <f t="shared" ref="E49:F51" si="116">E48/(1+P48)</f>
        <v>281.70386977288234</v>
      </c>
      <c r="F49" s="1470">
        <f t="shared" si="116"/>
        <v>168.80211511083994</v>
      </c>
      <c r="G49" s="3317">
        <v>2008</v>
      </c>
      <c r="H49" s="1480">
        <v>3</v>
      </c>
      <c r="I49" s="1480">
        <v>1.96</v>
      </c>
      <c r="J49" s="1480">
        <v>2.36</v>
      </c>
      <c r="K49" s="1480">
        <v>1.82</v>
      </c>
      <c r="L49" s="1481">
        <v>2.2200000000000002</v>
      </c>
      <c r="N49" s="1465">
        <f t="shared" si="99"/>
        <v>1.9599999999999999E-2</v>
      </c>
      <c r="O49" s="1466">
        <f t="shared" si="99"/>
        <v>2.3599999999999999E-2</v>
      </c>
      <c r="P49" s="1466">
        <f t="shared" si="99"/>
        <v>1.8200000000000001E-2</v>
      </c>
      <c r="Q49" s="1466">
        <f t="shared" si="99"/>
        <v>2.2200000000000001E-2</v>
      </c>
      <c r="R49" s="1467"/>
      <c r="S49" s="1465"/>
      <c r="T49" s="1466"/>
      <c r="U49" s="1466"/>
      <c r="V49" s="1466"/>
    </row>
    <row r="50" spans="1:26">
      <c r="A50" s="1454" t="s">
        <v>1181</v>
      </c>
      <c r="B50" s="1470">
        <f t="shared" si="115"/>
        <v>206.31694671589116</v>
      </c>
      <c r="C50" s="1470">
        <f t="shared" si="115"/>
        <v>183.61041121036101</v>
      </c>
      <c r="D50" s="1470">
        <f t="shared" si="97"/>
        <v>183.61041121036101</v>
      </c>
      <c r="E50" s="1470">
        <f t="shared" si="116"/>
        <v>276.66850301795557</v>
      </c>
      <c r="F50" s="1470">
        <f t="shared" si="116"/>
        <v>165.1360938278614</v>
      </c>
      <c r="G50" s="3317">
        <v>2008</v>
      </c>
      <c r="H50" s="1458">
        <v>2</v>
      </c>
      <c r="I50" s="1458">
        <v>4.93</v>
      </c>
      <c r="J50" s="1458">
        <v>7.38</v>
      </c>
      <c r="K50" s="1458">
        <v>3.98</v>
      </c>
      <c r="L50" s="1472">
        <v>6.86</v>
      </c>
      <c r="N50" s="1465">
        <f t="shared" si="99"/>
        <v>4.9299999999999997E-2</v>
      </c>
      <c r="O50" s="1466">
        <f t="shared" si="99"/>
        <v>7.3800000000000004E-2</v>
      </c>
      <c r="P50" s="1466">
        <f t="shared" si="99"/>
        <v>3.9800000000000002E-2</v>
      </c>
      <c r="Q50" s="1466">
        <f t="shared" si="99"/>
        <v>6.8600000000000008E-2</v>
      </c>
      <c r="R50" s="1467"/>
      <c r="S50" s="1465"/>
      <c r="T50" s="1466"/>
      <c r="U50" s="1466"/>
      <c r="V50" s="1466"/>
    </row>
    <row r="51" spans="1:26" s="1510" customFormat="1" ht="13.8" thickBot="1">
      <c r="A51" s="1454" t="s">
        <v>1182</v>
      </c>
      <c r="B51" s="1507">
        <f t="shared" si="115"/>
        <v>196.62341248059772</v>
      </c>
      <c r="C51" s="1507">
        <f t="shared" si="115"/>
        <v>170.99125648199012</v>
      </c>
      <c r="D51" s="1507">
        <f t="shared" si="97"/>
        <v>170.99125648199012</v>
      </c>
      <c r="E51" s="1507">
        <f t="shared" si="116"/>
        <v>266.07857570490052</v>
      </c>
      <c r="F51" s="1507">
        <f t="shared" si="116"/>
        <v>154.53499328828505</v>
      </c>
      <c r="G51" s="3318">
        <v>2008</v>
      </c>
      <c r="H51" s="1508">
        <v>1</v>
      </c>
      <c r="I51" s="1508">
        <v>4.1399999999999997</v>
      </c>
      <c r="J51" s="1508">
        <v>3.45</v>
      </c>
      <c r="K51" s="1508">
        <v>4.95</v>
      </c>
      <c r="L51" s="1509">
        <v>4.82</v>
      </c>
      <c r="N51" s="1511">
        <f t="shared" si="99"/>
        <v>4.1399999999999999E-2</v>
      </c>
      <c r="O51" s="1512">
        <f t="shared" si="99"/>
        <v>3.4500000000000003E-2</v>
      </c>
      <c r="P51" s="1512">
        <f t="shared" si="99"/>
        <v>4.9500000000000002E-2</v>
      </c>
      <c r="Q51" s="1512">
        <f t="shared" si="99"/>
        <v>4.82E-2</v>
      </c>
      <c r="R51" s="1513"/>
      <c r="S51" s="1511">
        <f>B51/B52-1</f>
        <v>4.5869215322328349E-2</v>
      </c>
      <c r="T51" s="1512">
        <f>C51/C52-1</f>
        <v>3.6310645345394743E-2</v>
      </c>
      <c r="U51" s="1512">
        <f>E51/E52-1</f>
        <v>4.7553447657088688E-2</v>
      </c>
      <c r="V51" s="1512">
        <f>F51/F52-1</f>
        <v>4.4155360055980086E-2</v>
      </c>
      <c r="X51" s="1514"/>
      <c r="Y51" s="1514"/>
      <c r="Z51" s="1514"/>
    </row>
    <row r="52" spans="1:26" ht="13.8" thickBot="1">
      <c r="A52" s="1454" t="s">
        <v>1183</v>
      </c>
      <c r="B52" s="1462">
        <v>188</v>
      </c>
      <c r="C52" s="1462">
        <v>165</v>
      </c>
      <c r="D52" s="1462">
        <f t="shared" si="97"/>
        <v>165</v>
      </c>
      <c r="E52" s="1462">
        <v>254</v>
      </c>
      <c r="F52" s="1463">
        <v>148</v>
      </c>
      <c r="G52" s="3316">
        <v>2007</v>
      </c>
      <c r="H52" s="1515">
        <v>4</v>
      </c>
      <c r="I52" s="1515">
        <v>5.51</v>
      </c>
      <c r="J52" s="1515">
        <v>4.8899999999999997</v>
      </c>
      <c r="K52" s="1515">
        <v>6.43</v>
      </c>
      <c r="L52" s="1516">
        <v>5.36</v>
      </c>
      <c r="N52" s="1517">
        <f t="shared" ref="N52:O55" si="117">B52/B53-1</f>
        <v>4.1339718365245526E-2</v>
      </c>
      <c r="O52" s="1518">
        <f t="shared" si="117"/>
        <v>4.0324492593776018E-2</v>
      </c>
      <c r="P52" s="1518">
        <f t="shared" ref="P52:Q55" si="118">E52/E53-1</f>
        <v>6.1625555347990968E-2</v>
      </c>
      <c r="Q52" s="1518">
        <f t="shared" si="118"/>
        <v>4.6757569250590603E-2</v>
      </c>
      <c r="R52" s="1467"/>
      <c r="S52" s="1468"/>
      <c r="T52" s="1469"/>
      <c r="U52" s="1469"/>
      <c r="V52" s="1469"/>
      <c r="X52" s="1469"/>
      <c r="Y52" s="1469"/>
      <c r="Z52" s="1469"/>
    </row>
    <row r="53" spans="1:26">
      <c r="A53" s="1454" t="s">
        <v>1184</v>
      </c>
      <c r="B53" s="1470">
        <f t="shared" ref="B53:C55" si="119">B54+(B$52-B$56)*I53/SUM(I$52:I$55)</f>
        <v>180.5366651097618</v>
      </c>
      <c r="C53" s="1470">
        <f t="shared" si="119"/>
        <v>158.60435967302453</v>
      </c>
      <c r="D53" s="1470">
        <f t="shared" si="97"/>
        <v>158.60435967302453</v>
      </c>
      <c r="E53" s="1470">
        <f t="shared" ref="E53:F55" si="120">E54+(E$52-E$56)*K53/SUM(K$52:K$55)</f>
        <v>239.25573260785075</v>
      </c>
      <c r="F53" s="1470">
        <f t="shared" si="120"/>
        <v>141.38899430740037</v>
      </c>
      <c r="G53" s="3317">
        <v>2007</v>
      </c>
      <c r="H53" s="1480">
        <v>3</v>
      </c>
      <c r="I53" s="1480">
        <v>8.65</v>
      </c>
      <c r="J53" s="1480">
        <v>8.06</v>
      </c>
      <c r="K53" s="1480">
        <v>9.94</v>
      </c>
      <c r="L53" s="1481">
        <v>5.8</v>
      </c>
      <c r="N53" s="1517">
        <f t="shared" si="117"/>
        <v>6.940217571740015E-2</v>
      </c>
      <c r="O53" s="1518">
        <f t="shared" si="117"/>
        <v>7.1197482471153428E-2</v>
      </c>
      <c r="P53" s="1518">
        <f t="shared" si="118"/>
        <v>0.10529679922579582</v>
      </c>
      <c r="Q53" s="1518">
        <f t="shared" si="118"/>
        <v>5.3292245059512133E-2</v>
      </c>
      <c r="R53" s="1467"/>
      <c r="S53" s="1465"/>
      <c r="T53" s="1466"/>
      <c r="U53" s="1466"/>
      <c r="V53" s="1466"/>
      <c r="X53" s="1519"/>
      <c r="Y53" s="1519"/>
      <c r="Z53" s="1519"/>
    </row>
    <row r="54" spans="1:26">
      <c r="A54" s="1454" t="s">
        <v>1185</v>
      </c>
      <c r="B54" s="1470">
        <f t="shared" si="119"/>
        <v>168.82017748715555</v>
      </c>
      <c r="C54" s="1470">
        <f t="shared" si="119"/>
        <v>148.06267029972753</v>
      </c>
      <c r="D54" s="1470">
        <f t="shared" si="97"/>
        <v>148.06267029972753</v>
      </c>
      <c r="E54" s="1470">
        <f t="shared" si="120"/>
        <v>216.46288379323747</v>
      </c>
      <c r="F54" s="1470">
        <f t="shared" si="120"/>
        <v>134.23529411764704</v>
      </c>
      <c r="G54" s="3317">
        <v>2007</v>
      </c>
      <c r="H54" s="1458">
        <v>2</v>
      </c>
      <c r="I54" s="1458">
        <v>3.67</v>
      </c>
      <c r="J54" s="1458">
        <v>2.3199999999999998</v>
      </c>
      <c r="K54" s="1458">
        <v>5.0199999999999996</v>
      </c>
      <c r="L54" s="1472">
        <v>6.71</v>
      </c>
      <c r="N54" s="1517">
        <f t="shared" si="117"/>
        <v>3.0339138143848032E-2</v>
      </c>
      <c r="O54" s="1518">
        <f t="shared" si="117"/>
        <v>2.0922341588790472E-2</v>
      </c>
      <c r="P54" s="1518">
        <f t="shared" si="118"/>
        <v>5.6164796592717003E-2</v>
      </c>
      <c r="Q54" s="1518">
        <f t="shared" si="118"/>
        <v>6.5704536723887319E-2</v>
      </c>
      <c r="R54" s="1467"/>
      <c r="S54" s="1465"/>
      <c r="T54" s="1466"/>
      <c r="U54" s="1466"/>
      <c r="V54" s="1466"/>
      <c r="X54" s="1519"/>
      <c r="Y54" s="1519"/>
      <c r="Z54" s="1519"/>
    </row>
    <row r="55" spans="1:26">
      <c r="A55" s="1454" t="s">
        <v>1186</v>
      </c>
      <c r="B55" s="1470">
        <f t="shared" si="119"/>
        <v>163.84913591779542</v>
      </c>
      <c r="C55" s="1470">
        <f t="shared" si="119"/>
        <v>145.0283378746594</v>
      </c>
      <c r="D55" s="1470">
        <f t="shared" si="97"/>
        <v>145.0283378746594</v>
      </c>
      <c r="E55" s="1470">
        <f t="shared" si="120"/>
        <v>204.95180722891567</v>
      </c>
      <c r="F55" s="1470">
        <f t="shared" si="120"/>
        <v>125.95920303605313</v>
      </c>
      <c r="G55" s="3318">
        <v>2007</v>
      </c>
      <c r="H55" s="1457">
        <v>1</v>
      </c>
      <c r="I55" s="1457">
        <v>3.58</v>
      </c>
      <c r="J55" s="1457">
        <v>3.08</v>
      </c>
      <c r="K55" s="1457">
        <v>4.34</v>
      </c>
      <c r="L55" s="1471">
        <v>3.21</v>
      </c>
      <c r="N55" s="1520">
        <f t="shared" si="117"/>
        <v>3.0497710174814063E-2</v>
      </c>
      <c r="O55" s="1521">
        <f t="shared" si="117"/>
        <v>2.8569772160704998E-2</v>
      </c>
      <c r="P55" s="1521">
        <f t="shared" si="118"/>
        <v>5.1034908866234296E-2</v>
      </c>
      <c r="Q55" s="1521">
        <f t="shared" si="118"/>
        <v>3.245248390207478E-2</v>
      </c>
      <c r="R55" s="1467"/>
      <c r="S55" s="1473">
        <f>B55/B56-1</f>
        <v>3.0497710174814063E-2</v>
      </c>
      <c r="T55" s="1474">
        <f>C55/C56-1</f>
        <v>2.8569772160704998E-2</v>
      </c>
      <c r="U55" s="1474">
        <f>E55/E56-1</f>
        <v>5.1034908866234296E-2</v>
      </c>
      <c r="V55" s="1474">
        <f>F55/F56-1</f>
        <v>3.245248390207478E-2</v>
      </c>
      <c r="X55" s="1519"/>
      <c r="Y55" s="1519"/>
      <c r="Z55" s="1519"/>
    </row>
    <row r="56" spans="1:26" ht="13.8" thickBot="1">
      <c r="A56" s="1454" t="s">
        <v>1187</v>
      </c>
      <c r="B56" s="1483">
        <v>159</v>
      </c>
      <c r="C56" s="1483">
        <v>141</v>
      </c>
      <c r="D56" s="1483">
        <f t="shared" si="97"/>
        <v>141</v>
      </c>
      <c r="E56" s="1483">
        <v>195</v>
      </c>
      <c r="F56" s="1484">
        <v>122</v>
      </c>
      <c r="G56" s="3316">
        <v>2006</v>
      </c>
      <c r="H56" s="1475">
        <v>4</v>
      </c>
      <c r="I56" s="1475">
        <v>3.79</v>
      </c>
      <c r="J56" s="1475">
        <v>2.21</v>
      </c>
      <c r="K56" s="1475">
        <v>5.65</v>
      </c>
      <c r="L56" s="1476">
        <v>5.41</v>
      </c>
      <c r="N56" s="1517">
        <f t="shared" ref="N56:O59" si="121">I56/SUM(I$56:I$59)*(B$56/B$60-1)</f>
        <v>7.245466462748526E-2</v>
      </c>
      <c r="O56" s="1518">
        <f t="shared" si="121"/>
        <v>2.3237230038062766E-2</v>
      </c>
      <c r="P56" s="1518">
        <f t="shared" ref="P56:Q59" si="122">K56/SUM(K$56:K$59)*(E$56/E$60-1)</f>
        <v>0.16146893866323722</v>
      </c>
      <c r="Q56" s="1518">
        <f t="shared" si="122"/>
        <v>5.0755230321793784E-2</v>
      </c>
      <c r="R56" s="1467"/>
      <c r="S56" s="1468"/>
      <c r="T56" s="1469"/>
      <c r="U56" s="1469"/>
      <c r="V56" s="1469"/>
      <c r="X56" s="1519"/>
      <c r="Y56" s="1519"/>
      <c r="Z56" s="1519"/>
    </row>
    <row r="57" spans="1:26">
      <c r="A57" s="1454" t="s">
        <v>1188</v>
      </c>
      <c r="B57" s="1470">
        <f t="shared" ref="B57:C59" si="123">B58+(B$56-B$60)*I57/SUM(I$56:I$59)</f>
        <v>149.00125628140702</v>
      </c>
      <c r="C57" s="1470">
        <f t="shared" si="123"/>
        <v>137.95592286501378</v>
      </c>
      <c r="D57" s="1470">
        <f t="shared" si="97"/>
        <v>137.95592286501378</v>
      </c>
      <c r="E57" s="1470">
        <f t="shared" ref="E57:F59" si="124">E58+(E$56-E$60)*K57/SUM(K$56:K$59)</f>
        <v>169.97231450719823</v>
      </c>
      <c r="F57" s="1470">
        <f t="shared" si="124"/>
        <v>116.21390374331551</v>
      </c>
      <c r="G57" s="3317">
        <v>2006</v>
      </c>
      <c r="H57" s="1480">
        <v>3</v>
      </c>
      <c r="I57" s="1480">
        <v>0.92</v>
      </c>
      <c r="J57" s="1480">
        <v>1.08</v>
      </c>
      <c r="K57" s="1480">
        <v>0.73</v>
      </c>
      <c r="L57" s="1481">
        <v>1.08</v>
      </c>
      <c r="N57" s="1517">
        <f t="shared" si="121"/>
        <v>1.7587939698492462E-2</v>
      </c>
      <c r="O57" s="1518">
        <f t="shared" si="121"/>
        <v>1.1355750425840628E-2</v>
      </c>
      <c r="P57" s="1518">
        <f t="shared" si="122"/>
        <v>2.0862358446754544E-2</v>
      </c>
      <c r="Q57" s="1518">
        <f t="shared" si="122"/>
        <v>1.0132282578103011E-2</v>
      </c>
      <c r="R57" s="1467"/>
      <c r="S57" s="1465"/>
      <c r="T57" s="1466"/>
      <c r="U57" s="1466"/>
      <c r="V57" s="1466"/>
      <c r="X57" s="1519"/>
      <c r="Y57" s="1519"/>
      <c r="Z57" s="1519"/>
    </row>
    <row r="58" spans="1:26">
      <c r="A58" s="1454" t="s">
        <v>1189</v>
      </c>
      <c r="B58" s="1470">
        <f t="shared" si="123"/>
        <v>146.57412060301507</v>
      </c>
      <c r="C58" s="1470">
        <f t="shared" si="123"/>
        <v>136.46831955922866</v>
      </c>
      <c r="D58" s="1470">
        <f t="shared" si="97"/>
        <v>136.46831955922866</v>
      </c>
      <c r="E58" s="1470">
        <f t="shared" si="124"/>
        <v>166.73864894795128</v>
      </c>
      <c r="F58" s="1470">
        <f t="shared" si="124"/>
        <v>115.05882352941177</v>
      </c>
      <c r="G58" s="3317">
        <v>2006</v>
      </c>
      <c r="H58" s="1458">
        <v>2</v>
      </c>
      <c r="I58" s="1458">
        <v>0.96</v>
      </c>
      <c r="J58" s="1458">
        <v>0.25</v>
      </c>
      <c r="K58" s="1458">
        <v>1.9</v>
      </c>
      <c r="L58" s="1472">
        <v>0.95</v>
      </c>
      <c r="N58" s="1517">
        <f t="shared" si="121"/>
        <v>1.8352632728861701E-2</v>
      </c>
      <c r="O58" s="1518">
        <f t="shared" si="121"/>
        <v>2.6286459319075526E-3</v>
      </c>
      <c r="P58" s="1518">
        <f t="shared" si="122"/>
        <v>5.4299289107991269E-2</v>
      </c>
      <c r="Q58" s="1518">
        <f t="shared" si="122"/>
        <v>8.9126559714794995E-3</v>
      </c>
      <c r="R58" s="1467"/>
      <c r="S58" s="1465"/>
      <c r="T58" s="1466"/>
      <c r="U58" s="1466"/>
      <c r="V58" s="1466"/>
      <c r="X58" s="1519"/>
      <c r="Y58" s="1519"/>
      <c r="Z58" s="1519"/>
    </row>
    <row r="59" spans="1:26">
      <c r="A59" s="1454" t="s">
        <v>1190</v>
      </c>
      <c r="B59" s="1470">
        <f t="shared" si="123"/>
        <v>144.04145728643215</v>
      </c>
      <c r="C59" s="1470">
        <f t="shared" si="123"/>
        <v>136.12396694214877</v>
      </c>
      <c r="D59" s="1470">
        <f t="shared" si="97"/>
        <v>136.12396694214877</v>
      </c>
      <c r="E59" s="1470">
        <f t="shared" si="124"/>
        <v>158.32225913621264</v>
      </c>
      <c r="F59" s="1470">
        <f t="shared" si="124"/>
        <v>114.04278074866311</v>
      </c>
      <c r="G59" s="3318">
        <v>2006</v>
      </c>
      <c r="H59" s="1457">
        <v>1</v>
      </c>
      <c r="I59" s="1457">
        <v>2.29</v>
      </c>
      <c r="J59" s="1457">
        <v>3.72</v>
      </c>
      <c r="K59" s="1457">
        <v>0.75</v>
      </c>
      <c r="L59" s="1471">
        <v>0.04</v>
      </c>
      <c r="N59" s="1520">
        <f t="shared" si="121"/>
        <v>4.3778675988638847E-2</v>
      </c>
      <c r="O59" s="1521">
        <f t="shared" si="121"/>
        <v>3.9114251466784385E-2</v>
      </c>
      <c r="P59" s="1521">
        <f t="shared" si="122"/>
        <v>2.1433929911049188E-2</v>
      </c>
      <c r="Q59" s="1521">
        <f t="shared" si="122"/>
        <v>3.7526972511492629E-4</v>
      </c>
      <c r="R59" s="1467"/>
      <c r="S59" s="1473">
        <f>B59/B60-1</f>
        <v>4.3778675988638716E-2</v>
      </c>
      <c r="T59" s="1474">
        <f>C59/C60-1</f>
        <v>3.91142514667846E-2</v>
      </c>
      <c r="U59" s="1474">
        <f>E59/E60-1</f>
        <v>2.143392991104931E-2</v>
      </c>
      <c r="V59" s="1474">
        <f>F59/F60-1</f>
        <v>3.7526972511492396E-4</v>
      </c>
      <c r="X59" s="1519"/>
      <c r="Y59" s="1519"/>
      <c r="Z59" s="1519"/>
    </row>
    <row r="60" spans="1:26" ht="13.8" thickBot="1">
      <c r="A60" s="1454" t="s">
        <v>1191</v>
      </c>
      <c r="B60" s="1483">
        <v>138</v>
      </c>
      <c r="C60" s="1483">
        <v>131</v>
      </c>
      <c r="D60" s="1483">
        <f t="shared" si="97"/>
        <v>131</v>
      </c>
      <c r="E60" s="1483">
        <v>155</v>
      </c>
      <c r="F60" s="1484">
        <v>114</v>
      </c>
      <c r="G60" s="3316">
        <v>2005</v>
      </c>
      <c r="H60" s="1475">
        <v>4</v>
      </c>
      <c r="I60" s="1475">
        <v>3.29</v>
      </c>
      <c r="J60" s="1475">
        <v>1.44</v>
      </c>
      <c r="K60" s="1475">
        <v>0.66</v>
      </c>
      <c r="L60" s="1476">
        <v>7.78</v>
      </c>
      <c r="N60" s="1517">
        <f t="shared" ref="N60:O63" si="125">I60/SUM(I$60:I$63)*(B$60/B$64-1)</f>
        <v>9.9404603216919935E-2</v>
      </c>
      <c r="O60" s="1518">
        <f t="shared" si="125"/>
        <v>4.7636550760861554E-2</v>
      </c>
      <c r="P60" s="1518">
        <f t="shared" ref="P60:Q63" si="126">K60/SUM(K$60:K$63)*(E$60/E$64-1)</f>
        <v>8.3756345177664976E-2</v>
      </c>
      <c r="Q60" s="1518">
        <f t="shared" si="126"/>
        <v>5.2148766661559584E-2</v>
      </c>
      <c r="R60" s="1467"/>
      <c r="S60" s="1468"/>
      <c r="T60" s="1469"/>
      <c r="U60" s="1469"/>
      <c r="V60" s="1469"/>
      <c r="X60" s="1519"/>
      <c r="Y60" s="1519"/>
      <c r="Z60" s="1519"/>
    </row>
    <row r="61" spans="1:26">
      <c r="A61" s="1454" t="s">
        <v>1192</v>
      </c>
      <c r="B61" s="1470">
        <f t="shared" ref="B61:C63" si="127">B62+(B$60-B$64)*I61/SUM(I$60:I$63)</f>
        <v>125.9720430107527</v>
      </c>
      <c r="C61" s="1470">
        <f t="shared" si="127"/>
        <v>125.1883408071749</v>
      </c>
      <c r="D61" s="1470">
        <f t="shared" si="97"/>
        <v>125.1883408071749</v>
      </c>
      <c r="E61" s="1470">
        <f t="shared" ref="E61:F63" si="128">E62+(E$60-E$64)*K61/SUM(K$60:K$63)</f>
        <v>144.61421319796952</v>
      </c>
      <c r="F61" s="1470">
        <f t="shared" si="128"/>
        <v>108.42008196721311</v>
      </c>
      <c r="G61" s="3317">
        <v>2005</v>
      </c>
      <c r="H61" s="1480">
        <v>3</v>
      </c>
      <c r="I61" s="1480">
        <v>0.46</v>
      </c>
      <c r="J61" s="1480">
        <v>0.32</v>
      </c>
      <c r="K61" s="1480">
        <v>0.42</v>
      </c>
      <c r="L61" s="1481">
        <v>0.64</v>
      </c>
      <c r="N61" s="1517">
        <f t="shared" si="125"/>
        <v>1.3898515951301874E-2</v>
      </c>
      <c r="O61" s="1518">
        <f t="shared" si="125"/>
        <v>1.0585900169080346E-2</v>
      </c>
      <c r="P61" s="1518">
        <f t="shared" si="126"/>
        <v>5.3299492385786795E-2</v>
      </c>
      <c r="Q61" s="1518">
        <f t="shared" si="126"/>
        <v>4.2898728359123568E-3</v>
      </c>
      <c r="R61" s="1467"/>
      <c r="S61" s="1465"/>
      <c r="T61" s="1466"/>
      <c r="U61" s="1466"/>
      <c r="V61" s="1466"/>
      <c r="X61" s="1519"/>
      <c r="Y61" s="1519"/>
      <c r="Z61" s="1519"/>
    </row>
    <row r="62" spans="1:26">
      <c r="A62" s="1454" t="s">
        <v>1193</v>
      </c>
      <c r="B62" s="1470">
        <f t="shared" si="127"/>
        <v>124.29032258064517</v>
      </c>
      <c r="C62" s="1470">
        <f t="shared" si="127"/>
        <v>123.8968609865471</v>
      </c>
      <c r="D62" s="1470">
        <f t="shared" si="97"/>
        <v>123.8968609865471</v>
      </c>
      <c r="E62" s="1470">
        <f t="shared" si="128"/>
        <v>138.00507614213197</v>
      </c>
      <c r="F62" s="1470">
        <f t="shared" si="128"/>
        <v>107.96106557377048</v>
      </c>
      <c r="G62" s="3317">
        <v>2005</v>
      </c>
      <c r="H62" s="1458">
        <v>2</v>
      </c>
      <c r="I62" s="1458">
        <v>0.47</v>
      </c>
      <c r="J62" s="1458">
        <v>0.1</v>
      </c>
      <c r="K62" s="1458">
        <v>0.52</v>
      </c>
      <c r="L62" s="1472">
        <v>0.79</v>
      </c>
      <c r="N62" s="1517">
        <f t="shared" si="125"/>
        <v>1.420065760241713E-2</v>
      </c>
      <c r="O62" s="1518">
        <f t="shared" si="125"/>
        <v>3.3080938028376083E-3</v>
      </c>
      <c r="P62" s="1518">
        <f t="shared" si="126"/>
        <v>6.598984771573603E-2</v>
      </c>
      <c r="Q62" s="1518">
        <f t="shared" si="126"/>
        <v>5.2953117818293153E-3</v>
      </c>
      <c r="R62" s="1467"/>
      <c r="S62" s="1465"/>
      <c r="T62" s="1466"/>
      <c r="U62" s="1466"/>
      <c r="V62" s="1466"/>
      <c r="X62" s="1519"/>
      <c r="Y62" s="1519"/>
      <c r="Z62" s="1519"/>
    </row>
    <row r="63" spans="1:26">
      <c r="A63" s="1454" t="s">
        <v>1194</v>
      </c>
      <c r="B63" s="1470">
        <f t="shared" si="127"/>
        <v>122.57204301075269</v>
      </c>
      <c r="C63" s="1470">
        <f t="shared" si="127"/>
        <v>123.4932735426009</v>
      </c>
      <c r="D63" s="1470">
        <f t="shared" si="97"/>
        <v>123.4932735426009</v>
      </c>
      <c r="E63" s="1470">
        <f t="shared" si="128"/>
        <v>129.82233502538071</v>
      </c>
      <c r="F63" s="1470">
        <f t="shared" si="128"/>
        <v>107.39446721311475</v>
      </c>
      <c r="G63" s="3318">
        <v>2005</v>
      </c>
      <c r="H63" s="1457">
        <v>1</v>
      </c>
      <c r="I63" s="1457">
        <v>0.43</v>
      </c>
      <c r="J63" s="1457">
        <v>0.37</v>
      </c>
      <c r="K63" s="1457">
        <v>0.37</v>
      </c>
      <c r="L63" s="1471">
        <v>0.55000000000000004</v>
      </c>
      <c r="N63" s="1520">
        <f t="shared" si="125"/>
        <v>1.2992090997956099E-2</v>
      </c>
      <c r="O63" s="1521">
        <f t="shared" si="125"/>
        <v>1.2239947070499151E-2</v>
      </c>
      <c r="P63" s="1521">
        <f t="shared" si="126"/>
        <v>4.6954314720812178E-2</v>
      </c>
      <c r="Q63" s="1521">
        <f t="shared" si="126"/>
        <v>3.6866094683621815E-3</v>
      </c>
      <c r="R63" s="1467"/>
      <c r="S63" s="1473">
        <f>B63/B64-1</f>
        <v>1.2992090997956174E-2</v>
      </c>
      <c r="T63" s="1474">
        <f>C63/C64-1</f>
        <v>1.2239947070499246E-2</v>
      </c>
      <c r="U63" s="1474">
        <f>E63/E64-1</f>
        <v>4.695431472081224E-2</v>
      </c>
      <c r="V63" s="1474">
        <f>F63/F64-1</f>
        <v>3.6866094683620787E-3</v>
      </c>
      <c r="X63" s="1519"/>
      <c r="Y63" s="1519"/>
      <c r="Z63" s="1519"/>
    </row>
    <row r="64" spans="1:26" ht="13.8" thickBot="1">
      <c r="A64" s="1454" t="s">
        <v>1195</v>
      </c>
      <c r="B64" s="1504">
        <v>121</v>
      </c>
      <c r="C64" s="1504">
        <v>122</v>
      </c>
      <c r="D64" s="1504">
        <f t="shared" si="97"/>
        <v>122</v>
      </c>
      <c r="E64" s="1504">
        <v>124</v>
      </c>
      <c r="F64" s="1505">
        <v>107</v>
      </c>
      <c r="G64" s="3316">
        <v>2004</v>
      </c>
      <c r="H64" s="1475">
        <v>4</v>
      </c>
      <c r="I64" s="1475">
        <v>0.33</v>
      </c>
      <c r="J64" s="1475">
        <v>0.5</v>
      </c>
      <c r="K64" s="1475">
        <v>0.5</v>
      </c>
      <c r="L64" s="1476">
        <v>0</v>
      </c>
      <c r="N64" s="1517">
        <f t="shared" ref="N64:O67" si="129">I64/SUM(I$64:I$67)*(B$64/B$68-1)</f>
        <v>1.3391770148526898E-2</v>
      </c>
      <c r="O64" s="1518">
        <f t="shared" si="129"/>
        <v>1.063264221158958E-2</v>
      </c>
      <c r="P64" s="1518">
        <f t="shared" ref="P64:Q67" si="130">K64/SUM(K$64:K$67)*(E$64/E$68-1)</f>
        <v>2.2244466688911134E-2</v>
      </c>
      <c r="Q64" s="1518">
        <f t="shared" si="130"/>
        <v>0</v>
      </c>
      <c r="R64" s="1467"/>
      <c r="S64" s="1468"/>
      <c r="T64" s="1469"/>
      <c r="U64" s="1469"/>
      <c r="V64" s="1469"/>
      <c r="X64" s="1519"/>
      <c r="Y64" s="1519"/>
      <c r="Z64" s="1519"/>
    </row>
    <row r="65" spans="1:26">
      <c r="A65" s="1454" t="s">
        <v>1196</v>
      </c>
      <c r="B65" s="1470">
        <f t="shared" ref="B65:C67" si="131">B66+(B$64-B$68)*I65/SUM(I$64:I$67)</f>
        <v>119.51351351351352</v>
      </c>
      <c r="C65" s="1470">
        <f t="shared" si="131"/>
        <v>120.7878787878788</v>
      </c>
      <c r="D65" s="1470">
        <f t="shared" si="97"/>
        <v>120.7878787878788</v>
      </c>
      <c r="E65" s="1470">
        <f t="shared" ref="E65:F67" si="132">E66+(E$64-E$68)*K65/SUM(K$64:K$67)</f>
        <v>121.5975975975976</v>
      </c>
      <c r="F65" s="1470">
        <f t="shared" si="132"/>
        <v>107</v>
      </c>
      <c r="G65" s="3317">
        <v>2004</v>
      </c>
      <c r="H65" s="1480">
        <v>3</v>
      </c>
      <c r="I65" s="1480">
        <v>0.56000000000000005</v>
      </c>
      <c r="J65" s="1480">
        <v>0.8</v>
      </c>
      <c r="K65" s="1480">
        <v>0.83</v>
      </c>
      <c r="L65" s="1481">
        <v>0.06</v>
      </c>
      <c r="N65" s="1517">
        <f t="shared" si="129"/>
        <v>2.2725428130833527E-2</v>
      </c>
      <c r="O65" s="1518">
        <f t="shared" si="129"/>
        <v>1.7012227538543329E-2</v>
      </c>
      <c r="P65" s="1518">
        <f t="shared" si="130"/>
        <v>3.6925814703592477E-2</v>
      </c>
      <c r="Q65" s="1518">
        <f t="shared" si="130"/>
        <v>2.8846153846153744E-2</v>
      </c>
      <c r="R65" s="1467"/>
      <c r="S65" s="1465"/>
      <c r="T65" s="1466"/>
      <c r="U65" s="1466"/>
      <c r="V65" s="1466"/>
      <c r="X65" s="1519"/>
      <c r="Y65" s="1519"/>
      <c r="Z65" s="1519"/>
    </row>
    <row r="66" spans="1:26">
      <c r="A66" s="1454" t="s">
        <v>1197</v>
      </c>
      <c r="B66" s="1470">
        <f t="shared" si="131"/>
        <v>116.99099099099099</v>
      </c>
      <c r="C66" s="1470">
        <f t="shared" si="131"/>
        <v>118.84848484848486</v>
      </c>
      <c r="D66" s="1470">
        <f t="shared" si="97"/>
        <v>118.84848484848486</v>
      </c>
      <c r="E66" s="1470">
        <f t="shared" si="132"/>
        <v>117.60960960960961</v>
      </c>
      <c r="F66" s="1470">
        <f t="shared" si="132"/>
        <v>104</v>
      </c>
      <c r="G66" s="3317">
        <v>2004</v>
      </c>
      <c r="H66" s="1458">
        <v>2</v>
      </c>
      <c r="I66" s="1458">
        <v>1</v>
      </c>
      <c r="J66" s="1458">
        <v>1.5</v>
      </c>
      <c r="K66" s="1458">
        <v>1.5</v>
      </c>
      <c r="L66" s="1472">
        <v>0</v>
      </c>
      <c r="N66" s="1517">
        <f t="shared" si="129"/>
        <v>4.0581121662202721E-2</v>
      </c>
      <c r="O66" s="1518">
        <f t="shared" si="129"/>
        <v>3.1897926634768738E-2</v>
      </c>
      <c r="P66" s="1518">
        <f t="shared" si="130"/>
        <v>6.6733400066733395E-2</v>
      </c>
      <c r="Q66" s="1518">
        <f t="shared" si="130"/>
        <v>0</v>
      </c>
      <c r="R66" s="1467"/>
      <c r="S66" s="1465"/>
      <c r="T66" s="1466"/>
      <c r="U66" s="1466"/>
      <c r="V66" s="1466"/>
      <c r="X66" s="1519"/>
      <c r="Y66" s="1519"/>
      <c r="Z66" s="1519"/>
    </row>
    <row r="67" spans="1:26" s="1510" customFormat="1" ht="13.8" thickBot="1">
      <c r="A67" s="1454" t="s">
        <v>1198</v>
      </c>
      <c r="B67" s="1507">
        <f t="shared" si="131"/>
        <v>112.48648648648648</v>
      </c>
      <c r="C67" s="1507">
        <f t="shared" si="131"/>
        <v>115.21212121212122</v>
      </c>
      <c r="D67" s="1507">
        <f t="shared" si="97"/>
        <v>115.21212121212122</v>
      </c>
      <c r="E67" s="1507">
        <f t="shared" si="132"/>
        <v>110.4024024024024</v>
      </c>
      <c r="F67" s="1507">
        <f t="shared" si="132"/>
        <v>104</v>
      </c>
      <c r="G67" s="3318">
        <v>2004</v>
      </c>
      <c r="H67" s="1508">
        <v>1</v>
      </c>
      <c r="I67" s="1508">
        <v>0.33</v>
      </c>
      <c r="J67" s="1508">
        <v>0.5</v>
      </c>
      <c r="K67" s="1508">
        <v>0.5</v>
      </c>
      <c r="L67" s="1509">
        <v>0</v>
      </c>
      <c r="N67" s="1522">
        <f t="shared" si="129"/>
        <v>1.3391770148526898E-2</v>
      </c>
      <c r="O67" s="1523">
        <f t="shared" si="129"/>
        <v>1.063264221158958E-2</v>
      </c>
      <c r="P67" s="1523">
        <f t="shared" si="130"/>
        <v>2.2244466688911134E-2</v>
      </c>
      <c r="Q67" s="1523">
        <f t="shared" si="130"/>
        <v>0</v>
      </c>
      <c r="R67" s="1513"/>
      <c r="S67" s="1511">
        <f>B67/B68-1</f>
        <v>1.3391770148526883E-2</v>
      </c>
      <c r="T67" s="1512">
        <f>C67/C68-1</f>
        <v>1.063264221158966E-2</v>
      </c>
      <c r="U67" s="1512">
        <f>E67/E68-1</f>
        <v>2.2244466688911224E-2</v>
      </c>
      <c r="V67" s="1512">
        <f>F67/F68-1</f>
        <v>0</v>
      </c>
      <c r="X67" s="1524"/>
      <c r="Y67" s="1524"/>
      <c r="Z67" s="1524"/>
    </row>
    <row r="68" spans="1:26" ht="13.8" thickBot="1">
      <c r="A68" s="1454" t="s">
        <v>1199</v>
      </c>
      <c r="B68" s="1525">
        <v>111</v>
      </c>
      <c r="C68" s="1525">
        <v>114</v>
      </c>
      <c r="D68" s="1525">
        <f t="shared" si="97"/>
        <v>114</v>
      </c>
      <c r="E68" s="1525">
        <v>108</v>
      </c>
      <c r="F68" s="1526">
        <v>104</v>
      </c>
      <c r="G68" s="3316">
        <v>2003</v>
      </c>
      <c r="H68" s="1515">
        <v>4</v>
      </c>
      <c r="I68" s="1527"/>
      <c r="J68" s="1527"/>
      <c r="K68" s="1527"/>
      <c r="L68" s="1527"/>
      <c r="N68" s="1528"/>
      <c r="O68" s="1527"/>
      <c r="P68" s="1527"/>
      <c r="Q68" s="1527"/>
      <c r="S68" s="1528"/>
      <c r="T68" s="1527"/>
      <c r="U68" s="1527"/>
      <c r="V68" s="1527"/>
      <c r="X68" s="1519"/>
      <c r="Y68" s="1519"/>
      <c r="Z68" s="1519"/>
    </row>
    <row r="69" spans="1:26">
      <c r="A69" s="1454" t="s">
        <v>1200</v>
      </c>
      <c r="B69" s="1529">
        <f t="shared" ref="B69:C71" si="133">B70+(B$68-B$72)/4</f>
        <v>109.75</v>
      </c>
      <c r="C69" s="1529">
        <f t="shared" si="133"/>
        <v>112.25</v>
      </c>
      <c r="D69" s="1529">
        <f t="shared" si="97"/>
        <v>112.25</v>
      </c>
      <c r="E69" s="1529">
        <f t="shared" ref="E69:F71" si="134">E70+(E$68-E$72)/4</f>
        <v>107.25</v>
      </c>
      <c r="F69" s="1529">
        <f t="shared" si="134"/>
        <v>103.5</v>
      </c>
      <c r="G69" s="3317">
        <v>2003</v>
      </c>
      <c r="H69" s="1480">
        <v>3</v>
      </c>
      <c r="I69" s="1527"/>
      <c r="J69" s="1527"/>
      <c r="K69" s="1527"/>
      <c r="L69" s="1527"/>
      <c r="X69" s="1519"/>
      <c r="Y69" s="1519"/>
      <c r="Z69" s="1519"/>
    </row>
    <row r="70" spans="1:26">
      <c r="A70" s="1454" t="s">
        <v>1201</v>
      </c>
      <c r="B70" s="1529">
        <f t="shared" si="133"/>
        <v>108.5</v>
      </c>
      <c r="C70" s="1529">
        <f t="shared" si="133"/>
        <v>110.5</v>
      </c>
      <c r="D70" s="1529">
        <f t="shared" si="97"/>
        <v>110.5</v>
      </c>
      <c r="E70" s="1529">
        <f t="shared" si="134"/>
        <v>106.5</v>
      </c>
      <c r="F70" s="1529">
        <f t="shared" si="134"/>
        <v>103</v>
      </c>
      <c r="G70" s="3317">
        <v>2003</v>
      </c>
      <c r="H70" s="1458">
        <v>2</v>
      </c>
      <c r="I70" s="1527"/>
      <c r="J70" s="1527"/>
      <c r="K70" s="1527"/>
      <c r="L70" s="1527"/>
      <c r="X70" s="1519"/>
      <c r="Y70" s="1519"/>
      <c r="Z70" s="1519"/>
    </row>
    <row r="71" spans="1:26" ht="13.8" thickBot="1">
      <c r="A71" s="1454" t="s">
        <v>1202</v>
      </c>
      <c r="B71" s="1529">
        <f t="shared" si="133"/>
        <v>107.25</v>
      </c>
      <c r="C71" s="1529">
        <f t="shared" si="133"/>
        <v>108.75</v>
      </c>
      <c r="D71" s="1529">
        <f t="shared" si="97"/>
        <v>108.75</v>
      </c>
      <c r="E71" s="1529">
        <f t="shared" si="134"/>
        <v>105.75</v>
      </c>
      <c r="F71" s="1529">
        <f t="shared" si="134"/>
        <v>102.5</v>
      </c>
      <c r="G71" s="3318">
        <v>2003</v>
      </c>
      <c r="H71" s="1530">
        <v>1</v>
      </c>
      <c r="I71" s="1527"/>
      <c r="J71" s="1527"/>
      <c r="K71" s="1527"/>
      <c r="L71" s="1527"/>
      <c r="S71" s="1465"/>
      <c r="T71" s="1466"/>
      <c r="U71" s="1466"/>
      <c r="X71" s="1519"/>
      <c r="Y71" s="1519"/>
      <c r="Z71" s="1519"/>
    </row>
    <row r="72" spans="1:26" ht="13.8" thickBot="1">
      <c r="A72" s="1454" t="s">
        <v>1203</v>
      </c>
      <c r="B72" s="1531">
        <v>106</v>
      </c>
      <c r="C72" s="1531">
        <v>107</v>
      </c>
      <c r="D72" s="1531">
        <f t="shared" si="97"/>
        <v>107</v>
      </c>
      <c r="E72" s="1531">
        <v>105</v>
      </c>
      <c r="F72" s="1532">
        <v>102</v>
      </c>
      <c r="G72" s="3316">
        <v>2002</v>
      </c>
      <c r="H72" s="1475">
        <v>4</v>
      </c>
      <c r="I72" s="1527"/>
      <c r="J72" s="1527"/>
      <c r="K72" s="1527"/>
      <c r="L72" s="1527"/>
      <c r="N72" s="1528"/>
      <c r="O72" s="1527"/>
      <c r="P72" s="1527"/>
      <c r="Q72" s="1527"/>
      <c r="S72" s="1528"/>
      <c r="T72" s="1527"/>
      <c r="U72" s="1527"/>
      <c r="V72" s="1527"/>
      <c r="X72" s="1519"/>
      <c r="Y72" s="1519"/>
      <c r="Z72" s="1519"/>
    </row>
    <row r="73" spans="1:26">
      <c r="A73" s="1454" t="s">
        <v>1204</v>
      </c>
      <c r="B73" s="1529">
        <f t="shared" ref="B73:C75" si="135">B74+(B$72-B$76)/4</f>
        <v>105</v>
      </c>
      <c r="C73" s="1529">
        <f t="shared" si="135"/>
        <v>106</v>
      </c>
      <c r="D73" s="1529">
        <f t="shared" si="97"/>
        <v>106</v>
      </c>
      <c r="E73" s="1529">
        <f t="shared" ref="E73:F75" si="136">E74+(E$72-E$76)/4</f>
        <v>104.5</v>
      </c>
      <c r="F73" s="1529">
        <f t="shared" si="136"/>
        <v>101.5</v>
      </c>
      <c r="G73" s="3317">
        <v>2002</v>
      </c>
      <c r="H73" s="1480">
        <v>3</v>
      </c>
      <c r="I73" s="1527"/>
      <c r="J73" s="1527"/>
      <c r="K73" s="1527"/>
      <c r="L73" s="1527"/>
      <c r="X73" s="1519"/>
      <c r="Y73" s="1519"/>
      <c r="Z73" s="1519"/>
    </row>
    <row r="74" spans="1:26">
      <c r="A74" s="1454" t="s">
        <v>1205</v>
      </c>
      <c r="B74" s="1529">
        <f t="shared" si="135"/>
        <v>104</v>
      </c>
      <c r="C74" s="1529">
        <f t="shared" si="135"/>
        <v>105</v>
      </c>
      <c r="D74" s="1529">
        <f t="shared" si="97"/>
        <v>105</v>
      </c>
      <c r="E74" s="1529">
        <f t="shared" si="136"/>
        <v>104</v>
      </c>
      <c r="F74" s="1529">
        <f t="shared" si="136"/>
        <v>101</v>
      </c>
      <c r="G74" s="3317">
        <v>2002</v>
      </c>
      <c r="H74" s="1458">
        <v>2</v>
      </c>
      <c r="I74" s="1527"/>
      <c r="J74" s="1527"/>
      <c r="K74" s="1527"/>
      <c r="L74" s="1527"/>
      <c r="X74" s="1519"/>
      <c r="Y74" s="1519"/>
      <c r="Z74" s="1519"/>
    </row>
    <row r="75" spans="1:26" s="1491" customFormat="1" ht="13.8" thickBot="1">
      <c r="A75" s="1487" t="s">
        <v>1206</v>
      </c>
      <c r="B75" s="1533">
        <f t="shared" si="135"/>
        <v>103</v>
      </c>
      <c r="C75" s="1533">
        <f t="shared" si="135"/>
        <v>104</v>
      </c>
      <c r="D75" s="1533">
        <f t="shared" si="97"/>
        <v>104</v>
      </c>
      <c r="E75" s="1533">
        <f t="shared" si="136"/>
        <v>103.5</v>
      </c>
      <c r="F75" s="1533">
        <f t="shared" si="136"/>
        <v>100.5</v>
      </c>
      <c r="G75" s="3318">
        <v>2002</v>
      </c>
      <c r="H75" s="1534">
        <v>1</v>
      </c>
      <c r="I75" s="1535"/>
      <c r="J75" s="1535"/>
      <c r="K75" s="1535"/>
      <c r="L75" s="1535"/>
      <c r="N75" s="1536"/>
      <c r="S75" s="1536"/>
      <c r="X75" s="1537"/>
      <c r="Y75" s="1537"/>
      <c r="Z75" s="1537"/>
    </row>
    <row r="76" spans="1:26" ht="13.8" thickBot="1">
      <c r="B76" s="1538">
        <v>102</v>
      </c>
      <c r="C76" s="1539">
        <v>103</v>
      </c>
      <c r="D76" s="1539">
        <f t="shared" si="97"/>
        <v>103</v>
      </c>
      <c r="E76" s="1539">
        <v>103</v>
      </c>
      <c r="F76" s="1540">
        <v>100</v>
      </c>
      <c r="I76" s="1527"/>
      <c r="J76" s="1527"/>
      <c r="K76" s="1527"/>
      <c r="L76" s="1527"/>
      <c r="N76" s="1528"/>
      <c r="O76" s="1527"/>
      <c r="P76" s="1527"/>
      <c r="Q76" s="1527"/>
      <c r="S76" s="1528"/>
      <c r="T76" s="1527"/>
      <c r="U76" s="1527"/>
      <c r="V76" s="1527"/>
      <c r="X76" s="1469"/>
      <c r="Y76" s="1469"/>
      <c r="Z76" s="1469"/>
    </row>
    <row r="78" spans="1:26" s="1542" customFormat="1">
      <c r="A78" s="1541" t="s">
        <v>1207</v>
      </c>
      <c r="G78" s="1543"/>
      <c r="N78" s="1543"/>
      <c r="S78" s="1543"/>
    </row>
    <row r="79" spans="1:26" s="1542" customFormat="1">
      <c r="A79" s="1542" t="s">
        <v>1208</v>
      </c>
      <c r="G79" s="1543"/>
      <c r="N79" s="1543"/>
      <c r="S79" s="1543"/>
    </row>
    <row r="80" spans="1:26" s="1542" customFormat="1">
      <c r="A80" s="1542" t="s">
        <v>1209</v>
      </c>
      <c r="G80" s="1543"/>
      <c r="I80" s="1544"/>
      <c r="J80" s="1544"/>
      <c r="K80" s="1544"/>
      <c r="L80" s="1544"/>
      <c r="N80" s="1545"/>
      <c r="O80" s="1544"/>
      <c r="P80" s="1544"/>
      <c r="Q80" s="1544"/>
      <c r="S80" s="1545"/>
      <c r="T80" s="1544"/>
      <c r="U80" s="1544"/>
      <c r="V80" s="1544"/>
    </row>
    <row r="81" spans="1:22" s="1542" customFormat="1">
      <c r="A81" s="1542" t="s">
        <v>1210</v>
      </c>
      <c r="G81" s="1543"/>
      <c r="N81" s="1543"/>
      <c r="S81" s="1543"/>
    </row>
    <row r="88" spans="1:22" ht="13.8" thickBot="1"/>
    <row r="89" spans="1:22">
      <c r="G89" s="1464"/>
      <c r="S89" s="1546" t="s">
        <v>1211</v>
      </c>
      <c r="T89" s="1547" t="s">
        <v>1212</v>
      </c>
      <c r="U89" s="1547" t="s">
        <v>1213</v>
      </c>
      <c r="V89" s="1547" t="s">
        <v>1214</v>
      </c>
    </row>
    <row r="90" spans="1:22">
      <c r="G90" s="1464"/>
      <c r="N90" s="1468"/>
      <c r="O90" s="1469"/>
      <c r="P90" s="1469"/>
      <c r="Q90" s="1469"/>
      <c r="S90" s="1548">
        <v>2006</v>
      </c>
      <c r="T90" s="1549">
        <v>15.1</v>
      </c>
      <c r="U90" s="1549">
        <v>7.43</v>
      </c>
      <c r="V90" s="1549">
        <v>26.26</v>
      </c>
    </row>
    <row r="91" spans="1:22">
      <c r="G91" s="1464"/>
      <c r="N91" s="1468"/>
      <c r="O91" s="1469"/>
      <c r="P91" s="1469"/>
      <c r="Q91" s="1469"/>
      <c r="S91" s="1550">
        <v>2005</v>
      </c>
      <c r="T91" s="1551">
        <v>13.9</v>
      </c>
      <c r="U91" s="1551">
        <v>7.49</v>
      </c>
      <c r="V91" s="1551">
        <v>24.92</v>
      </c>
    </row>
    <row r="92" spans="1:22">
      <c r="G92" s="1464"/>
      <c r="N92" s="1468"/>
      <c r="O92" s="1469"/>
      <c r="P92" s="1469"/>
      <c r="Q92" s="1469"/>
      <c r="S92" s="1548">
        <v>2004</v>
      </c>
      <c r="T92" s="1549">
        <v>9.48</v>
      </c>
      <c r="U92" s="1549">
        <v>7.2</v>
      </c>
      <c r="V92" s="1549">
        <v>14.68</v>
      </c>
    </row>
    <row r="93" spans="1:22">
      <c r="G93" s="1464"/>
      <c r="N93" s="1468"/>
      <c r="O93" s="1469"/>
      <c r="P93" s="1469"/>
      <c r="Q93" s="1469"/>
      <c r="S93" s="1550">
        <v>2003</v>
      </c>
      <c r="T93" s="1551">
        <v>4.5</v>
      </c>
      <c r="U93" s="1551">
        <v>6.12</v>
      </c>
      <c r="V93" s="1551">
        <v>2.34</v>
      </c>
    </row>
    <row r="94" spans="1:22" ht="13.8" thickBot="1">
      <c r="G94" s="1464"/>
      <c r="N94" s="1468"/>
      <c r="O94" s="1469"/>
      <c r="P94" s="1469"/>
      <c r="Q94" s="1469"/>
      <c r="S94" s="1552">
        <v>2002</v>
      </c>
      <c r="T94" s="1553">
        <v>3.59</v>
      </c>
      <c r="U94" s="1553">
        <v>4.54</v>
      </c>
      <c r="V94" s="1553">
        <v>2.5499999999999998</v>
      </c>
    </row>
    <row r="95" spans="1:22">
      <c r="G95" s="1464"/>
      <c r="N95" s="1468"/>
      <c r="O95" s="1469"/>
      <c r="P95" s="1469"/>
      <c r="Q95" s="1469"/>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7" t="s">
        <v>2990</v>
      </c>
      <c r="C1" s="3328" t="s">
        <v>2991</v>
      </c>
      <c r="D1" s="3329"/>
      <c r="E1" s="3329"/>
      <c r="F1" s="3329"/>
      <c r="G1" s="3329"/>
      <c r="H1" s="3329"/>
      <c r="I1" s="3329"/>
      <c r="J1" s="3329"/>
      <c r="K1" s="3329"/>
      <c r="L1" s="3329"/>
      <c r="M1" s="3329"/>
      <c r="N1" s="3329"/>
      <c r="O1" s="3329"/>
      <c r="P1" s="3329"/>
      <c r="Q1" s="3329"/>
      <c r="R1" s="3329"/>
      <c r="S1" s="3330"/>
      <c r="T1" s="1197" t="s">
        <v>2992</v>
      </c>
    </row>
    <row r="2" spans="1:45" s="706" customFormat="1">
      <c r="A2" s="1198"/>
      <c r="B2" s="702" t="s">
        <v>2993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7"/>
      <c r="G3" s="1697"/>
      <c r="H3" s="1697"/>
      <c r="I3" s="1697"/>
      <c r="J3" s="1697"/>
      <c r="K3" s="1697"/>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8"/>
      <c r="B5" s="1762" t="s">
        <v>2994</v>
      </c>
      <c r="C5" s="1209"/>
      <c r="D5" s="1210"/>
      <c r="E5" s="1210"/>
      <c r="F5" s="1704"/>
      <c r="G5" s="1704"/>
      <c r="H5" s="1704"/>
      <c r="I5" s="1704"/>
      <c r="J5" s="1704"/>
      <c r="K5" s="1704"/>
      <c r="L5" s="1705"/>
      <c r="M5" s="1706"/>
      <c r="N5" s="1706"/>
      <c r="O5" s="1704"/>
      <c r="P5" s="1704"/>
      <c r="Q5" s="1704"/>
      <c r="R5" s="1704"/>
      <c r="S5" s="1707"/>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8"/>
      <c r="B7" s="1763" t="s">
        <v>2995</v>
      </c>
      <c r="C7" s="1114"/>
      <c r="D7" s="1108"/>
      <c r="E7" s="1108"/>
      <c r="F7" s="1709"/>
      <c r="G7" s="1709"/>
      <c r="H7" s="1709"/>
      <c r="I7" s="1709"/>
      <c r="J7" s="1709"/>
      <c r="K7" s="1709"/>
      <c r="L7" s="1709"/>
      <c r="M7" s="1710"/>
      <c r="N7" s="1711"/>
      <c r="O7" s="1712"/>
      <c r="P7" s="1713"/>
      <c r="Q7" s="1714"/>
      <c r="R7" s="1715"/>
      <c r="S7" s="171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8"/>
      <c r="B9" s="1763" t="s">
        <v>2996</v>
      </c>
      <c r="C9" s="1114"/>
      <c r="D9" s="1108"/>
      <c r="E9" s="1108"/>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8"/>
      <c r="B11" s="1762" t="s">
        <v>2997</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8"/>
      <c r="B13" s="1762" t="s">
        <v>2998</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8"/>
      <c r="B15" s="1762" t="s">
        <v>2999</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3000</v>
      </c>
      <c r="B17" s="2897" t="s">
        <v>3001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7"/>
      <c r="B19" s="167"/>
      <c r="C19" s="167"/>
      <c r="D19" s="2898" t="s">
        <v>3002</v>
      </c>
      <c r="E19" s="1785"/>
      <c r="F19" s="1785"/>
      <c r="G19" s="1785"/>
      <c r="H19" s="1273"/>
      <c r="I19" s="167"/>
      <c r="J19" s="167"/>
      <c r="K19" s="167"/>
      <c r="L19" s="167"/>
      <c r="M19" s="167"/>
      <c r="N19" s="167"/>
      <c r="O19" s="167"/>
      <c r="P19" s="167"/>
      <c r="Q19" s="167"/>
      <c r="R19" s="787"/>
      <c r="S19" s="137"/>
    </row>
    <row r="20" spans="1:45" ht="16.2" thickBot="1">
      <c r="A20" s="714" t="s">
        <v>3003</v>
      </c>
      <c r="B20" s="337" t="e">
        <f ca="1">IF(D20="——",S22,S22-F20)</f>
        <v>#REF!</v>
      </c>
      <c r="C20" s="167"/>
      <c r="D20" s="2899" t="s">
        <v>3004</v>
      </c>
      <c r="E20" s="1786"/>
      <c r="F20" s="1197" t="e">
        <f ca="1">SUMIF(INDIRECT("'"&amp;H20&amp;"'"&amp;"!A:A"),"承租人权益价值",INDIRECT("'"&amp;H20&amp;"'"&amp;"!c:c"))</f>
        <v>#REF!</v>
      </c>
      <c r="G20" s="1197" t="s">
        <v>3005</v>
      </c>
      <c r="H20" s="2900"/>
      <c r="I20" s="167"/>
      <c r="J20" s="167"/>
      <c r="K20" s="167"/>
      <c r="L20" s="167"/>
      <c r="M20" s="167"/>
      <c r="N20" s="167"/>
      <c r="O20" s="167"/>
      <c r="P20" s="167"/>
      <c r="Q20" s="167"/>
      <c r="R20" s="787"/>
      <c r="S20" s="137"/>
    </row>
    <row r="21" spans="1:45" ht="15.6">
      <c r="A21" s="714" t="s">
        <v>3006</v>
      </c>
      <c r="B21" s="337">
        <f>R22</f>
        <v>10000</v>
      </c>
      <c r="C21" s="167"/>
      <c r="D21" s="167"/>
      <c r="E21" s="167"/>
      <c r="F21" s="167"/>
      <c r="G21" s="167"/>
      <c r="H21" s="167"/>
      <c r="I21" s="167"/>
      <c r="J21" s="167"/>
      <c r="K21" s="167"/>
      <c r="L21" s="167"/>
      <c r="M21" s="167"/>
      <c r="N21" s="167"/>
      <c r="O21" s="167"/>
      <c r="P21" s="167"/>
      <c r="Q21" s="167"/>
      <c r="R21" s="787"/>
      <c r="S21" s="137"/>
    </row>
    <row r="22" spans="1:45">
      <c r="A22" s="360" t="s">
        <v>3007</v>
      </c>
      <c r="B22" s="24">
        <f>SUM(B24:B10000)</f>
        <v>100</v>
      </c>
      <c r="C22" s="3134" t="s">
        <v>33</v>
      </c>
      <c r="D22" s="3135"/>
      <c r="E22" s="3135"/>
      <c r="F22" s="3135"/>
      <c r="G22" s="3135"/>
      <c r="H22" s="3135"/>
      <c r="I22" s="3135"/>
      <c r="J22" s="3135"/>
      <c r="K22" s="3135"/>
      <c r="L22" s="3135"/>
      <c r="M22" s="3135"/>
      <c r="N22" s="3135"/>
      <c r="O22" s="3135"/>
      <c r="P22" s="3135"/>
      <c r="Q22" s="3327"/>
      <c r="R22" s="715">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37707</v>
      </c>
      <c r="C2" s="2" t="s">
        <v>133</v>
      </c>
      <c r="D2" s="242"/>
      <c r="E2" s="242"/>
      <c r="F2" s="242"/>
      <c r="G2" s="242"/>
    </row>
    <row r="3" spans="1:7" s="243" customFormat="1" ht="18" customHeight="1" thickBot="1">
      <c r="A3" s="246" t="s">
        <v>85</v>
      </c>
      <c r="B3" s="247">
        <f ca="1">ROUND(B2*10000/'数据-汇总表'!E3,0)</f>
        <v>17721</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1145</v>
      </c>
    </row>
    <row r="9" spans="1:7" s="257" customFormat="1" ht="13.5" customHeight="1">
      <c r="A9" s="943" t="s">
        <v>800</v>
      </c>
      <c r="B9" s="267" t="s">
        <v>93</v>
      </c>
      <c r="C9" s="268">
        <f>ROUND(D9*E9/10000,0)</f>
        <v>0</v>
      </c>
      <c r="D9" s="1025">
        <f>'数据-汇总表'!E5</f>
        <v>21278.6</v>
      </c>
      <c r="E9" s="268">
        <f>'数据-取费表'!B27</f>
        <v>0</v>
      </c>
      <c r="F9" s="264"/>
      <c r="G9" s="269"/>
    </row>
    <row r="10" spans="1:7" s="257" customFormat="1" ht="13.5" customHeight="1">
      <c r="A10" s="943" t="s">
        <v>801</v>
      </c>
      <c r="B10" s="267" t="s">
        <v>94</v>
      </c>
      <c r="C10" s="268">
        <f>ROUND(D10*E10/10000,0)</f>
        <v>0</v>
      </c>
      <c r="D10" s="1025">
        <f>'数据-汇总表'!E6</f>
        <v>0</v>
      </c>
      <c r="E10" s="268">
        <f>'数据-取费表'!B28</f>
        <v>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1052</v>
      </c>
      <c r="B19" s="253" t="s">
        <v>111</v>
      </c>
      <c r="C19" s="254">
        <f>IF(G19="已包含在土地取得成本中","0",ROUND(D19*E19/10000,0))</f>
        <v>426</v>
      </c>
      <c r="D19" s="1029">
        <f>'数据-汇总表'!E3</f>
        <v>21278.6</v>
      </c>
      <c r="E19" s="254">
        <f>'数据-取费表'!B31</f>
        <v>200</v>
      </c>
      <c r="F19" s="274"/>
      <c r="G19" s="1" t="s">
        <v>1071</v>
      </c>
    </row>
    <row r="20" spans="1:7" s="257" customFormat="1" ht="13.5" customHeight="1">
      <c r="A20" s="941" t="s">
        <v>1054</v>
      </c>
      <c r="B20" s="253" t="s">
        <v>104</v>
      </c>
      <c r="C20" s="275">
        <f>ROUND((C5+C19)*F20,0)</f>
        <v>316</v>
      </c>
      <c r="D20" s="275"/>
      <c r="E20" s="275"/>
      <c r="F20" s="276">
        <f>'数据-取费表'!B37</f>
        <v>1.4999999999999999E-2</v>
      </c>
      <c r="G20" s="1282" t="s">
        <v>1065</v>
      </c>
    </row>
    <row r="21" spans="1:7" s="257" customFormat="1" ht="13.5" customHeight="1">
      <c r="A21" s="941" t="s">
        <v>1056</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2060</v>
      </c>
      <c r="D22" s="278">
        <f ca="1">C26</f>
        <v>1E-3</v>
      </c>
      <c r="E22" s="279" t="s">
        <v>126</v>
      </c>
      <c r="F22" s="280">
        <f ca="1">'数据-取费表'!B40</f>
        <v>4.7500000000000001E-2</v>
      </c>
      <c r="G22" s="1282" t="str">
        <f>IF('数据-取费表'!B22&lt;=1,"单利计息","复利计息")</f>
        <v>复利计息</v>
      </c>
    </row>
    <row r="23" spans="1:7" s="257" customFormat="1" ht="13.5" customHeight="1">
      <c r="A23" s="944" t="s">
        <v>794</v>
      </c>
      <c r="B23" s="258" t="s">
        <v>1058</v>
      </c>
      <c r="C23" s="1348">
        <f ca="1">ROUND(IF('数据-取费表'!B22&lt;=1,C5*F22*'数据-取费表'!B23,C5*(POWER((1+F22),'数据-取费表'!B23)-1)),0)</f>
        <v>2004</v>
      </c>
      <c r="D23" s="281"/>
      <c r="E23" s="281"/>
      <c r="F23" s="282"/>
      <c r="G23" s="283" t="s">
        <v>108</v>
      </c>
    </row>
    <row r="24" spans="1:7" s="257" customFormat="1" ht="13.5" customHeight="1">
      <c r="A24" s="944" t="s">
        <v>792</v>
      </c>
      <c r="B24" s="258" t="s">
        <v>1053</v>
      </c>
      <c r="C24" s="1348">
        <f ca="1">ROUND(IF('数据-取费表'!B22&lt;=1,C19*F22*('数据-取费表'!B19/2+'数据-取费表'!B21),C19*(POWER((1+F22),('数据-取费表'!B19/2+'数据-取费表'!B21))-1)),0)</f>
        <v>41</v>
      </c>
      <c r="D24" s="281"/>
      <c r="E24" s="281"/>
      <c r="F24" s="282"/>
      <c r="G24" s="283" t="s">
        <v>109</v>
      </c>
    </row>
    <row r="25" spans="1:7" s="257" customFormat="1" ht="24">
      <c r="A25" s="944" t="s">
        <v>793</v>
      </c>
      <c r="B25" s="258" t="s">
        <v>1055</v>
      </c>
      <c r="C25" s="1348">
        <f ca="1">ROUND(IF('数据-取费表'!B22&lt;=1,C20*F22*'数据-取费表'!B23/2,C20*(POWER((1+F22),'数据-取费表'!B23/2)-1)),0)</f>
        <v>15</v>
      </c>
      <c r="D25" s="281"/>
      <c r="E25" s="284"/>
      <c r="F25" s="282"/>
      <c r="G25" s="285" t="s">
        <v>110</v>
      </c>
    </row>
    <row r="26" spans="1:7" s="257" customFormat="1">
      <c r="A26" s="944" t="s">
        <v>795</v>
      </c>
      <c r="B26" s="258" t="s">
        <v>1057</v>
      </c>
      <c r="C26" s="281">
        <f ca="1">ROUND(IF('数据-取费表'!B22&lt;=1,F21*F22*'数据-取费表'!B23/2,F21*(POWER((1+F22),'数据-取费表'!B23/2)-1)),4)</f>
        <v>1E-3</v>
      </c>
      <c r="D26" s="281"/>
      <c r="E26" s="284"/>
      <c r="F26" s="282"/>
      <c r="G26" s="286"/>
    </row>
    <row r="27" spans="1:7" s="257" customFormat="1" ht="26.4">
      <c r="A27" s="941" t="s">
        <v>787</v>
      </c>
      <c r="B27" s="287" t="s">
        <v>112</v>
      </c>
      <c r="C27" s="288">
        <f>C28</f>
        <v>2562</v>
      </c>
      <c r="D27" s="278">
        <f>C29</f>
        <v>2.3999999999999998E-3</v>
      </c>
      <c r="E27" s="279" t="s">
        <v>126</v>
      </c>
      <c r="F27" s="289">
        <f>'数据-取费表'!Q16</f>
        <v>0.12</v>
      </c>
      <c r="G27" s="290" t="s">
        <v>1066</v>
      </c>
    </row>
    <row r="28" spans="1:7" s="257" customFormat="1" ht="13.5" customHeight="1">
      <c r="A28" s="944" t="s">
        <v>794</v>
      </c>
      <c r="B28" s="291" t="s">
        <v>1059</v>
      </c>
      <c r="C28" s="292">
        <f>ROUND((C5+C19+C20)*F27*'数据-取费表'!B21/'数据-取费表'!B20,0)</f>
        <v>2562</v>
      </c>
      <c r="D28" s="278"/>
      <c r="E28" s="279"/>
      <c r="F28" s="289"/>
      <c r="G28" s="290"/>
    </row>
    <row r="29" spans="1:7" s="257" customFormat="1" ht="13.5" customHeight="1">
      <c r="A29" s="944" t="s">
        <v>792</v>
      </c>
      <c r="B29" s="291" t="s">
        <v>1060</v>
      </c>
      <c r="C29" s="281">
        <f>ROUND(C21*F27*'数据-取费表'!B21/'数据-取费表'!B20,4)</f>
        <v>2.3999999999999998E-3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28133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7459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6543</v>
      </c>
      <c r="D34" s="260"/>
      <c r="E34" s="263"/>
      <c r="F34" s="300">
        <f>IF('数据-取费表'!B24=0,1,'数据-取费表'!N16)</f>
        <v>1</v>
      </c>
      <c r="G34" s="262" t="s">
        <v>116</v>
      </c>
    </row>
    <row r="35" spans="1:7" ht="13.5" customHeight="1">
      <c r="A35" s="944" t="s">
        <v>796</v>
      </c>
      <c r="B35" s="258" t="s">
        <v>60</v>
      </c>
      <c r="C35" s="263">
        <f>ROUND(C34*F35,0)</f>
        <v>196</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196</v>
      </c>
      <c r="D36" s="263"/>
      <c r="E36" s="263"/>
      <c r="F36" s="302">
        <f>'数据-取费表'!B34</f>
        <v>0.03</v>
      </c>
      <c r="G36" s="303" t="s">
        <v>62</v>
      </c>
    </row>
    <row r="37" spans="1:7" s="301" customFormat="1" ht="13.5" customHeight="1">
      <c r="A37" s="944" t="s">
        <v>798</v>
      </c>
      <c r="B37" s="258" t="s">
        <v>118</v>
      </c>
      <c r="C37" s="292">
        <f>ROUND(E37*D37*F34/10000,0)</f>
        <v>426</v>
      </c>
      <c r="D37" s="260">
        <f>'数据-汇总表'!E3</f>
        <v>21278.6</v>
      </c>
      <c r="E37" s="292">
        <f>'数据-取费表'!B35</f>
        <v>200</v>
      </c>
      <c r="F37" s="302"/>
      <c r="G37" s="304" t="s">
        <v>119</v>
      </c>
    </row>
    <row r="38" spans="1:7" ht="13.5" customHeight="1">
      <c r="A38" s="944" t="s">
        <v>799</v>
      </c>
      <c r="B38" s="258" t="s">
        <v>63</v>
      </c>
      <c r="C38" s="263">
        <f>ROUND(C34*F38,0)</f>
        <v>98</v>
      </c>
      <c r="D38" s="263"/>
      <c r="E38" s="263"/>
      <c r="F38" s="302">
        <f>'数据-取费表'!B36</f>
        <v>1.4999999999999999E-2</v>
      </c>
      <c r="G38" s="262" t="s">
        <v>117</v>
      </c>
    </row>
    <row r="39" spans="1:7" s="257" customFormat="1" ht="13.5" customHeight="1">
      <c r="A39" s="941" t="s">
        <v>783</v>
      </c>
      <c r="B39" s="253" t="s">
        <v>104</v>
      </c>
      <c r="C39" s="275">
        <f>ROUND(C33*F20,0)</f>
        <v>112</v>
      </c>
      <c r="D39" s="275"/>
      <c r="E39" s="275"/>
      <c r="F39" s="276"/>
      <c r="G39" s="1282" t="s">
        <v>1068</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359</v>
      </c>
      <c r="D41" s="278">
        <f ca="1">C44</f>
        <v>1E-3</v>
      </c>
      <c r="E41" s="279" t="s">
        <v>129</v>
      </c>
      <c r="F41" s="280"/>
      <c r="G41" s="1282" t="str">
        <f>IF('数据-取费表'!B22&lt;=1,"单利计息","复利计息")</f>
        <v>复利计息</v>
      </c>
    </row>
    <row r="42" spans="1:7" ht="13.5" customHeight="1">
      <c r="A42" s="944" t="s">
        <v>794</v>
      </c>
      <c r="B42" s="258" t="s">
        <v>1058</v>
      </c>
      <c r="C42" s="281">
        <f ca="1">ROUND(IF('数据-取费表'!B22&lt;=1,C33*F22*'数据-取费表'!B21/2,C33*(POWER((1+F22),'数据-取费表'!B21/2)-1)),0)</f>
        <v>354</v>
      </c>
      <c r="D42" s="281"/>
      <c r="E42" s="281"/>
      <c r="F42" s="282"/>
      <c r="G42" s="3189" t="s">
        <v>121</v>
      </c>
    </row>
    <row r="43" spans="1:7" ht="13.5" customHeight="1">
      <c r="A43" s="944" t="s">
        <v>792</v>
      </c>
      <c r="B43" s="258" t="s">
        <v>1061</v>
      </c>
      <c r="C43" s="281">
        <f ca="1">ROUND(IF('数据-取费表'!B22&lt;=1,C39*F22*'数据-取费表'!B21/2,C39*(POWER((1+F22),'数据-取费表'!B21/2)-1)),0)</f>
        <v>5</v>
      </c>
      <c r="D43" s="281"/>
      <c r="E43" s="281"/>
      <c r="F43" s="282"/>
      <c r="G43" s="3190"/>
    </row>
    <row r="44" spans="1:7" ht="13.5" customHeight="1">
      <c r="A44" s="944" t="s">
        <v>793</v>
      </c>
      <c r="B44" s="258" t="s">
        <v>1063</v>
      </c>
      <c r="C44" s="281">
        <f ca="1">ROUND(IF('数据-取费表'!B22&lt;=1,C40*F22*'数据-取费表'!B21/2,C40*(POWER((1+F22),'数据-取费表'!B21/2)-1)),4)</f>
        <v>1E-3</v>
      </c>
      <c r="D44" s="281"/>
      <c r="E44" s="281"/>
      <c r="F44" s="282"/>
      <c r="G44" s="3191"/>
    </row>
    <row r="45" spans="1:7" s="257" customFormat="1" ht="13.5" customHeight="1">
      <c r="A45" s="941" t="s">
        <v>786</v>
      </c>
      <c r="B45" s="287" t="s">
        <v>112</v>
      </c>
      <c r="C45" s="288">
        <f>C46</f>
        <v>909</v>
      </c>
      <c r="D45" s="278">
        <f>C47</f>
        <v>2.3999999999999998E-3</v>
      </c>
      <c r="E45" s="279" t="s">
        <v>129</v>
      </c>
      <c r="F45" s="289"/>
      <c r="G45" s="290" t="s">
        <v>1069</v>
      </c>
    </row>
    <row r="46" spans="1:7" s="257" customFormat="1" ht="13.5" customHeight="1">
      <c r="A46" s="944" t="s">
        <v>794</v>
      </c>
      <c r="B46" s="291" t="s">
        <v>1062</v>
      </c>
      <c r="C46" s="292">
        <f>ROUND((C33+C39)*F27,0)</f>
        <v>909</v>
      </c>
      <c r="D46" s="306"/>
      <c r="E46" s="279"/>
      <c r="F46" s="289"/>
      <c r="G46" s="290"/>
    </row>
    <row r="47" spans="1:7" s="257" customFormat="1" ht="13.5" customHeight="1">
      <c r="A47" s="944" t="s">
        <v>792</v>
      </c>
      <c r="B47" s="291" t="s">
        <v>1064</v>
      </c>
      <c r="C47" s="281">
        <f>ROUND(C40*F27,4)</f>
        <v>2.3999999999999998E-3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9574</v>
      </c>
      <c r="D49" s="275"/>
      <c r="E49" s="275"/>
      <c r="F49" s="307"/>
      <c r="G49" s="277" t="s">
        <v>1070</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9574</v>
      </c>
      <c r="D51" s="275"/>
      <c r="E51" s="275"/>
      <c r="F51" s="307"/>
      <c r="G51" s="277" t="s">
        <v>64</v>
      </c>
    </row>
    <row r="52" spans="1:7" s="251" customFormat="1" ht="16.8" thickBot="1">
      <c r="A52" s="308" t="s">
        <v>65</v>
      </c>
      <c r="B52" s="309"/>
      <c r="C52" s="310">
        <f ca="1">C31+C51</f>
        <v>37707</v>
      </c>
      <c r="D52" s="309"/>
      <c r="E52" s="309"/>
      <c r="F52" s="309"/>
      <c r="G52" s="311"/>
    </row>
    <row r="55" spans="1:7" ht="15">
      <c r="B55" s="313" t="s">
        <v>66</v>
      </c>
      <c r="C55" s="314"/>
    </row>
    <row r="56" spans="1:7">
      <c r="B56" s="316" t="s">
        <v>67</v>
      </c>
      <c r="C56" s="317">
        <f ca="1">ROUND(C51/C52,3)</f>
        <v>0.254</v>
      </c>
    </row>
    <row r="57" spans="1:7">
      <c r="B57" s="316" t="s">
        <v>68</v>
      </c>
      <c r="C57" s="318">
        <f ca="1">1-C56</f>
        <v>0.746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31" t="s">
        <v>156</v>
      </c>
      <c r="B1" s="3331"/>
      <c r="C1" s="3331"/>
      <c r="D1" s="3331"/>
      <c r="E1" s="3331"/>
      <c r="F1" s="333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32" t="s">
        <v>169</v>
      </c>
      <c r="B2" s="3332"/>
      <c r="C2" s="3332"/>
      <c r="D2" s="3332"/>
      <c r="E2" s="3332"/>
      <c r="F2" s="333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31" t="s">
        <v>868</v>
      </c>
      <c r="B1" s="3331"/>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43699</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1635</v>
      </c>
      <c r="B2" s="3023" t="s">
        <v>1636</v>
      </c>
      <c r="C2" s="3023" t="s">
        <v>1637</v>
      </c>
      <c r="D2" s="3023" t="str">
        <f>'结果表-高层'!D116</f>
        <v>出让国有建设用地使用权价值</v>
      </c>
      <c r="E2" s="3023"/>
      <c r="F2" s="3023" t="str">
        <f>'结果表-高层'!F116</f>
        <v>在建建筑物价值</v>
      </c>
      <c r="G2" s="3023"/>
      <c r="H2" s="3023" t="str">
        <f>IF(项目基本情况!B9="房地产市场价值","房地产市场价值","房地产价值")</f>
        <v>房地产价值</v>
      </c>
      <c r="I2" s="3023"/>
    </row>
    <row r="3" spans="1:9" ht="15.6">
      <c r="A3" s="3017"/>
      <c r="B3" s="3017"/>
      <c r="C3" s="3017"/>
      <c r="D3" s="1037" t="s">
        <v>1632</v>
      </c>
      <c r="E3" s="1037" t="s">
        <v>1638</v>
      </c>
      <c r="F3" s="1037" t="s">
        <v>1632</v>
      </c>
      <c r="G3" s="1037" t="s">
        <v>1633</v>
      </c>
      <c r="H3" s="1037" t="s">
        <v>1632</v>
      </c>
      <c r="I3" s="1037" t="s">
        <v>1633</v>
      </c>
    </row>
    <row r="4" spans="1:9" ht="30">
      <c r="A4" s="1965" t="str">
        <f>项目基本情况!S2</f>
        <v>浙江省吴兴区八里店乌山单元02-01E号地块房地产</v>
      </c>
      <c r="B4" s="1037">
        <f>项目基本情况!C17</f>
        <v>21278.6</v>
      </c>
      <c r="C4" s="1037">
        <f>项目基本情况!C18</f>
        <v>8279.61</v>
      </c>
      <c r="D4" s="1037">
        <f ca="1">'结果表-高层'!D118</f>
        <v>10193</v>
      </c>
      <c r="E4" s="1037">
        <f ca="1">'结果表-高层'!E118</f>
        <v>7657</v>
      </c>
      <c r="F4" s="1037">
        <f ca="1">'结果表-高层'!F118</f>
        <v>7171</v>
      </c>
      <c r="G4" s="1037">
        <f ca="1">'结果表-高层'!G118</f>
        <v>5387</v>
      </c>
      <c r="H4" s="1037">
        <f ca="1">'结果表-高层'!H118</f>
        <v>17364</v>
      </c>
      <c r="I4" s="1037">
        <f ca="1">'结果表-高层'!I118</f>
        <v>13044</v>
      </c>
    </row>
    <row r="5" spans="1:9" ht="30" customHeight="1">
      <c r="A5" s="3017" t="s">
        <v>1634</v>
      </c>
      <c r="B5" s="3017"/>
      <c r="C5" s="3017"/>
      <c r="D5" s="3018" t="str">
        <f ca="1">'结果表-高层'!D119</f>
        <v>壹亿零壹佰玖拾叁万元整</v>
      </c>
      <c r="E5" s="3018"/>
      <c r="F5" s="3018" t="str">
        <f ca="1">'结果表-高层'!F119</f>
        <v>柒仟壹佰柒拾壹万元整</v>
      </c>
      <c r="G5" s="3018"/>
      <c r="H5" s="3018" t="str">
        <f ca="1">'结果表-高层'!H119</f>
        <v>壹亿柒仟叁佰陆拾肆万元整</v>
      </c>
      <c r="I5" s="3018"/>
    </row>
    <row r="6" spans="1:9" ht="15.6">
      <c r="A6" s="3016" t="str">
        <f>'结果表-高层'!A120</f>
        <v>估价师知悉的法定优先受偿款</v>
      </c>
      <c r="B6" s="3016"/>
      <c r="C6" s="3016"/>
      <c r="D6" s="3016">
        <f>'结果表-高层'!D120</f>
        <v>0</v>
      </c>
      <c r="E6" s="3016"/>
      <c r="F6" s="3016"/>
      <c r="G6" s="3016"/>
      <c r="H6" s="3016"/>
      <c r="I6" s="3016"/>
    </row>
    <row r="7" spans="1:9" ht="15">
      <c r="A7" s="3017" t="s">
        <v>1634</v>
      </c>
      <c r="B7" s="3017"/>
      <c r="C7" s="3017"/>
      <c r="D7" s="3019" t="str">
        <f>'结果表-高层'!D121</f>
        <v>零元整</v>
      </c>
      <c r="E7" s="3020"/>
      <c r="F7" s="3020"/>
      <c r="G7" s="3020"/>
      <c r="H7" s="3020"/>
      <c r="I7" s="3021"/>
    </row>
    <row r="8" spans="1:9" ht="15.6">
      <c r="A8" s="3016" t="str">
        <f>'结果表-高层'!A122</f>
        <v>房地产抵押价值</v>
      </c>
      <c r="B8" s="3016"/>
      <c r="C8" s="3016"/>
      <c r="D8" s="3016">
        <f ca="1">'结果表-高层'!D122</f>
        <v>17364</v>
      </c>
      <c r="E8" s="3016"/>
      <c r="F8" s="3016"/>
      <c r="G8" s="3016"/>
      <c r="H8" s="3016"/>
      <c r="I8" s="3016"/>
    </row>
    <row r="9" spans="1:9" ht="15">
      <c r="A9" s="3017" t="s">
        <v>1634</v>
      </c>
      <c r="B9" s="3017"/>
      <c r="C9" s="3017"/>
      <c r="D9" s="3018" t="str">
        <f ca="1">'结果表-高层'!D123</f>
        <v>壹亿柒仟叁佰陆拾肆万元整</v>
      </c>
      <c r="E9" s="3018"/>
      <c r="F9" s="3018"/>
      <c r="G9" s="3018"/>
      <c r="H9" s="3018"/>
      <c r="I9" s="3018"/>
    </row>
    <row r="10" spans="1:9" ht="15.6">
      <c r="A10" s="3016" t="str">
        <f>'结果表-高层'!A124</f>
        <v/>
      </c>
      <c r="B10" s="3016"/>
      <c r="C10" s="3016"/>
      <c r="D10" s="3016" t="str">
        <f>'结果表-高层'!D124</f>
        <v>——</v>
      </c>
      <c r="E10" s="3016"/>
      <c r="F10" s="3016"/>
      <c r="G10" s="3016"/>
      <c r="H10" s="3016"/>
      <c r="I10" s="3016"/>
    </row>
    <row r="11" spans="1:9" ht="15">
      <c r="A11" s="3017" t="s">
        <v>1634</v>
      </c>
      <c r="B11" s="3017"/>
      <c r="C11" s="3017"/>
      <c r="D11" s="3018" t="e">
        <f>'结果表-高层'!D125</f>
        <v>#VALUE!</v>
      </c>
      <c r="E11" s="3018"/>
      <c r="F11" s="3018"/>
      <c r="G11" s="3018"/>
      <c r="H11" s="3018"/>
      <c r="I11" s="3018"/>
    </row>
    <row r="12" spans="1:9" ht="15.6">
      <c r="A12" s="3016" t="str">
        <f>'结果表-高层'!A126</f>
        <v/>
      </c>
      <c r="B12" s="3016"/>
      <c r="C12" s="3016"/>
      <c r="D12" s="3016" t="str">
        <f>'结果表-高层'!D126</f>
        <v>——</v>
      </c>
      <c r="E12" s="3016"/>
      <c r="F12" s="3016"/>
      <c r="G12" s="3016"/>
      <c r="H12" s="3016"/>
      <c r="I12" s="3016"/>
    </row>
    <row r="13" spans="1:9" ht="15.6" thickBot="1">
      <c r="A13" s="3013" t="s">
        <v>1634</v>
      </c>
      <c r="B13" s="3013"/>
      <c r="C13" s="3013"/>
      <c r="D13" s="3014" t="e">
        <f>'结果表-高层'!D127</f>
        <v>#VALUE!</v>
      </c>
      <c r="E13" s="3014"/>
      <c r="F13" s="3014"/>
      <c r="G13" s="3014"/>
      <c r="H13" s="3014"/>
      <c r="I13" s="3014"/>
    </row>
    <row r="14" spans="1:9" ht="14.4" thickTop="1">
      <c r="A14" s="3015" t="s">
        <v>1639</v>
      </c>
      <c r="B14" s="3015"/>
      <c r="C14" s="3015"/>
      <c r="D14" s="3015"/>
      <c r="E14" s="3015"/>
      <c r="F14" s="3015"/>
      <c r="G14" s="3015"/>
      <c r="H14" s="3015"/>
      <c r="I14" s="3015"/>
    </row>
    <row r="16" spans="1:9" ht="17.399999999999999">
      <c r="A16" s="1966" t="s">
        <v>1622</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30" t="s">
        <v>1656</v>
      </c>
      <c r="B1" s="3030"/>
      <c r="C1" s="3030"/>
      <c r="D1" s="3030"/>
    </row>
    <row r="2" spans="1:4" ht="17.399999999999999">
      <c r="A2" s="3031" t="s">
        <v>1640</v>
      </c>
      <c r="B2" s="3031"/>
      <c r="C2" s="3031"/>
      <c r="D2" s="3031"/>
    </row>
    <row r="3" spans="1:4" ht="17.399999999999999">
      <c r="A3" s="1969" t="s">
        <v>1641</v>
      </c>
      <c r="B3" s="1969" t="s">
        <v>1642</v>
      </c>
      <c r="C3" s="1969" t="s">
        <v>1643</v>
      </c>
      <c r="D3" s="1969" t="s">
        <v>1644</v>
      </c>
    </row>
    <row r="4" spans="1:4" ht="56.25" customHeight="1">
      <c r="A4" s="1970" t="str">
        <f>项目基本情况!B4</f>
        <v>吴薇</v>
      </c>
      <c r="B4" s="1971">
        <f ca="1">项目基本情况!C4</f>
        <v>1419970001</v>
      </c>
      <c r="C4" s="1972"/>
      <c r="D4" s="1973" t="s">
        <v>1645</v>
      </c>
    </row>
    <row r="5" spans="1:4" ht="56.25" customHeight="1">
      <c r="A5" s="1970" t="str">
        <f>项目基本情况!D4</f>
        <v>郑燚</v>
      </c>
      <c r="B5" s="1971">
        <f ca="1">项目基本情况!E4</f>
        <v>1120070131</v>
      </c>
      <c r="C5" s="1974"/>
      <c r="D5" s="1973" t="s">
        <v>1645</v>
      </c>
    </row>
    <row r="6" spans="1:4" ht="17.399999999999999">
      <c r="A6" s="3031" t="s">
        <v>1646</v>
      </c>
      <c r="B6" s="3031"/>
      <c r="C6" s="3031"/>
      <c r="D6" s="3031"/>
    </row>
    <row r="7" spans="1:4" ht="17.399999999999999">
      <c r="A7" s="1969" t="s">
        <v>1641</v>
      </c>
      <c r="B7" s="1971" t="s">
        <v>1647</v>
      </c>
      <c r="C7" s="1969" t="s">
        <v>1643</v>
      </c>
      <c r="D7" s="1969" t="s">
        <v>1644</v>
      </c>
    </row>
    <row r="8" spans="1:4" ht="56.25" customHeight="1">
      <c r="A8" s="1975" t="s">
        <v>866</v>
      </c>
      <c r="B8" s="1975" t="s">
        <v>1</v>
      </c>
      <c r="C8" s="1972"/>
      <c r="D8" s="1973" t="s">
        <v>1645</v>
      </c>
    </row>
    <row r="9" spans="1:4">
      <c r="A9" s="727"/>
      <c r="B9" s="727"/>
      <c r="C9" s="727"/>
      <c r="D9" s="727"/>
    </row>
    <row r="10" spans="1:4" ht="17.399999999999999">
      <c r="A10" s="1976" t="s">
        <v>1648</v>
      </c>
      <c r="B10" s="727"/>
      <c r="C10" s="727"/>
      <c r="D10" s="727"/>
    </row>
    <row r="11" spans="1:4" ht="30" customHeight="1">
      <c r="A11" s="3032" t="s">
        <v>1649</v>
      </c>
      <c r="B11" s="3024"/>
      <c r="C11" s="3024"/>
      <c r="D11" s="3024"/>
    </row>
    <row r="12" spans="1:4" ht="15.6">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1650</v>
      </c>
      <c r="B16" s="3026"/>
      <c r="C16" s="3026"/>
      <c r="D16" s="3026"/>
    </row>
    <row r="17" spans="1:4" ht="144" customHeight="1">
      <c r="A17" s="3026" t="s">
        <v>1651</v>
      </c>
      <c r="B17" s="3026"/>
      <c r="C17" s="3026"/>
      <c r="D17" s="3026"/>
    </row>
    <row r="18" spans="1:4" ht="15.75" customHeight="1">
      <c r="A18" s="3024" t="str">
        <f>IF(项目基本情况!B8="抵押",'结果表-高层'!K120,"——")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高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高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1652</v>
      </c>
      <c r="B22" s="3028"/>
      <c r="C22" s="3028"/>
      <c r="D22" s="3028"/>
    </row>
    <row r="23" spans="1:4">
      <c r="A23" s="1977"/>
      <c r="B23" s="1949"/>
      <c r="C23" s="1949"/>
      <c r="D23" s="1949"/>
    </row>
    <row r="24" spans="1:4">
      <c r="A24" s="1977"/>
      <c r="B24" s="1949"/>
      <c r="C24" s="1949"/>
      <c r="D24" s="1949"/>
    </row>
    <row r="25" spans="1:4" ht="17.399999999999999">
      <c r="A25" s="1978" t="s">
        <v>1653</v>
      </c>
    </row>
    <row r="26" spans="1:4" ht="17.399999999999999">
      <c r="A26" s="1947"/>
    </row>
    <row r="27" spans="1:4" ht="17.399999999999999">
      <c r="A27" s="1947" t="s">
        <v>1654</v>
      </c>
    </row>
    <row r="30" spans="1:4" ht="17.399999999999999">
      <c r="D30" s="1978" t="s">
        <v>1655</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867</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5" customWidth="1"/>
    <col min="2" max="16384" width="14.44140625" style="1967"/>
  </cols>
  <sheetData>
    <row r="1" spans="1:7" s="1982" customFormat="1" ht="17.399999999999999">
      <c r="A1" s="1981" t="s">
        <v>1657</v>
      </c>
    </row>
    <row r="3" spans="1:7">
      <c r="A3" s="1983" t="s">
        <v>82</v>
      </c>
      <c r="B3" s="1967" t="s">
        <v>1658</v>
      </c>
      <c r="G3" s="1984"/>
    </row>
    <row r="4" spans="1:7">
      <c r="G4" s="1984"/>
    </row>
    <row r="5" spans="1:7">
      <c r="A5" s="1986" t="s">
        <v>73</v>
      </c>
      <c r="B5" s="1967" t="s">
        <v>1659</v>
      </c>
      <c r="G5" s="1984"/>
    </row>
    <row r="6" spans="1:7">
      <c r="G6" s="1984"/>
    </row>
    <row r="7" spans="1:7">
      <c r="A7" s="1987" t="s">
        <v>135</v>
      </c>
      <c r="B7" s="1967" t="s">
        <v>1660</v>
      </c>
      <c r="G7" s="1984"/>
    </row>
    <row r="8" spans="1:7">
      <c r="G8" s="1984"/>
    </row>
    <row r="9" spans="1:7">
      <c r="A9" s="1988" t="s">
        <v>74</v>
      </c>
      <c r="B9" s="1967" t="s">
        <v>1661</v>
      </c>
    </row>
    <row r="11" spans="1:7">
      <c r="A11" s="1989" t="s">
        <v>75</v>
      </c>
      <c r="B11" s="1990" t="s">
        <v>72</v>
      </c>
    </row>
    <row r="13" spans="1:7">
      <c r="A13" s="1991" t="s">
        <v>1662</v>
      </c>
    </row>
    <row r="15" spans="1:7" ht="14.4">
      <c r="A15" s="3038" t="s">
        <v>1663</v>
      </c>
      <c r="B15" s="3033" t="s">
        <v>136</v>
      </c>
      <c r="C15" s="3034"/>
    </row>
    <row r="16" spans="1:7" ht="14.4">
      <c r="A16" s="3039"/>
      <c r="B16" s="3033" t="s">
        <v>69</v>
      </c>
      <c r="C16" s="3034"/>
    </row>
    <row r="17" spans="1:3" ht="14.4">
      <c r="A17" s="3039"/>
      <c r="B17" s="3036" t="s">
        <v>1664</v>
      </c>
      <c r="C17" s="1992" t="s">
        <v>1663</v>
      </c>
    </row>
    <row r="18" spans="1:3" ht="14.4">
      <c r="A18" s="3039"/>
      <c r="B18" s="3036"/>
      <c r="C18" s="1992" t="s">
        <v>1665</v>
      </c>
    </row>
    <row r="19" spans="1:3" ht="14.4">
      <c r="A19" s="3039"/>
      <c r="B19" s="3036"/>
      <c r="C19" s="1992" t="s">
        <v>1666</v>
      </c>
    </row>
    <row r="20" spans="1:3" ht="14.4">
      <c r="A20" s="3040"/>
      <c r="B20" s="3035" t="s">
        <v>1667</v>
      </c>
      <c r="C20" s="3034"/>
    </row>
    <row r="21" spans="1:3" ht="14.4">
      <c r="A21" s="1993" t="s">
        <v>1668</v>
      </c>
      <c r="B21" s="1994"/>
      <c r="C21" s="1995"/>
    </row>
    <row r="22" spans="1:3" ht="14.4">
      <c r="A22" s="3037" t="s">
        <v>1669</v>
      </c>
      <c r="B22" s="3035" t="s">
        <v>1670</v>
      </c>
      <c r="C22" s="3034"/>
    </row>
    <row r="23" spans="1:3" ht="14.4">
      <c r="A23" s="3037"/>
      <c r="B23" s="3035" t="s">
        <v>1671</v>
      </c>
      <c r="C23" s="3034"/>
    </row>
    <row r="24" spans="1:3" ht="14.4">
      <c r="A24" s="3037"/>
      <c r="B24" s="3035" t="s">
        <v>1672</v>
      </c>
      <c r="C24" s="3034"/>
    </row>
    <row r="25" spans="1:3" ht="14.4">
      <c r="A25" s="3037"/>
      <c r="B25" s="3036" t="s">
        <v>1673</v>
      </c>
      <c r="C25" s="1992" t="s">
        <v>1674</v>
      </c>
    </row>
    <row r="26" spans="1:3" ht="14.4">
      <c r="A26" s="3037"/>
      <c r="B26" s="3036"/>
      <c r="C26" s="1992" t="s">
        <v>1675</v>
      </c>
    </row>
    <row r="27" spans="1:3" ht="14.4">
      <c r="A27" s="3037"/>
      <c r="B27" s="3036"/>
      <c r="C27" s="1992" t="s">
        <v>1676</v>
      </c>
    </row>
    <row r="28" spans="1:3" ht="14.4">
      <c r="A28" s="3037"/>
      <c r="B28" s="3036"/>
      <c r="C28" s="1992" t="s">
        <v>1677</v>
      </c>
    </row>
    <row r="29" spans="1:3" ht="14.4">
      <c r="A29" s="3037"/>
      <c r="B29" s="3036"/>
      <c r="C29" s="1992" t="s">
        <v>1678</v>
      </c>
    </row>
    <row r="30" spans="1:3" ht="14.4">
      <c r="A30" s="3037"/>
      <c r="B30" s="3036"/>
      <c r="C30" s="1992" t="s">
        <v>1679</v>
      </c>
    </row>
    <row r="31" spans="1:3" ht="14.4">
      <c r="A31" s="3037"/>
      <c r="B31" s="3036"/>
      <c r="C31" s="1992" t="s">
        <v>1680</v>
      </c>
    </row>
    <row r="32" spans="1:3" ht="14.4">
      <c r="A32" s="3037"/>
      <c r="B32" s="3036"/>
      <c r="C32" s="1992" t="s">
        <v>1681</v>
      </c>
    </row>
    <row r="33" spans="1:3" ht="14.4">
      <c r="A33" s="3037"/>
      <c r="B33" s="3036"/>
      <c r="C33" s="1992" t="s">
        <v>1682</v>
      </c>
    </row>
    <row r="34" spans="1:3">
      <c r="A34" s="1996" t="s">
        <v>76</v>
      </c>
    </row>
    <row r="37" spans="1:3">
      <c r="A37" s="1996" t="s">
        <v>1683</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43704</v>
      </c>
      <c r="C2" s="1012" t="s">
        <v>826</v>
      </c>
      <c r="D2" s="1012"/>
    </row>
    <row r="3" spans="1:6" ht="24" customHeight="1">
      <c r="A3" s="1013" t="s">
        <v>827</v>
      </c>
      <c r="B3" s="1014" t="s">
        <v>828</v>
      </c>
      <c r="C3" s="2335" t="s">
        <v>829</v>
      </c>
      <c r="D3" s="2338" t="s">
        <v>830</v>
      </c>
      <c r="E3" s="1015" t="s">
        <v>831</v>
      </c>
      <c r="F3" s="1014" t="s">
        <v>829</v>
      </c>
    </row>
    <row r="4" spans="1:6" ht="24" customHeight="1">
      <c r="A4" s="1695" t="s">
        <v>832</v>
      </c>
      <c r="B4" s="1015">
        <f ca="1">IF(C4&lt;B2,"已过期",1119970066)</f>
        <v>1119970066</v>
      </c>
      <c r="C4" s="2336">
        <v>43849</v>
      </c>
      <c r="D4" s="2339" t="s">
        <v>832</v>
      </c>
      <c r="E4" s="1015">
        <f ca="1">IF(F4&lt;B2,"已过期",96010014)</f>
        <v>96010014</v>
      </c>
      <c r="F4" s="1023">
        <v>47118</v>
      </c>
    </row>
    <row r="5" spans="1:6" ht="24" customHeight="1">
      <c r="A5" s="1695" t="s">
        <v>833</v>
      </c>
      <c r="B5" s="1015">
        <f ca="1">IF(C5&lt;B2,"已过期",1119970074)</f>
        <v>1119970074</v>
      </c>
      <c r="C5" s="2336">
        <v>43849</v>
      </c>
      <c r="D5" s="2339" t="s">
        <v>833</v>
      </c>
      <c r="E5" s="1015">
        <f ca="1">IF(F5&lt;B2,"已过期",2002110027)</f>
        <v>2002110027</v>
      </c>
      <c r="F5" s="1023">
        <v>46752</v>
      </c>
    </row>
    <row r="6" spans="1:6" ht="24" customHeight="1">
      <c r="A6" s="1695" t="s">
        <v>834</v>
      </c>
      <c r="B6" s="1015">
        <f ca="1">IF(C6&lt;B2,"已过期",1119970111)</f>
        <v>1119970111</v>
      </c>
      <c r="C6" s="2336">
        <v>43849</v>
      </c>
      <c r="D6" s="2339" t="s">
        <v>834</v>
      </c>
      <c r="E6" s="1015">
        <f ca="1">IF(F6&lt;B2,"已过期",94010078)</f>
        <v>94010078</v>
      </c>
      <c r="F6" s="1023">
        <v>46387</v>
      </c>
    </row>
    <row r="7" spans="1:6" ht="24" customHeight="1">
      <c r="A7" s="1695" t="s">
        <v>835</v>
      </c>
      <c r="B7" s="1015">
        <f ca="1">IF(C7&lt;B2,"已过期",1120050019)</f>
        <v>1120050019</v>
      </c>
      <c r="C7" s="2336">
        <v>44395</v>
      </c>
      <c r="D7" s="2339" t="s">
        <v>835</v>
      </c>
      <c r="E7" s="1015">
        <f ca="1">IF(F7&lt;B2,"已过期",2002110030)</f>
        <v>2002110030</v>
      </c>
      <c r="F7" s="1023">
        <v>46387</v>
      </c>
    </row>
    <row r="8" spans="1:6" ht="24" customHeight="1">
      <c r="A8" s="1695" t="s">
        <v>836</v>
      </c>
      <c r="B8" s="1015">
        <f ca="1">IF(C8&lt;B2,"已过期",1120000080)</f>
        <v>1120000080</v>
      </c>
      <c r="C8" s="2336">
        <v>43849</v>
      </c>
      <c r="D8" s="2339" t="s">
        <v>836</v>
      </c>
      <c r="E8" s="1015">
        <f ca="1">IF(F8&lt;B2,"已过期",2000110082)</f>
        <v>2000110082</v>
      </c>
      <c r="F8" s="1023">
        <v>46387</v>
      </c>
    </row>
    <row r="9" spans="1:6" ht="24" customHeight="1">
      <c r="A9" s="1695" t="s">
        <v>837</v>
      </c>
      <c r="B9" s="1015">
        <f ca="1">IF(C9&lt;B2,"已过期",1419970001)</f>
        <v>1419970001</v>
      </c>
      <c r="C9" s="2336">
        <v>43867</v>
      </c>
      <c r="D9" s="2339" t="s">
        <v>837</v>
      </c>
      <c r="E9" s="1015">
        <f ca="1">IF(F9&lt;B2,"已过期",2002110125)</f>
        <v>2002110125</v>
      </c>
      <c r="F9" s="1023">
        <v>47118</v>
      </c>
    </row>
    <row r="10" spans="1:6" ht="24" customHeight="1">
      <c r="A10" s="1695" t="s">
        <v>838</v>
      </c>
      <c r="B10" s="1015">
        <f ca="1">IF(C10&lt;B2,"已过期",1120060040)</f>
        <v>1120060040</v>
      </c>
      <c r="C10" s="2336">
        <v>44554</v>
      </c>
      <c r="D10" s="2339" t="s">
        <v>838</v>
      </c>
      <c r="E10" s="1015">
        <f ca="1">IF(F10&lt;B2,"已过期",2004110096)</f>
        <v>2004110096</v>
      </c>
      <c r="F10" s="1023">
        <v>47118</v>
      </c>
    </row>
    <row r="11" spans="1:6" ht="24" customHeight="1">
      <c r="A11" s="1695" t="s">
        <v>839</v>
      </c>
      <c r="B11" s="1015">
        <f ca="1">IF(C11&lt;B2,"已过期",1120100036)</f>
        <v>1120100036</v>
      </c>
      <c r="C11" s="2336">
        <v>44675</v>
      </c>
      <c r="D11" s="2339" t="s">
        <v>839</v>
      </c>
      <c r="E11" s="1015">
        <f ca="1">IF(F11&lt;B2,"已过期",2010110070)</f>
        <v>2010110070</v>
      </c>
      <c r="F11" s="1023">
        <v>47907</v>
      </c>
    </row>
    <row r="12" spans="1:6" ht="24" customHeight="1">
      <c r="A12" s="1695"/>
      <c r="B12" s="1015"/>
      <c r="C12" s="2916"/>
      <c r="D12" s="1695"/>
      <c r="E12" s="1015"/>
      <c r="F12" s="1023"/>
    </row>
    <row r="13" spans="1:6" ht="24" customHeight="1">
      <c r="A13" s="1695" t="s">
        <v>840</v>
      </c>
      <c r="B13" s="1015">
        <f ca="1">IF(C13&lt;B2,"已过期",1120070131)</f>
        <v>1120070131</v>
      </c>
      <c r="C13" s="2336">
        <v>43814</v>
      </c>
      <c r="D13" s="2339" t="s">
        <v>840</v>
      </c>
      <c r="E13" s="1015">
        <f ca="1">IF(F13&lt;B2,"已过期",2014110011)</f>
        <v>2014110011</v>
      </c>
      <c r="F13" s="1023">
        <v>49302</v>
      </c>
    </row>
    <row r="14" spans="1:6" ht="24" customHeight="1">
      <c r="A14" s="1695" t="s">
        <v>3031</v>
      </c>
      <c r="B14" s="1015">
        <f ca="1">IF(C14&lt;B2,"已过期",1120040230)</f>
        <v>1120040230</v>
      </c>
      <c r="C14" s="2336">
        <v>43835</v>
      </c>
      <c r="D14" s="2339" t="s">
        <v>3031</v>
      </c>
      <c r="E14" s="1015">
        <f ca="1">IF(F14&lt;B2,"已过期",98030020)</f>
        <v>98030020</v>
      </c>
      <c r="F14" s="1023">
        <v>47118</v>
      </c>
    </row>
    <row r="15" spans="1:6" ht="24" customHeight="1">
      <c r="A15" s="1696" t="s">
        <v>3032</v>
      </c>
      <c r="B15" s="1015">
        <f ca="1">IF(C15&lt;B2,"已过期",1120070085)</f>
        <v>1120070085</v>
      </c>
      <c r="C15" s="2336">
        <v>43814</v>
      </c>
      <c r="D15" s="2340" t="s">
        <v>3032</v>
      </c>
      <c r="E15" s="1015">
        <f ca="1">IF(F15&lt;B2,"已过期",2004110128)</f>
        <v>2004110128</v>
      </c>
      <c r="F15" s="1016">
        <v>47118</v>
      </c>
    </row>
    <row r="16" spans="1:6" ht="24" customHeight="1">
      <c r="A16" s="1695" t="s">
        <v>3033</v>
      </c>
      <c r="B16" s="1015">
        <f ca="1">IF(C16&lt;B2,"已过期",1120140022)</f>
        <v>1120140022</v>
      </c>
      <c r="C16" s="2916">
        <v>44029</v>
      </c>
      <c r="D16" s="2339" t="s">
        <v>3033</v>
      </c>
      <c r="E16" s="1015">
        <f ca="1">IF(F16&lt;B2,"已过期",2008110059)</f>
        <v>2008110059</v>
      </c>
      <c r="F16" s="1023">
        <v>47177</v>
      </c>
    </row>
    <row r="17" spans="1:7" ht="24" customHeight="1">
      <c r="A17" s="1695"/>
      <c r="B17" s="1015"/>
      <c r="C17" s="2336"/>
      <c r="D17" s="2339" t="s">
        <v>3034</v>
      </c>
      <c r="E17" s="1015">
        <f ca="1">IF(F17&lt;B2,"已过期",2014110076)</f>
        <v>2014110076</v>
      </c>
      <c r="F17" s="1023">
        <v>49302</v>
      </c>
    </row>
    <row r="18" spans="1:7" ht="24" customHeight="1">
      <c r="A18" s="1695"/>
      <c r="B18" s="1015"/>
      <c r="C18" s="2336"/>
      <c r="D18" s="2339"/>
      <c r="E18" s="1015"/>
      <c r="F18" s="1023"/>
    </row>
    <row r="19" spans="1:7" ht="24" customHeight="1">
      <c r="A19" s="1695"/>
      <c r="B19" s="1015"/>
      <c r="C19" s="2336"/>
      <c r="D19" s="2339"/>
      <c r="E19" s="1015"/>
      <c r="F19" s="1015"/>
    </row>
    <row r="20" spans="1:7" ht="24" customHeight="1">
      <c r="A20" s="1695"/>
      <c r="B20" s="1015"/>
      <c r="C20" s="2336"/>
      <c r="D20" s="2339"/>
      <c r="E20" s="1015"/>
      <c r="F20" s="1015"/>
    </row>
    <row r="21" spans="1:7" ht="24" customHeight="1">
      <c r="A21" s="1695"/>
      <c r="B21" s="1015"/>
      <c r="C21" s="2336"/>
      <c r="D21" s="2339" t="s">
        <v>841</v>
      </c>
      <c r="E21" s="1015">
        <f ca="1">IF(F21&lt;B2,"已过期",2011110090)</f>
        <v>2011110090</v>
      </c>
      <c r="F21" s="1023">
        <v>48302</v>
      </c>
    </row>
    <row r="22" spans="1:7" ht="24" customHeight="1">
      <c r="A22" s="1695" t="s">
        <v>842</v>
      </c>
      <c r="B22" s="1015">
        <f ca="1">IF(C22&lt;B2,"已过期",1120020033)</f>
        <v>1120020033</v>
      </c>
      <c r="C22" s="2916">
        <v>44339</v>
      </c>
      <c r="D22" s="2339" t="s">
        <v>842</v>
      </c>
      <c r="E22" s="1015">
        <f ca="1">IF(F22&lt;B2,"已过期",2000110137)</f>
        <v>2000110137</v>
      </c>
      <c r="F22" s="1023">
        <v>46387</v>
      </c>
    </row>
    <row r="23" spans="1:7" ht="24" customHeight="1">
      <c r="A23" s="1695"/>
      <c r="B23" s="1015"/>
      <c r="C23" s="2336"/>
      <c r="D23" s="2339"/>
      <c r="E23" s="1015"/>
      <c r="F23" s="1015"/>
    </row>
    <row r="24" spans="1:7" s="1017" customFormat="1" ht="24" customHeight="1">
      <c r="A24" s="1696" t="s">
        <v>1329</v>
      </c>
      <c r="B24" s="1696" t="s">
        <v>1329</v>
      </c>
      <c r="C24" s="2337" t="s">
        <v>1329</v>
      </c>
      <c r="D24" s="2340" t="s">
        <v>1329</v>
      </c>
      <c r="E24" s="1696" t="s">
        <v>1329</v>
      </c>
      <c r="F24" s="1696" t="s">
        <v>1329</v>
      </c>
    </row>
    <row r="25" spans="1:7" ht="24" customHeight="1">
      <c r="A25" s="3041" t="s">
        <v>843</v>
      </c>
      <c r="B25" s="3041"/>
      <c r="C25" s="3041"/>
      <c r="D25" s="3041"/>
      <c r="E25" s="3041"/>
      <c r="F25" s="3041"/>
      <c r="G25" s="3041"/>
    </row>
    <row r="26" spans="1:7" s="1018" customFormat="1" ht="24" customHeight="1">
      <c r="A26" s="3042" t="s">
        <v>844</v>
      </c>
      <c r="B26" s="3042"/>
      <c r="C26" s="3043"/>
      <c r="D26" s="3044" t="s">
        <v>845</v>
      </c>
      <c r="E26" s="3042"/>
      <c r="F26" s="3042"/>
    </row>
    <row r="27" spans="1:7" s="1020" customFormat="1" ht="24" customHeight="1">
      <c r="A27" s="1019" t="s">
        <v>846</v>
      </c>
      <c r="B27" s="1014" t="s">
        <v>847</v>
      </c>
      <c r="C27" s="2335" t="s">
        <v>848</v>
      </c>
      <c r="D27" s="2343" t="s">
        <v>846</v>
      </c>
      <c r="E27" s="1014" t="s">
        <v>847</v>
      </c>
      <c r="F27" s="1014" t="s">
        <v>848</v>
      </c>
    </row>
    <row r="28" spans="1:7" s="1020" customFormat="1" ht="24" customHeight="1">
      <c r="A28" s="1021" t="s">
        <v>849</v>
      </c>
      <c r="B28" s="1022" t="s">
        <v>850</v>
      </c>
      <c r="C28" s="2341">
        <v>43725</v>
      </c>
      <c r="D28" s="2344" t="s">
        <v>851</v>
      </c>
      <c r="E28" s="1021" t="s">
        <v>852</v>
      </c>
      <c r="F28" s="1051">
        <v>44377</v>
      </c>
    </row>
    <row r="29" spans="1:7" s="1020" customFormat="1" ht="24" customHeight="1">
      <c r="A29" s="1021"/>
      <c r="B29" s="1021"/>
      <c r="C29" s="2342"/>
      <c r="D29" s="2344" t="s">
        <v>853</v>
      </c>
      <c r="E29" s="1195" t="s">
        <v>3038</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36" priority="88">
      <formula>AND($C28-TODAY()&lt;30,TODAY()&lt;$C28)</formula>
    </cfRule>
  </conditionalFormatting>
  <conditionalFormatting sqref="C28 F4">
    <cfRule type="cellIs" dxfId="235" priority="90" stopIfTrue="1" operator="lessThan">
      <formula>$B$2</formula>
    </cfRule>
  </conditionalFormatting>
  <conditionalFormatting sqref="C5">
    <cfRule type="expression" dxfId="234" priority="85">
      <formula>AND($C5-TODAY()&lt;30,TODAY()&lt;$C5)</formula>
    </cfRule>
  </conditionalFormatting>
  <conditionalFormatting sqref="C5 F5">
    <cfRule type="cellIs" dxfId="233" priority="86" stopIfTrue="1" operator="lessThan">
      <formula>$B$2</formula>
    </cfRule>
  </conditionalFormatting>
  <conditionalFormatting sqref="F6 F8 F10">
    <cfRule type="cellIs" dxfId="232" priority="84" stopIfTrue="1" operator="lessThan">
      <formula>$B$2</formula>
    </cfRule>
  </conditionalFormatting>
  <conditionalFormatting sqref="C4:C11 C13 C23 C17:C21">
    <cfRule type="expression" dxfId="231" priority="82">
      <formula>AND($C4-TODAY()&lt;30,TODAY()&lt;$C4)</formula>
    </cfRule>
  </conditionalFormatting>
  <conditionalFormatting sqref="F7 F9 F11 C4:C11 C13 C23 C17:C21">
    <cfRule type="cellIs" dxfId="230" priority="83" stopIfTrue="1" operator="lessThan">
      <formula>$B$2</formula>
    </cfRule>
  </conditionalFormatting>
  <conditionalFormatting sqref="C18">
    <cfRule type="expression" dxfId="229" priority="72">
      <formula>AND($C18-TODAY()&lt;30,TODAY()&lt;$C18)</formula>
    </cfRule>
  </conditionalFormatting>
  <conditionalFormatting sqref="C18">
    <cfRule type="cellIs" dxfId="228" priority="73" stopIfTrue="1" operator="lessThan">
      <formula>$B$2</formula>
    </cfRule>
  </conditionalFormatting>
  <conditionalFormatting sqref="C20">
    <cfRule type="expression" dxfId="227" priority="70">
      <formula>AND($C20-TODAY()&lt;30,TODAY()&lt;$C20)</formula>
    </cfRule>
  </conditionalFormatting>
  <conditionalFormatting sqref="C20">
    <cfRule type="cellIs" dxfId="226" priority="71" stopIfTrue="1" operator="lessThan">
      <formula>$B$2</formula>
    </cfRule>
  </conditionalFormatting>
  <conditionalFormatting sqref="C17">
    <cfRule type="expression" dxfId="225" priority="64">
      <formula>AND($C17-TODAY()&lt;30,TODAY()&lt;$C17)</formula>
    </cfRule>
  </conditionalFormatting>
  <conditionalFormatting sqref="C17">
    <cfRule type="cellIs" dxfId="224" priority="65" stopIfTrue="1" operator="lessThan">
      <formula>$B$2</formula>
    </cfRule>
  </conditionalFormatting>
  <conditionalFormatting sqref="C19">
    <cfRule type="expression" dxfId="223" priority="62">
      <formula>AND($C19-TODAY()&lt;30,TODAY()&lt;$C19)</formula>
    </cfRule>
  </conditionalFormatting>
  <conditionalFormatting sqref="C19">
    <cfRule type="cellIs" dxfId="222" priority="63" stopIfTrue="1" operator="lessThan">
      <formula>$B$2</formula>
    </cfRule>
  </conditionalFormatting>
  <conditionalFormatting sqref="C21">
    <cfRule type="expression" dxfId="221" priority="60">
      <formula>AND($C21-TODAY()&lt;30,TODAY()&lt;$C21)</formula>
    </cfRule>
  </conditionalFormatting>
  <conditionalFormatting sqref="C21">
    <cfRule type="cellIs" dxfId="220" priority="61" stopIfTrue="1" operator="lessThan">
      <formula>$B$2</formula>
    </cfRule>
  </conditionalFormatting>
  <conditionalFormatting sqref="C23">
    <cfRule type="expression" dxfId="219" priority="58">
      <formula>AND($C23-TODAY()&lt;30,TODAY()&lt;$C23)</formula>
    </cfRule>
  </conditionalFormatting>
  <conditionalFormatting sqref="C23">
    <cfRule type="cellIs" dxfId="218" priority="59" stopIfTrue="1" operator="lessThan">
      <formula>$B$2</formula>
    </cfRule>
  </conditionalFormatting>
  <conditionalFormatting sqref="F18">
    <cfRule type="cellIs" dxfId="217" priority="55" stopIfTrue="1" operator="lessThan">
      <formula>$B$2</formula>
    </cfRule>
  </conditionalFormatting>
  <conditionalFormatting sqref="F22">
    <cfRule type="cellIs" dxfId="216" priority="54" stopIfTrue="1" operator="lessThan">
      <formula>$B$2</formula>
    </cfRule>
  </conditionalFormatting>
  <conditionalFormatting sqref="F21">
    <cfRule type="cellIs" dxfId="215" priority="53" stopIfTrue="1" operator="lessThan">
      <formula>$B$2</formula>
    </cfRule>
  </conditionalFormatting>
  <conditionalFormatting sqref="B4:B11 E4:E11 B17:B23 E18:E23 B13 E13">
    <cfRule type="cellIs" dxfId="214" priority="51" stopIfTrue="1" operator="equal">
      <formula>"已过期"</formula>
    </cfRule>
  </conditionalFormatting>
  <conditionalFormatting sqref="A24:F24">
    <cfRule type="cellIs" dxfId="213" priority="47" stopIfTrue="1" operator="equal">
      <formula>"已过期"</formula>
    </cfRule>
  </conditionalFormatting>
  <conditionalFormatting sqref="F28">
    <cfRule type="expression" dxfId="212" priority="45">
      <formula>AND($E28-TODAY()&lt;30,TODAY()&lt;$E28)</formula>
    </cfRule>
  </conditionalFormatting>
  <conditionalFormatting sqref="F28">
    <cfRule type="cellIs" dxfId="211" priority="46" stopIfTrue="1" operator="lessThan">
      <formula>$B$2</formula>
    </cfRule>
  </conditionalFormatting>
  <conditionalFormatting sqref="F29">
    <cfRule type="expression" dxfId="210" priority="41" stopIfTrue="1">
      <formula>AND($E29-TODAY()&lt;30,TODAY()&lt;$E29)</formula>
    </cfRule>
  </conditionalFormatting>
  <conditionalFormatting sqref="F29">
    <cfRule type="cellIs" dxfId="209" priority="42" stopIfTrue="1" operator="lessThan">
      <formula>$B$2</formula>
    </cfRule>
  </conditionalFormatting>
  <conditionalFormatting sqref="F13">
    <cfRule type="cellIs" dxfId="208" priority="34" stopIfTrue="1" operator="lessThan">
      <formula>$B$2</formula>
    </cfRule>
  </conditionalFormatting>
  <conditionalFormatting sqref="C12">
    <cfRule type="expression" dxfId="207" priority="32">
      <formula>AND($C12-TODAY()&lt;30,TODAY()&lt;$C12)</formula>
    </cfRule>
  </conditionalFormatting>
  <conditionalFormatting sqref="C12">
    <cfRule type="cellIs" dxfId="206" priority="33" stopIfTrue="1" operator="lessThan">
      <formula>$B$2</formula>
    </cfRule>
  </conditionalFormatting>
  <conditionalFormatting sqref="C12">
    <cfRule type="expression" dxfId="205" priority="30">
      <formula>AND($C12-TODAY()&lt;30,TODAY()&lt;$C12)</formula>
    </cfRule>
  </conditionalFormatting>
  <conditionalFormatting sqref="C12">
    <cfRule type="cellIs" dxfId="204" priority="31" stopIfTrue="1" operator="lessThan">
      <formula>$B$2</formula>
    </cfRule>
  </conditionalFormatting>
  <conditionalFormatting sqref="B12">
    <cfRule type="cellIs" dxfId="203" priority="29" stopIfTrue="1" operator="equal">
      <formula>"已过期"</formula>
    </cfRule>
  </conditionalFormatting>
  <conditionalFormatting sqref="E12">
    <cfRule type="cellIs" dxfId="202" priority="28" stopIfTrue="1" operator="equal">
      <formula>"已过期"</formula>
    </cfRule>
  </conditionalFormatting>
  <conditionalFormatting sqref="F12">
    <cfRule type="cellIs" dxfId="201" priority="27" stopIfTrue="1" operator="lessThan">
      <formula>$B$2</formula>
    </cfRule>
  </conditionalFormatting>
  <conditionalFormatting sqref="C22">
    <cfRule type="expression" dxfId="200" priority="25">
      <formula>AND($C22-TODAY()&lt;30,TODAY()&lt;$C22)</formula>
    </cfRule>
  </conditionalFormatting>
  <conditionalFormatting sqref="C22">
    <cfRule type="cellIs" dxfId="199" priority="26" stopIfTrue="1" operator="lessThan">
      <formula>$B$2</formula>
    </cfRule>
  </conditionalFormatting>
  <conditionalFormatting sqref="C22">
    <cfRule type="expression" dxfId="198" priority="23">
      <formula>AND($C22-TODAY()&lt;30,TODAY()&lt;$C22)</formula>
    </cfRule>
  </conditionalFormatting>
  <conditionalFormatting sqref="C22">
    <cfRule type="cellIs" dxfId="197" priority="24" stopIfTrue="1" operator="lessThan">
      <formula>$B$2</formula>
    </cfRule>
  </conditionalFormatting>
  <conditionalFormatting sqref="C16">
    <cfRule type="expression" dxfId="196" priority="21">
      <formula>AND($C16-TODAY()&lt;30,TODAY()&lt;$C16)</formula>
    </cfRule>
  </conditionalFormatting>
  <conditionalFormatting sqref="C16">
    <cfRule type="cellIs" dxfId="195" priority="22" stopIfTrue="1" operator="lessThan">
      <formula>$B$2</formula>
    </cfRule>
  </conditionalFormatting>
  <conditionalFormatting sqref="C16">
    <cfRule type="expression" dxfId="194" priority="19">
      <formula>AND($C16-TODAY()&lt;30,TODAY()&lt;$C16)</formula>
    </cfRule>
  </conditionalFormatting>
  <conditionalFormatting sqref="C16">
    <cfRule type="cellIs" dxfId="193" priority="20" stopIfTrue="1" operator="lessThan">
      <formula>$B$2</formula>
    </cfRule>
  </conditionalFormatting>
  <conditionalFormatting sqref="B16">
    <cfRule type="cellIs" dxfId="192" priority="18" stopIfTrue="1" operator="equal">
      <formula>"已过期"</formula>
    </cfRule>
  </conditionalFormatting>
  <conditionalFormatting sqref="C14:C15">
    <cfRule type="expression" dxfId="191" priority="16">
      <formula>AND($C14-TODAY()&lt;30,TODAY()&lt;$C14)</formula>
    </cfRule>
  </conditionalFormatting>
  <conditionalFormatting sqref="C14:C15">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C15">
    <cfRule type="expression" dxfId="187" priority="12">
      <formula>AND($C15-TODAY()&lt;30,TODAY()&lt;$C15)</formula>
    </cfRule>
  </conditionalFormatting>
  <conditionalFormatting sqref="C15">
    <cfRule type="cellIs" dxfId="186" priority="13" stopIfTrue="1" operator="lessThan">
      <formula>$B$2</formula>
    </cfRule>
  </conditionalFormatting>
  <conditionalFormatting sqref="B14">
    <cfRule type="cellIs" dxfId="185" priority="11" stopIfTrue="1" operator="equal">
      <formula>"已过期"</formula>
    </cfRule>
  </conditionalFormatting>
  <conditionalFormatting sqref="B15">
    <cfRule type="cellIs" dxfId="184" priority="10" stopIfTrue="1" operator="equal">
      <formula>"已过期"</formula>
    </cfRule>
  </conditionalFormatting>
  <conditionalFormatting sqref="A15">
    <cfRule type="cellIs" dxfId="183" priority="9" stopIfTrue="1" operator="equal">
      <formula>"已过期"</formula>
    </cfRule>
  </conditionalFormatting>
  <conditionalFormatting sqref="C15">
    <cfRule type="expression" dxfId="182" priority="8">
      <formula>AND($C15-TODAY()&lt;30,TODAY()&lt;$C15)</formula>
    </cfRule>
  </conditionalFormatting>
  <conditionalFormatting sqref="F16">
    <cfRule type="cellIs" dxfId="181" priority="7" stopIfTrue="1" operator="lessThan">
      <formula>$B$2</formula>
    </cfRule>
  </conditionalFormatting>
  <conditionalFormatting sqref="E16 E14">
    <cfRule type="cellIs" dxfId="180" priority="6" stopIfTrue="1" operator="equal">
      <formula>"已过期"</formula>
    </cfRule>
  </conditionalFormatting>
  <conditionalFormatting sqref="E15">
    <cfRule type="cellIs" dxfId="179" priority="5" stopIfTrue="1" operator="equal">
      <formula>"已过期"</formula>
    </cfRule>
  </conditionalFormatting>
  <conditionalFormatting sqref="D15">
    <cfRule type="cellIs" dxfId="178" priority="4" stopIfTrue="1" operator="equal">
      <formula>"已过期"</formula>
    </cfRule>
  </conditionalFormatting>
  <conditionalFormatting sqref="F17">
    <cfRule type="cellIs" dxfId="177" priority="3" stopIfTrue="1" operator="lessThan">
      <formula>$B$2</formula>
    </cfRule>
  </conditionalFormatting>
  <conditionalFormatting sqref="E17">
    <cfRule type="cellIs" dxfId="176" priority="2" stopIfTrue="1" operator="equal">
      <formula>"已过期"</formula>
    </cfRule>
  </conditionalFormatting>
  <conditionalFormatting sqref="F14">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价值汇总表</vt:lpstr>
      <vt:lpstr>结果表-洋房</vt:lpstr>
      <vt:lpstr>结果表-高层</vt:lpstr>
      <vt:lpstr>成本法</vt:lpstr>
      <vt:lpstr>成本法 (元)</vt:lpstr>
      <vt:lpstr>假设开发法</vt:lpstr>
      <vt:lpstr>收益法-高层</vt:lpstr>
      <vt:lpstr>收益法-洋房</vt:lpstr>
      <vt:lpstr>收益法 (元)</vt:lpstr>
      <vt:lpstr>收益法（汇总）</vt:lpstr>
      <vt:lpstr>酒店收入计算</vt:lpstr>
      <vt:lpstr>比较法-高层</vt:lpstr>
      <vt:lpstr>比较法-洋房</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'收益法-高层'!Print_Area</vt:lpstr>
      <vt:lpstr>'收益法-洋房'!Print_Area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2019-08-27T03:01:36Z</dcterms:modified>
</cp:coreProperties>
</file>