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3"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82" l="1"/>
  <c r="G48" i="82"/>
  <c r="I48" i="82"/>
  <c r="E48" i="34"/>
  <c r="I48" i="34"/>
  <c r="G48" i="34"/>
  <c r="H33" i="84" l="1"/>
  <c r="U7" i="1" l="1"/>
  <c r="B101" i="83"/>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2"/>
  <c r="D2" i="83"/>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2" i="81"/>
  <c r="F21" i="81"/>
  <c r="F20" i="81"/>
  <c r="M19" i="81"/>
  <c r="M18" i="81"/>
  <c r="F18" i="81"/>
  <c r="F17" i="81"/>
  <c r="F15" i="81"/>
  <c r="G1" i="81"/>
  <c r="D23" i="81" l="1"/>
  <c r="U7" i="83"/>
  <c r="AB7" i="83"/>
  <c r="T38" i="83" s="1"/>
  <c r="G38" i="83" s="1"/>
  <c r="AC7" i="83"/>
  <c r="V38" i="83" s="1"/>
  <c r="I38" i="83" s="1"/>
  <c r="W7" i="83"/>
  <c r="E38" i="83"/>
  <c r="E49" i="82"/>
  <c r="AC7" i="82"/>
  <c r="V49" i="82" s="1"/>
  <c r="I49" i="82" s="1"/>
  <c r="W7" i="82"/>
  <c r="U7" i="82"/>
  <c r="AB7" i="82"/>
  <c r="T49" i="82" s="1"/>
  <c r="G49" i="82" s="1"/>
  <c r="P61" i="81"/>
  <c r="F38" i="81"/>
  <c r="M8" i="81"/>
  <c r="M24" i="81"/>
  <c r="F16" i="81"/>
  <c r="L47" i="81"/>
  <c r="M9" i="81"/>
  <c r="M22" i="81"/>
  <c r="F9" i="81"/>
  <c r="F26" i="81"/>
  <c r="M26" i="81"/>
  <c r="F42" i="81"/>
  <c r="M23" i="81"/>
  <c r="M6" i="81"/>
  <c r="L48" i="81"/>
  <c r="F13" i="81"/>
  <c r="F37" i="81"/>
  <c r="C76" i="81"/>
  <c r="F8" i="81"/>
  <c r="J15" i="81"/>
  <c r="F43" i="81"/>
  <c r="M29" i="81"/>
  <c r="M27" i="81"/>
  <c r="F40" i="81"/>
  <c r="M28" i="81"/>
  <c r="F36" i="81"/>
  <c r="F7" i="81"/>
  <c r="C34" i="81" l="1"/>
  <c r="R39" i="83"/>
  <c r="C39" i="83" s="1"/>
  <c r="B2" i="83" s="1"/>
  <c r="B3"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C27" i="81"/>
  <c r="F65" i="81"/>
  <c r="L57" i="81"/>
  <c r="L56" i="81"/>
  <c r="L60" i="81"/>
  <c r="I54" i="81"/>
  <c r="J57" i="81"/>
  <c r="J55" i="81" s="1"/>
  <c r="J58" i="81" s="1"/>
  <c r="Q50" i="81" s="1"/>
  <c r="J53" i="81"/>
  <c r="Q71" i="81"/>
  <c r="F68" i="81"/>
  <c r="F70" i="81"/>
  <c r="F51" i="81"/>
  <c r="J6" i="81"/>
  <c r="F64" i="81"/>
  <c r="F66" i="81"/>
  <c r="N59" i="81"/>
  <c r="L59" i="81"/>
  <c r="L58" i="81"/>
  <c r="C17" i="81"/>
  <c r="F59" i="81"/>
  <c r="C14" i="81"/>
  <c r="C16" i="81"/>
  <c r="M17" i="81"/>
  <c r="C49" i="81" l="1"/>
  <c r="C38" i="83"/>
  <c r="C50" i="82"/>
  <c r="C49" i="82"/>
  <c r="U6" i="1" s="1"/>
  <c r="C18" i="81"/>
  <c r="C15" i="81"/>
  <c r="Q74" i="81"/>
  <c r="Q61" i="81"/>
  <c r="Q52" i="81"/>
  <c r="F1" i="81"/>
  <c r="Q57" i="81"/>
  <c r="Q66" i="81"/>
  <c r="Q73" i="81"/>
  <c r="Q60" i="81"/>
  <c r="F6" i="81"/>
  <c r="C6" i="81" l="1"/>
  <c r="B3" i="82"/>
  <c r="B2" i="82"/>
  <c r="C19" i="81"/>
  <c r="C20" i="81" s="1"/>
  <c r="F31" i="81"/>
  <c r="C26" i="81" l="1"/>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D34" i="79"/>
  <c r="F20" i="80"/>
  <c r="F37" i="77"/>
  <c r="M9" i="77"/>
  <c r="D35" i="79"/>
  <c r="J15" i="77"/>
  <c r="L47" i="77"/>
  <c r="F8" i="77"/>
  <c r="M23" i="77"/>
  <c r="F26" i="77"/>
  <c r="M27" i="77"/>
  <c r="C76" i="77"/>
  <c r="F6" i="77"/>
  <c r="M24" i="77"/>
  <c r="F40" i="77"/>
  <c r="C18" i="79" l="1"/>
  <c r="D18" i="79" s="1"/>
  <c r="B22" i="80"/>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s="1"/>
  <c r="F20" i="68"/>
  <c r="E10" i="68"/>
  <c r="E9" i="68"/>
  <c r="F7" i="68"/>
  <c r="C7" i="68" s="1"/>
  <c r="C5" i="68" s="1"/>
  <c r="W21" i="21"/>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M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D2" i="35"/>
  <c r="D2" i="36"/>
  <c r="B7" i="76"/>
  <c r="M26" i="77"/>
  <c r="F36" i="77"/>
  <c r="D3" i="73"/>
  <c r="AO9" i="1"/>
  <c r="AO11" i="1"/>
  <c r="E11" i="76"/>
  <c r="B11" i="76"/>
  <c r="D2" i="21"/>
  <c r="E2" i="68"/>
  <c r="F20" i="31"/>
  <c r="M6" i="77"/>
  <c r="AO8" i="1"/>
  <c r="AO12" i="1"/>
  <c r="E13" i="76"/>
  <c r="F42" i="77"/>
  <c r="F9" i="77"/>
  <c r="E7" i="76"/>
  <c r="M22" i="77"/>
  <c r="F16" i="77"/>
  <c r="E2" i="69"/>
  <c r="D2" i="33"/>
  <c r="E10" i="76"/>
  <c r="D2" i="37"/>
  <c r="AO10" i="1"/>
  <c r="M8" i="77"/>
  <c r="F38" i="77"/>
  <c r="D2" i="34"/>
  <c r="L48" i="77"/>
  <c r="B13" i="76"/>
  <c r="D34" i="9"/>
  <c r="B12" i="76"/>
  <c r="M29" i="77"/>
  <c r="F7" i="77"/>
  <c r="E12" i="76"/>
  <c r="AO13" i="1"/>
  <c r="E9" i="76"/>
  <c r="M28" i="77"/>
  <c r="F13" i="77"/>
  <c r="E8" i="76"/>
  <c r="D35" i="9"/>
  <c r="B8" i="76"/>
  <c r="F43" i="77"/>
  <c r="B10" i="76"/>
  <c r="B9" i="76"/>
  <c r="C40" i="68" l="1"/>
  <c r="M20" i="15"/>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F36" i="67"/>
  <c r="F43" i="15"/>
  <c r="M8" i="67"/>
  <c r="D6" i="73"/>
  <c r="J15" i="67"/>
  <c r="F59" i="77"/>
  <c r="M23" i="15"/>
  <c r="F40" i="15"/>
  <c r="F9" i="67"/>
  <c r="F42" i="15"/>
  <c r="F7" i="15"/>
  <c r="F9" i="15"/>
  <c r="M6" i="15"/>
  <c r="F26" i="67"/>
  <c r="F26" i="15"/>
  <c r="M24" i="67"/>
  <c r="F42" i="67"/>
  <c r="F43" i="67"/>
  <c r="F16" i="67"/>
  <c r="M29" i="15"/>
  <c r="F37" i="67"/>
  <c r="M26" i="67"/>
  <c r="M29" i="67"/>
  <c r="M27" i="67"/>
  <c r="M22" i="67"/>
  <c r="M6" i="67"/>
  <c r="D7" i="73"/>
  <c r="M28" i="15"/>
  <c r="M26" i="15"/>
  <c r="M24" i="15"/>
  <c r="L48" i="67"/>
  <c r="C76" i="67"/>
  <c r="F8" i="15"/>
  <c r="J15" i="15"/>
  <c r="F38" i="67"/>
  <c r="F31" i="77"/>
  <c r="L48" i="15"/>
  <c r="F6" i="15"/>
  <c r="M8" i="15"/>
  <c r="F13" i="67"/>
  <c r="M9" i="15"/>
  <c r="D4" i="73"/>
  <c r="M28" i="67"/>
  <c r="C16" i="77"/>
  <c r="F37" i="15"/>
  <c r="F40" i="67"/>
  <c r="D5" i="73"/>
  <c r="C76" i="15"/>
  <c r="M27" i="15"/>
  <c r="F13" i="15"/>
  <c r="L47" i="67"/>
  <c r="L47" i="15"/>
  <c r="M22" i="15"/>
  <c r="F8" i="67"/>
  <c r="F6" i="67"/>
  <c r="F38" i="15"/>
  <c r="M23" i="67"/>
  <c r="M9" i="67"/>
  <c r="F7" i="67"/>
  <c r="F36" i="15"/>
  <c r="M17" i="77"/>
  <c r="F16" i="15"/>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C16" i="67"/>
  <c r="F5" i="73"/>
  <c r="F59" i="67"/>
  <c r="F4" i="73"/>
  <c r="C17" i="67"/>
  <c r="C14" i="67"/>
  <c r="C16" i="15"/>
  <c r="F31" i="15"/>
  <c r="M17" i="15"/>
  <c r="M17" i="67"/>
  <c r="F3" i="73"/>
  <c r="F6" i="73"/>
  <c r="F7" i="73"/>
  <c r="F31" i="67"/>
  <c r="G1" i="73"/>
  <c r="F59" i="15"/>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7" i="1"/>
  <c r="AE6" i="1"/>
  <c r="C24" i="81" l="1"/>
  <c r="C23" i="81"/>
  <c r="M11" i="81"/>
  <c r="J10" i="81" s="1"/>
  <c r="J5" i="81" s="1"/>
  <c r="F11" i="81"/>
  <c r="C19" i="67"/>
  <c r="C20" i="67" s="1"/>
  <c r="C26" i="67" s="1"/>
  <c r="I2" i="80"/>
  <c r="G38" i="35"/>
  <c r="R39" i="35"/>
  <c r="C38" i="35" s="1"/>
  <c r="AB10" i="40"/>
  <c r="W10" i="40"/>
  <c r="R50" i="34"/>
  <c r="C50" i="34" s="1"/>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77"/>
  <c r="F41" i="81"/>
  <c r="C17" i="15"/>
  <c r="F41" i="67"/>
  <c r="F41" i="15"/>
  <c r="F69" i="77" l="1"/>
  <c r="F69" i="15"/>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79"/>
  <c r="C17" i="77"/>
  <c r="C14" i="15"/>
  <c r="C19" i="9"/>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79"/>
  <c r="C14" i="77"/>
  <c r="C20" i="9"/>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E6" i="76"/>
  <c r="F35" i="67"/>
  <c r="M21" i="67"/>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B6" i="76"/>
  <c r="M21" i="77"/>
  <c r="F35" i="77"/>
  <c r="L51" i="6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15"/>
  <c r="F35" i="81"/>
  <c r="M21" i="15"/>
  <c r="M21" i="81"/>
  <c r="J20" i="81" l="1"/>
  <c r="J17" i="81" s="1"/>
  <c r="J16" i="81" s="1"/>
  <c r="J25" i="81" s="1"/>
  <c r="C31" i="81"/>
  <c r="C30" i="81" s="1"/>
  <c r="C39" i="81" s="1"/>
  <c r="F63" i="81"/>
  <c r="C62" i="81" s="1"/>
  <c r="C59" i="81" s="1"/>
  <c r="C58" i="81" s="1"/>
  <c r="C67" i="81" s="1"/>
  <c r="C68" i="81" s="1"/>
  <c r="R16" i="1"/>
  <c r="Q57" i="67"/>
  <c r="L46" i="67"/>
  <c r="D2" i="67" s="1"/>
  <c r="B3" i="67" s="1"/>
  <c r="Q65" i="67"/>
  <c r="Q75" i="67" s="1"/>
  <c r="F63" i="15"/>
  <c r="C62" i="15" s="1"/>
  <c r="C34" i="15"/>
  <c r="C31" i="15" s="1"/>
  <c r="J20" i="15"/>
  <c r="Q56" i="67"/>
  <c r="Q62" i="67" s="1"/>
  <c r="C83" i="67"/>
  <c r="C82" i="67" s="1"/>
  <c r="C43" i="67"/>
  <c r="J14" i="77"/>
  <c r="J13" i="77" s="1"/>
  <c r="J23" i="77" s="1"/>
  <c r="J59" i="77"/>
  <c r="J60" i="77" s="1"/>
  <c r="L46" i="77" s="1"/>
  <c r="J19" i="77"/>
  <c r="J17" i="77" s="1"/>
  <c r="J17" i="15"/>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L51" i="15"/>
  <c r="L51" i="77"/>
  <c r="D19" i="79"/>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79"/>
  <c r="D20" i="9"/>
  <c r="D19" i="9"/>
  <c r="AO6" i="1"/>
  <c r="D102" i="9" l="1"/>
  <c r="G19" i="9"/>
  <c r="G21" i="9" s="1"/>
  <c r="D22" i="9"/>
  <c r="D21" i="9"/>
  <c r="B6" i="70"/>
  <c r="B2" i="70" s="1"/>
  <c r="B3" i="70" s="1"/>
  <c r="D103" i="79"/>
  <c r="G20" i="79"/>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C35" i="79" l="1"/>
  <c r="F118" i="79" s="1"/>
  <c r="H118" i="79"/>
  <c r="H118" i="9"/>
  <c r="C35" i="9"/>
  <c r="F118" i="9" s="1"/>
  <c r="C42" i="40"/>
  <c r="C43" i="40"/>
  <c r="E46" i="40"/>
  <c r="F46" i="40" s="1"/>
  <c r="E47" i="40"/>
  <c r="F47" i="40" s="1"/>
  <c r="I47" i="40"/>
  <c r="J47" i="40" s="1"/>
  <c r="R39" i="80" l="1"/>
  <c r="S39" i="80" s="1"/>
  <c r="R41" i="80"/>
  <c r="S41" i="80" s="1"/>
  <c r="R40" i="80"/>
  <c r="S40"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M48" i="79" l="1"/>
  <c r="D45" i="79"/>
  <c r="H107" i="79"/>
  <c r="E118" i="79"/>
  <c r="C105" i="79"/>
  <c r="H102" i="79"/>
  <c r="R24" i="80" s="1"/>
  <c r="D119" i="9"/>
  <c r="D5" i="52" s="1"/>
  <c r="B49" i="72" s="1"/>
  <c r="M48" i="9"/>
  <c r="D45" i="9"/>
  <c r="H107" i="9"/>
  <c r="D5" i="53"/>
  <c r="H102" i="9"/>
  <c r="C105" i="9"/>
  <c r="E118" i="9"/>
  <c r="E4" i="52" s="1"/>
  <c r="B48" i="72" s="1"/>
  <c r="I4" i="52"/>
  <c r="R38" i="80" l="1"/>
  <c r="S38" i="80" s="1"/>
  <c r="R35" i="80"/>
  <c r="S35" i="80" s="1"/>
  <c r="R33" i="80"/>
  <c r="S33" i="80" s="1"/>
  <c r="R30" i="80"/>
  <c r="S30" i="80" s="1"/>
  <c r="R26" i="80"/>
  <c r="S26" i="80" s="1"/>
  <c r="R31" i="80"/>
  <c r="S31" i="80" s="1"/>
  <c r="R27" i="80"/>
  <c r="S27" i="80" s="1"/>
  <c r="R37" i="80"/>
  <c r="S37" i="80" s="1"/>
  <c r="R36" i="80"/>
  <c r="S36" i="80" s="1"/>
  <c r="R34" i="80"/>
  <c r="S34" i="80" s="1"/>
  <c r="R32" i="80"/>
  <c r="S32" i="80" s="1"/>
  <c r="R28" i="80"/>
  <c r="S28" i="80" s="1"/>
  <c r="S24" i="80"/>
  <c r="R29" i="80"/>
  <c r="S29" i="80" s="1"/>
  <c r="R25" i="80"/>
  <c r="S25" i="80" s="1"/>
  <c r="D7" i="53"/>
  <c r="B21" i="72" s="1"/>
  <c r="R24" i="31"/>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S22" i="80" l="1"/>
  <c r="R27" i="31"/>
  <c r="S27" i="31" s="1"/>
  <c r="R26" i="31"/>
  <c r="S26" i="31" s="1"/>
  <c r="R29" i="31"/>
  <c r="S29" i="31" s="1"/>
  <c r="R25" i="31"/>
  <c r="S25" i="31" s="1"/>
  <c r="R31" i="31"/>
  <c r="S31" i="31" s="1"/>
  <c r="R30" i="31"/>
  <c r="S30" i="31" s="1"/>
  <c r="R28" i="31"/>
  <c r="S28" i="31" s="1"/>
  <c r="S24" i="31"/>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D8" i="52"/>
  <c r="C79" i="9"/>
  <c r="L67" i="9"/>
  <c r="M67" i="9" s="1"/>
  <c r="L64" i="9"/>
  <c r="M64" i="9" s="1"/>
  <c r="L65" i="9"/>
  <c r="M65" i="9" s="1"/>
  <c r="L68" i="9"/>
  <c r="M68" i="9" s="1"/>
  <c r="L66" i="9"/>
  <c r="M66" i="9" s="1"/>
  <c r="L63" i="9"/>
  <c r="M63" i="9" s="1"/>
  <c r="D15" i="74" l="1"/>
  <c r="B20" i="80"/>
  <c r="R22" i="80"/>
  <c r="B21" i="80" s="1"/>
  <c r="S22" i="31"/>
  <c r="C81" i="79"/>
  <c r="C97" i="79"/>
  <c r="D58" i="79" s="1"/>
  <c r="D56" i="79" s="1"/>
  <c r="M54" i="79" s="1"/>
  <c r="N57" i="79" s="1"/>
  <c r="P57" i="79" s="1"/>
  <c r="M69" i="79"/>
  <c r="N69" i="79" s="1"/>
  <c r="M69" i="9"/>
  <c r="N69" i="9" s="1"/>
  <c r="C96" i="9"/>
  <c r="E96" i="9" s="1"/>
  <c r="E97" i="9" s="1"/>
  <c r="C80" i="9"/>
  <c r="E80" i="9" s="1"/>
  <c r="E81" i="9" s="1"/>
  <c r="E15" i="74" l="1"/>
  <c r="F15" i="74"/>
  <c r="B20" i="31"/>
  <c r="R22" i="31"/>
  <c r="B21" i="31" s="1"/>
  <c r="D14" i="74"/>
  <c r="N59" i="79"/>
  <c r="N61" i="79" s="1"/>
  <c r="N58" i="79"/>
  <c r="C81" i="9"/>
  <c r="C97" i="9"/>
  <c r="D58" i="9" s="1"/>
  <c r="D56" i="9" s="1"/>
  <c r="M54" i="9" s="1"/>
  <c r="N57" i="9" s="1"/>
  <c r="B5" i="74" l="1"/>
  <c r="B6" i="74" s="1"/>
  <c r="E14" i="74"/>
  <c r="F14" i="74"/>
  <c r="N60" i="79"/>
  <c r="N59" i="9"/>
  <c r="N58" i="9"/>
  <c r="P57" i="9"/>
  <c r="D6" i="74" l="1"/>
  <c r="C6" i="74"/>
  <c r="D5" i="74"/>
  <c r="C5"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<sst xmlns="http://schemas.openxmlformats.org/spreadsheetml/2006/main" count="9370" uniqueCount="3197">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</sst>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51" fillId="8" borderId="13"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xf numFmtId="0" fontId="55" fillId="17" borderId="3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 xmlns:a16="http://schemas.microsoft.com/office/drawing/2014/main"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613</v>
      </c>
    </row>
    <row r="21" spans="1:2" s="1594" customFormat="1">
      <c r="A21" s="1592" t="s">
        <v>1235</v>
      </c>
      <c r="B21" s="1593">
        <f ca="1">'预评函-2'!D7</f>
        <v>29441</v>
      </c>
    </row>
    <row r="22" spans="1:2" s="1594" customFormat="1">
      <c r="A22" s="1592" t="s">
        <v>1236</v>
      </c>
      <c r="B22" s="1593" t="str">
        <f ca="1">'预评函-2'!D6</f>
        <v>陆佰壹拾叁万元整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613</v>
      </c>
    </row>
    <row r="31" spans="1:2" s="1594" customFormat="1">
      <c r="A31" s="1592" t="s">
        <v>1274</v>
      </c>
      <c r="B31" s="1593">
        <f ca="1">'预评函-2'!D15</f>
        <v>22661</v>
      </c>
    </row>
    <row r="32" spans="1:2" s="1594" customFormat="1">
      <c r="A32" s="1592" t="s">
        <v>1241</v>
      </c>
      <c r="B32" s="1593" t="str">
        <f ca="1">'预评函-2'!D14</f>
        <v>陆佰壹拾叁万元整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3" t="s">
        <v>864</v>
      </c>
      <c r="C54" s="2020" t="s">
        <v>1281</v>
      </c>
    </row>
    <row r="55" spans="1:4">
      <c r="A55" s="3046"/>
      <c r="B55" s="2023" t="s">
        <v>865</v>
      </c>
      <c r="C55" s="2020" t="s">
        <v>1282</v>
      </c>
    </row>
    <row r="56" spans="1:4">
      <c r="A56" s="3046"/>
      <c r="B56" s="2023" t="s">
        <v>866</v>
      </c>
      <c r="C56" s="2020" t="s">
        <v>1286</v>
      </c>
    </row>
    <row r="57" spans="1:4">
      <c r="A57" s="304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47" t="str">
        <f>IF(B10="北京市","北京市",C10)&amp;F10&amp;IF('结果表-办公'!G1="在建","出让国有建设用地使用权及在建建筑物",IF('结果表-办公'!G1="土地","出让国有建设用地使用权",))&amp;B9&amp;"预评估"</f>
        <v>房地产抵押价值预评估</v>
      </c>
      <c r="C1" s="3048"/>
      <c r="D1" s="3048"/>
      <c r="E1" s="3048"/>
      <c r="F1" s="3048"/>
      <c r="G1" s="3048"/>
      <c r="H1" s="3048"/>
      <c r="I1" s="3049"/>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0"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51"/>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57"/>
      <c r="C16" s="3058"/>
      <c r="D16" s="3059"/>
      <c r="E16" s="2086" t="s">
        <v>1800</v>
      </c>
      <c r="F16" s="3060"/>
      <c r="G16" s="3061"/>
      <c r="H16" s="3061"/>
      <c r="I16" s="3062"/>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63" t="s">
        <v>3055</v>
      </c>
      <c r="F17" s="3064"/>
      <c r="G17" s="3064"/>
      <c r="H17" s="3064"/>
      <c r="I17" s="3065"/>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66"/>
      <c r="F18" s="3067"/>
      <c r="G18" s="3067"/>
      <c r="H18" s="3067"/>
      <c r="I18" s="3068"/>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53" t="s">
        <v>1810</v>
      </c>
      <c r="C20" s="3054"/>
      <c r="D20" s="3055" t="s">
        <v>1811</v>
      </c>
      <c r="E20" s="3056"/>
      <c r="F20" s="2098" t="s">
        <v>1812</v>
      </c>
      <c r="G20" s="2043"/>
      <c r="H20" s="2043"/>
      <c r="I20" s="2043"/>
      <c r="J20" s="2043"/>
      <c r="K20" s="3052"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52"/>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70"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70"/>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70"/>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71"/>
      <c r="B30" s="2036" t="s">
        <v>1829</v>
      </c>
      <c r="C30" s="3072"/>
      <c r="D30" s="3073"/>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74"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75"/>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75"/>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69" t="s">
        <v>1839</v>
      </c>
      <c r="T34" s="2135" t="str">
        <f>NUMBERSTRING(7-K34,1)&amp;"通"</f>
        <v>七通</v>
      </c>
      <c r="U34" s="2030"/>
      <c r="V34" s="2030"/>
    </row>
    <row r="35" spans="1:22" ht="18" customHeight="1">
      <c r="A35" s="2136"/>
      <c r="B35" s="3076" t="s">
        <v>1840</v>
      </c>
      <c r="C35" s="3076"/>
      <c r="D35" s="3076"/>
      <c r="E35" s="3076"/>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9"/>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8" t="s">
        <v>1936</v>
      </c>
      <c r="B2" s="3088"/>
      <c r="C2" s="3088"/>
      <c r="D2" s="969" t="s">
        <v>1912</v>
      </c>
      <c r="E2" s="2228" t="s">
        <v>1913</v>
      </c>
      <c r="F2" s="1393"/>
      <c r="G2" s="2229"/>
      <c r="H2" s="2230"/>
      <c r="I2" s="2231" t="s">
        <v>1937</v>
      </c>
      <c r="J2" s="1393"/>
      <c r="K2" s="1393"/>
      <c r="L2" s="1393"/>
      <c r="M2" s="1393"/>
      <c r="N2" s="1428"/>
      <c r="O2" s="1393"/>
      <c r="P2" s="1393"/>
    </row>
    <row r="3" spans="1:16" ht="15.75" thickBot="1">
      <c r="A3" s="3089" t="s">
        <v>1910</v>
      </c>
      <c r="B3" s="3089"/>
      <c r="C3" s="3089"/>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90"/>
      <c r="B4" s="3091"/>
      <c r="C4" s="3092"/>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3" t="s">
        <v>1915</v>
      </c>
      <c r="C5" s="3093"/>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3" t="s">
        <v>1916</v>
      </c>
      <c r="C6" s="3093"/>
      <c r="D6" s="47">
        <f>ROUND($D$3*E6/$E$3,2)</f>
        <v>0</v>
      </c>
      <c r="E6" s="48">
        <f>E3-E5</f>
        <v>270.51</v>
      </c>
      <c r="F6" s="1393"/>
      <c r="G6" s="2236" t="s">
        <v>1917</v>
      </c>
      <c r="H6" s="1400" t="s">
        <v>1918</v>
      </c>
      <c r="I6" s="941" t="e">
        <f>ROUND(F31/D31,2)</f>
        <v>#DIV/0!</v>
      </c>
      <c r="J6" s="1393"/>
      <c r="K6" s="1393"/>
      <c r="L6" s="1393"/>
      <c r="M6" s="1393"/>
      <c r="N6" s="1393"/>
      <c r="O6" s="1393"/>
      <c r="P6" s="1393"/>
    </row>
    <row r="7" spans="1:16" ht="15">
      <c r="A7" s="3085"/>
      <c r="B7" s="3086"/>
      <c r="C7" s="3087"/>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2" t="s">
        <v>1940</v>
      </c>
      <c r="L16" s="3083"/>
      <c r="M16" s="3083"/>
      <c r="N16" s="3083"/>
      <c r="O16" s="3083"/>
      <c r="P16" s="3084"/>
    </row>
    <row r="17" spans="1:19" ht="15">
      <c r="A17" s="2243" t="s">
        <v>1941</v>
      </c>
      <c r="B17" s="2244" t="s">
        <v>1942</v>
      </c>
      <c r="C17" s="2245" t="s">
        <v>1943</v>
      </c>
      <c r="D17" s="2246" t="s">
        <v>1931</v>
      </c>
      <c r="E17" s="2247" t="s">
        <v>1932</v>
      </c>
      <c r="F17" s="2248"/>
      <c r="G17" s="2249"/>
      <c r="H17" s="2250" t="s">
        <v>1944</v>
      </c>
      <c r="I17" s="2251" t="s">
        <v>1929</v>
      </c>
      <c r="J17" s="1393"/>
      <c r="K17" s="3079" t="s">
        <v>1945</v>
      </c>
      <c r="L17" s="3080"/>
      <c r="M17" s="3081"/>
      <c r="N17" s="3079" t="s">
        <v>1946</v>
      </c>
      <c r="O17" s="3080"/>
      <c r="P17" s="3081"/>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5.5</v>
      </c>
      <c r="V6" s="78">
        <v>0.03</v>
      </c>
      <c r="W6" s="78">
        <v>0.1</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0.01</v>
      </c>
      <c r="AN6" s="2310" t="s">
        <v>3141</v>
      </c>
      <c r="AO6" s="54">
        <f ca="1">SUMIF(INDIRECT("'"&amp;AN6&amp;"'"&amp;"!A:A"),"总价",INDIRECT("'"&amp;AN6&amp;"'"&amp;"!B:B"))</f>
        <v>534</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5.5E-2</v>
      </c>
      <c r="J7" s="73">
        <v>8.5000000000000006E-2</v>
      </c>
      <c r="K7" s="1252">
        <f>SUMIF('数据-汇总表'!C$19:C$33,A7,'数据-汇总表'!E$19:E$33)</f>
        <v>62.3</v>
      </c>
      <c r="L7" s="2996">
        <v>2600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1111.0999999999999</v>
      </c>
      <c r="V7" s="78">
        <v>0.03</v>
      </c>
      <c r="W7" s="78">
        <v>0.1</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12</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1.5</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1.5</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1.5</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1.5</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0.03</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4" t="s">
        <v>2081</v>
      </c>
      <c r="B1" s="3095"/>
      <c r="C1" s="3095"/>
      <c r="D1" s="3095"/>
      <c r="E1" s="3095"/>
      <c r="F1" s="3095"/>
      <c r="G1" s="309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7418</v>
      </c>
      <c r="C5" s="1744">
        <f ca="1">ROUND(B5*10000/$B$1,0)</f>
        <v>22179</v>
      </c>
      <c r="D5" s="1744" t="e">
        <f ca="1">ROUND(B5*10000/$B$2,0)</f>
        <v>#DIV/0!</v>
      </c>
      <c r="E5" s="1743"/>
      <c r="F5" s="1741"/>
      <c r="G5" s="1741"/>
    </row>
    <row r="6" spans="1:10" ht="16.5">
      <c r="A6" s="1744" t="s">
        <v>1354</v>
      </c>
      <c r="B6" s="1744">
        <f ca="1">SUM(G14:G23)</f>
        <v>613</v>
      </c>
      <c r="C6" s="1744">
        <f ca="1">ROUND(B6*10000/$B$1,0)</f>
        <v>1833</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7118</v>
      </c>
      <c r="E14" s="1742">
        <f ca="1">ROUND(D14*10000/B14,0)</f>
        <v>29534</v>
      </c>
      <c r="F14" s="1742" t="e">
        <f ca="1">ROUND(D14*10000/C14,0)</f>
        <v>#DIV/0!</v>
      </c>
      <c r="G14" s="1742">
        <f ca="1">'结果表-办公'!D122</f>
        <v>613</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300</v>
      </c>
      <c r="E15" s="1742">
        <f t="shared" ref="E15:E23" ca="1" si="0">ROUND(D15*10000/B15,0)</f>
        <v>3210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68" t="str">
        <f>项目基本情况!S2</f>
        <v>房地产</v>
      </c>
      <c r="B2" s="3169"/>
      <c r="C2" s="3169"/>
      <c r="D2" s="3169"/>
      <c r="E2" s="3169"/>
      <c r="F2" s="3169"/>
      <c r="G2" s="3169"/>
      <c r="H2" s="3169"/>
      <c r="I2" s="3170"/>
    </row>
    <row r="3" spans="1:12" ht="12.75">
      <c r="A3" s="3171" t="s">
        <v>2120</v>
      </c>
      <c r="B3" s="3172"/>
      <c r="C3" s="3172"/>
      <c r="D3" s="3172"/>
      <c r="E3" s="3172"/>
      <c r="F3" s="3172"/>
      <c r="G3" s="3172"/>
      <c r="H3" s="3172"/>
      <c r="I3" s="3172"/>
    </row>
    <row r="4" spans="1:12" ht="14.25">
      <c r="A4" s="2427" t="s">
        <v>2121</v>
      </c>
      <c r="B4" s="2428" t="s">
        <v>2122</v>
      </c>
      <c r="C4" s="2429" t="s">
        <v>3086</v>
      </c>
      <c r="D4" s="2429" t="s">
        <v>3141</v>
      </c>
      <c r="E4" s="3152" t="s">
        <v>2123</v>
      </c>
      <c r="F4" s="3165"/>
      <c r="G4" s="3165"/>
      <c r="H4" s="3165"/>
      <c r="I4" s="3153"/>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3" t="s">
        <v>2124</v>
      </c>
      <c r="B5" s="3069">
        <v>25</v>
      </c>
      <c r="C5" s="3173"/>
      <c r="D5" s="3161"/>
      <c r="E5" s="139" t="s">
        <v>2125</v>
      </c>
      <c r="F5" s="2431"/>
      <c r="G5" s="2431"/>
      <c r="H5" s="2431"/>
      <c r="I5" s="1832"/>
    </row>
    <row r="6" spans="1:12" ht="12.75">
      <c r="A6" s="3143"/>
      <c r="B6" s="3069"/>
      <c r="C6" s="3175"/>
      <c r="D6" s="3161"/>
      <c r="E6" s="139" t="s">
        <v>2126</v>
      </c>
      <c r="F6" s="2431"/>
      <c r="G6" s="2431"/>
      <c r="H6" s="2431"/>
      <c r="I6" s="1832"/>
    </row>
    <row r="7" spans="1:12" ht="12.75">
      <c r="A7" s="3143"/>
      <c r="B7" s="3069"/>
      <c r="C7" s="3174"/>
      <c r="D7" s="3161"/>
      <c r="E7" s="139" t="s">
        <v>2127</v>
      </c>
      <c r="F7" s="2431"/>
      <c r="G7" s="2431"/>
      <c r="H7" s="2431"/>
      <c r="I7" s="1832"/>
    </row>
    <row r="8" spans="1:12" ht="12.75">
      <c r="A8" s="3143" t="s">
        <v>2128</v>
      </c>
      <c r="B8" s="3069">
        <v>15</v>
      </c>
      <c r="C8" s="3173"/>
      <c r="D8" s="3161"/>
      <c r="E8" s="139" t="s">
        <v>2129</v>
      </c>
      <c r="F8" s="2431"/>
      <c r="G8" s="2431"/>
      <c r="H8" s="2431"/>
      <c r="I8" s="1832"/>
    </row>
    <row r="9" spans="1:12" ht="12.75">
      <c r="A9" s="3143"/>
      <c r="B9" s="3069"/>
      <c r="C9" s="3174"/>
      <c r="D9" s="3161"/>
      <c r="E9" s="139" t="s">
        <v>2130</v>
      </c>
      <c r="F9" s="2431"/>
      <c r="G9" s="2431"/>
      <c r="H9" s="2431"/>
      <c r="I9" s="1832"/>
    </row>
    <row r="10" spans="1:12" ht="12.75">
      <c r="A10" s="3143" t="s">
        <v>2131</v>
      </c>
      <c r="B10" s="3069">
        <v>15</v>
      </c>
      <c r="C10" s="3173"/>
      <c r="D10" s="3161"/>
      <c r="E10" s="139" t="s">
        <v>2132</v>
      </c>
      <c r="F10" s="2431"/>
      <c r="G10" s="2431"/>
      <c r="H10" s="2431"/>
      <c r="I10" s="1832"/>
    </row>
    <row r="11" spans="1:12" ht="12.75">
      <c r="A11" s="3143"/>
      <c r="B11" s="3069"/>
      <c r="C11" s="3174"/>
      <c r="D11" s="3161"/>
      <c r="E11" s="139" t="s">
        <v>2133</v>
      </c>
      <c r="F11" s="2431"/>
      <c r="G11" s="2431"/>
      <c r="H11" s="2431"/>
      <c r="I11" s="1832"/>
    </row>
    <row r="12" spans="1:12" ht="12.75">
      <c r="A12" s="3143" t="s">
        <v>2134</v>
      </c>
      <c r="B12" s="3069">
        <v>15</v>
      </c>
      <c r="C12" s="3173"/>
      <c r="D12" s="3161"/>
      <c r="E12" s="139" t="s">
        <v>2135</v>
      </c>
      <c r="F12" s="2431"/>
      <c r="G12" s="2431"/>
      <c r="H12" s="2431"/>
      <c r="I12" s="1832"/>
    </row>
    <row r="13" spans="1:12" ht="12.75">
      <c r="A13" s="3143"/>
      <c r="B13" s="3069"/>
      <c r="C13" s="3174"/>
      <c r="D13" s="3161"/>
      <c r="E13" s="139" t="s">
        <v>2136</v>
      </c>
      <c r="F13" s="2431"/>
      <c r="G13" s="2431"/>
      <c r="H13" s="2431"/>
      <c r="I13" s="1832"/>
    </row>
    <row r="14" spans="1:12" ht="12.75">
      <c r="A14" s="3143" t="s">
        <v>2137</v>
      </c>
      <c r="B14" s="3069">
        <v>30</v>
      </c>
      <c r="C14" s="3173">
        <v>5</v>
      </c>
      <c r="D14" s="3161">
        <v>5</v>
      </c>
      <c r="E14" s="139" t="s">
        <v>2138</v>
      </c>
      <c r="F14" s="2431"/>
      <c r="G14" s="2431"/>
      <c r="H14" s="2431"/>
      <c r="I14" s="1832"/>
    </row>
    <row r="15" spans="1:12" ht="12.75">
      <c r="A15" s="3143"/>
      <c r="B15" s="3069"/>
      <c r="C15" s="3175"/>
      <c r="D15" s="3161"/>
      <c r="E15" s="139" t="s">
        <v>2139</v>
      </c>
      <c r="F15" s="2431"/>
      <c r="G15" s="2431"/>
      <c r="H15" s="2431"/>
      <c r="I15" s="1832"/>
    </row>
    <row r="16" spans="1:12" ht="12.75">
      <c r="A16" s="3143"/>
      <c r="B16" s="3069"/>
      <c r="C16" s="3174"/>
      <c r="D16" s="3161"/>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691</v>
      </c>
      <c r="D19" s="143">
        <f ca="1">SUMIF(INDIRECT("'"&amp;D4&amp;"'"&amp;"!A:A"),'结果表-办公'!B19,INDIRECT("'"&amp;D4&amp;"'"&amp;"!B:B"))</f>
        <v>534</v>
      </c>
      <c r="E19" s="2436" t="s">
        <v>2148</v>
      </c>
      <c r="F19" s="2437" t="s">
        <v>2147</v>
      </c>
      <c r="G19" s="144">
        <f ca="1">ROUND(C19*$C$18+D19*$D$18,0)</f>
        <v>613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33207</v>
      </c>
      <c r="D20" s="146">
        <f ca="1">SUMIF(INDIRECT("'"&amp;D4&amp;"'"&amp;"!A:A"),'结果表-办公'!B20,INDIRECT("'"&amp;D4&amp;"'"&amp;"!B:B"))</f>
        <v>25627</v>
      </c>
      <c r="E20" s="2439"/>
      <c r="F20" s="1248" t="s">
        <v>2151</v>
      </c>
      <c r="G20" s="147">
        <f ca="1">ROUND(C20*$C$18+D20*$D$18,0)</f>
        <v>29417</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0.29400749063670406</v>
      </c>
      <c r="E22" s="137"/>
      <c r="F22" s="137"/>
      <c r="G22" s="137"/>
      <c r="H22" s="137"/>
      <c r="I22" s="137"/>
    </row>
    <row r="23" spans="1:35" ht="13.5" thickBot="1">
      <c r="A23" s="2420"/>
      <c r="B23" s="2420"/>
      <c r="C23" s="2420"/>
      <c r="D23" s="2420"/>
      <c r="E23" s="137"/>
      <c r="F23" s="137"/>
      <c r="G23" s="137"/>
      <c r="H23" s="137"/>
      <c r="I23" s="137"/>
    </row>
    <row r="24" spans="1:35" ht="14.25">
      <c r="A24" s="3182" t="s">
        <v>2155</v>
      </c>
      <c r="B24" s="2437" t="s">
        <v>2147</v>
      </c>
      <c r="C24" s="144">
        <f>IF(B30=0,0,D30)</f>
        <v>0</v>
      </c>
      <c r="D24" s="2444"/>
      <c r="E24" s="137"/>
      <c r="F24" s="137"/>
      <c r="G24" s="137"/>
      <c r="H24" s="137"/>
      <c r="I24" s="137"/>
    </row>
    <row r="25" spans="1:35" ht="14.25">
      <c r="A25" s="318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613</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62" t="s">
        <v>2169</v>
      </c>
      <c r="B36" s="2463" t="s">
        <v>2170</v>
      </c>
      <c r="C36" s="153"/>
      <c r="D36" s="2464"/>
      <c r="E36" s="2465"/>
      <c r="F36" s="2466"/>
      <c r="G36" s="137"/>
      <c r="H36" s="137"/>
      <c r="I36" s="137"/>
    </row>
    <row r="37" spans="1:15" ht="15.75" thickBot="1">
      <c r="A37" s="3163"/>
      <c r="B37" s="2268" t="s">
        <v>2171</v>
      </c>
      <c r="C37" s="155"/>
      <c r="D37" s="1393"/>
      <c r="E37" s="1393"/>
      <c r="F37" s="2466"/>
      <c r="G37" s="137"/>
      <c r="H37" s="137"/>
      <c r="I37" s="137"/>
    </row>
    <row r="38" spans="1:15" ht="15.75" thickBot="1">
      <c r="A38" s="3164"/>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79" t="s">
        <v>2183</v>
      </c>
      <c r="B45" s="3180"/>
      <c r="C45" s="3181"/>
      <c r="D45" s="163">
        <f ca="1">ROUND(H101*F45,0)</f>
        <v>613</v>
      </c>
      <c r="E45" s="164" t="s">
        <v>2184</v>
      </c>
      <c r="F45" s="165">
        <v>1</v>
      </c>
      <c r="G45" s="166" t="s">
        <v>2185</v>
      </c>
      <c r="H45" s="137"/>
      <c r="I45" s="137"/>
      <c r="J45" s="3098" t="s">
        <v>2186</v>
      </c>
      <c r="K45" s="3098"/>
      <c r="L45" s="3098"/>
      <c r="M45" s="3098"/>
      <c r="N45" s="3098"/>
      <c r="O45" s="3098"/>
    </row>
    <row r="46" spans="1:15" ht="14.25" customHeight="1">
      <c r="A46" s="3176" t="s">
        <v>2187</v>
      </c>
      <c r="B46" s="3177"/>
      <c r="C46" s="3177"/>
      <c r="D46" s="3177"/>
      <c r="E46" s="3177"/>
      <c r="F46" s="3177"/>
      <c r="G46" s="3178"/>
      <c r="H46" s="2482"/>
      <c r="I46" s="167"/>
      <c r="J46" s="1810">
        <v>1</v>
      </c>
      <c r="K46" s="3098" t="s">
        <v>2188</v>
      </c>
      <c r="L46" s="3098"/>
      <c r="M46" s="3099"/>
      <c r="N46" s="3099"/>
      <c r="O46" s="3099"/>
    </row>
    <row r="47" spans="1:15" ht="12" customHeight="1">
      <c r="A47" s="168" t="s">
        <v>2189</v>
      </c>
      <c r="B47" s="169"/>
      <c r="C47" s="170"/>
      <c r="D47" s="171" t="s">
        <v>2190</v>
      </c>
      <c r="E47" s="23" t="s">
        <v>2191</v>
      </c>
      <c r="F47" s="172" t="s">
        <v>2192</v>
      </c>
      <c r="G47" s="173" t="s">
        <v>2193</v>
      </c>
      <c r="H47" s="2482"/>
      <c r="I47" s="167"/>
      <c r="J47" s="1810">
        <v>2</v>
      </c>
      <c r="K47" s="3098" t="s">
        <v>2194</v>
      </c>
      <c r="L47" s="3098"/>
      <c r="M47" s="3100">
        <f>'数据-取费表'!B2</f>
        <v>43270</v>
      </c>
      <c r="N47" s="3100"/>
      <c r="O47" s="3100"/>
    </row>
    <row r="48" spans="1:15" ht="25.5">
      <c r="A48" s="3166" t="s">
        <v>2195</v>
      </c>
      <c r="B48" s="3167"/>
      <c r="C48" s="3167"/>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098" t="s">
        <v>2198</v>
      </c>
      <c r="L48" s="3098"/>
      <c r="M48" s="3101">
        <f ca="1">H101</f>
        <v>613</v>
      </c>
      <c r="N48" s="3101"/>
      <c r="O48" s="3101"/>
    </row>
    <row r="49" spans="1:35" ht="25.5" customHeight="1">
      <c r="A49" s="175" t="s">
        <v>2199</v>
      </c>
      <c r="B49" s="3146" t="s">
        <v>2200</v>
      </c>
      <c r="C49" s="3146"/>
      <c r="D49" s="176">
        <v>0</v>
      </c>
      <c r="E49" s="22" t="s">
        <v>2201</v>
      </c>
      <c r="F49" s="27" t="s">
        <v>34</v>
      </c>
      <c r="G49" s="3127"/>
      <c r="H49" s="137"/>
      <c r="I49" s="2485"/>
      <c r="J49" s="1810">
        <v>4</v>
      </c>
      <c r="K49" s="3098" t="str">
        <f>IF(项目基本情况!E8="房地产抵押价值","房地产抵押价值","抵押担保权已注销时的房地产抵押价值")</f>
        <v>房地产抵押价值</v>
      </c>
      <c r="L49" s="3098"/>
      <c r="M49" s="3101">
        <f ca="1">IF(项目基本情况!E8="房地产抵押价值",H107,H109)</f>
        <v>613</v>
      </c>
      <c r="N49" s="3101"/>
      <c r="O49" s="3101"/>
    </row>
    <row r="50" spans="1:35" ht="25.5" customHeight="1">
      <c r="A50" s="177"/>
      <c r="B50" s="3146" t="s">
        <v>2202</v>
      </c>
      <c r="C50" s="3146"/>
      <c r="D50" s="178"/>
      <c r="E50" s="30"/>
      <c r="F50" s="179"/>
      <c r="G50" s="3128"/>
      <c r="H50" s="137"/>
      <c r="I50" s="2485"/>
      <c r="J50" s="3098" t="s">
        <v>2203</v>
      </c>
      <c r="K50" s="3098"/>
      <c r="L50" s="3098"/>
      <c r="M50" s="3098"/>
      <c r="N50" s="3098"/>
      <c r="O50" s="3098"/>
    </row>
    <row r="51" spans="1:35" ht="12" customHeight="1">
      <c r="A51" s="180"/>
      <c r="B51" s="3146" t="s">
        <v>2204</v>
      </c>
      <c r="C51" s="3146"/>
      <c r="D51" s="181"/>
      <c r="E51" s="29"/>
      <c r="F51" s="179"/>
      <c r="G51" s="3129"/>
      <c r="H51" s="137"/>
      <c r="I51" s="2485"/>
      <c r="J51" s="2486" t="s">
        <v>2205</v>
      </c>
      <c r="K51" s="3098" t="s">
        <v>2206</v>
      </c>
      <c r="L51" s="3098"/>
      <c r="M51" s="2486" t="s">
        <v>2207</v>
      </c>
      <c r="N51" s="2486" t="s">
        <v>2208</v>
      </c>
      <c r="O51" s="2486" t="s">
        <v>2209</v>
      </c>
    </row>
    <row r="52" spans="1:35" ht="24" customHeight="1">
      <c r="A52" s="182" t="s">
        <v>2210</v>
      </c>
      <c r="B52" s="3146" t="s">
        <v>2211</v>
      </c>
      <c r="C52" s="3146"/>
      <c r="D52" s="181">
        <f ca="1">ROUND(D45*'数据-取费表'!B41/(1+'数据-取费表'!C42),0)</f>
        <v>33</v>
      </c>
      <c r="E52" s="11" t="s">
        <v>2212</v>
      </c>
      <c r="F52" s="183">
        <f>'数据-取费表'!B41</f>
        <v>5.6000000000000001E-2</v>
      </c>
      <c r="G52" s="2487"/>
      <c r="H52" s="137"/>
      <c r="I52" s="2485"/>
      <c r="J52" s="1810">
        <v>1</v>
      </c>
      <c r="K52" s="3121" t="s">
        <v>2213</v>
      </c>
      <c r="L52" s="3121"/>
      <c r="M52" s="1752">
        <f>D48</f>
        <v>0</v>
      </c>
      <c r="N52" s="1810" t="str">
        <f>E48</f>
        <v>销售额×税（费）率</v>
      </c>
      <c r="O52" s="1753" t="str">
        <f>F48</f>
        <v>免征</v>
      </c>
    </row>
    <row r="53" spans="1:35" ht="12" customHeight="1">
      <c r="A53" s="182" t="s">
        <v>2214</v>
      </c>
      <c r="B53" s="3147" t="s">
        <v>2215</v>
      </c>
      <c r="C53" s="3148"/>
      <c r="D53" s="181">
        <f ca="1">ROUND(D45*'数据-取费表'!B41/(1+'数据-取费表'!C42),0)</f>
        <v>33</v>
      </c>
      <c r="E53" s="11" t="s">
        <v>2212</v>
      </c>
      <c r="F53" s="183">
        <f>'数据-取费表'!B41</f>
        <v>5.6000000000000001E-2</v>
      </c>
      <c r="G53" s="2487"/>
      <c r="H53" s="137"/>
      <c r="I53" s="2485"/>
      <c r="J53" s="1810">
        <v>2</v>
      </c>
      <c r="K53" s="3121" t="s">
        <v>2216</v>
      </c>
      <c r="L53" s="3121"/>
      <c r="M53" s="1752">
        <f t="shared" ref="M53:O54" ca="1" si="0">D55</f>
        <v>0</v>
      </c>
      <c r="N53" s="1810" t="str">
        <f t="shared" si="0"/>
        <v>销售额×税（费）率</v>
      </c>
      <c r="O53" s="1753">
        <f t="shared" si="0"/>
        <v>5.0000000000000001E-4</v>
      </c>
    </row>
    <row r="54" spans="1:35" ht="12" customHeight="1">
      <c r="A54" s="182" t="s">
        <v>2217</v>
      </c>
      <c r="B54" s="3147" t="s">
        <v>2218</v>
      </c>
      <c r="C54" s="3148"/>
      <c r="D54" s="181">
        <f ca="1">C68</f>
        <v>33</v>
      </c>
      <c r="E54" s="29" t="s">
        <v>2219</v>
      </c>
      <c r="F54" s="183">
        <f>'数据-取费表'!B41</f>
        <v>5.6000000000000001E-2</v>
      </c>
      <c r="G54" s="2487"/>
      <c r="H54" s="2488"/>
      <c r="I54" s="2485"/>
      <c r="J54" s="1810">
        <v>3</v>
      </c>
      <c r="K54" s="3121" t="s">
        <v>2220</v>
      </c>
      <c r="L54" s="3121"/>
      <c r="M54" s="1752">
        <f t="shared" ca="1" si="0"/>
        <v>347</v>
      </c>
      <c r="N54" s="1810" t="str">
        <f t="shared" si="0"/>
        <v>增值额×税（费）率</v>
      </c>
      <c r="O54" s="1754" t="str">
        <f t="shared" si="0"/>
        <v>——</v>
      </c>
    </row>
    <row r="55" spans="1:35" ht="24" customHeight="1">
      <c r="A55" s="3185" t="s">
        <v>2221</v>
      </c>
      <c r="B55" s="3167"/>
      <c r="C55" s="3167"/>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c r="A56" s="3185" t="s">
        <v>2224</v>
      </c>
      <c r="B56" s="3167"/>
      <c r="C56" s="3167"/>
      <c r="D56" s="184">
        <f ca="1">IF(H56="个人住宅",D57,D58)</f>
        <v>347</v>
      </c>
      <c r="E56" s="11" t="s">
        <v>2225</v>
      </c>
      <c r="F56" s="183" t="str">
        <f>IF(H56="正常",F58,"免征")</f>
        <v>——</v>
      </c>
      <c r="G56" s="2489" t="s">
        <v>2226</v>
      </c>
      <c r="H56" s="2490" t="s">
        <v>2223</v>
      </c>
      <c r="I56" s="2491"/>
      <c r="J56" s="1810" t="str">
        <f>IF(项目基本情况!K6="上海银行",IF(J55="",4,J55+1),"")</f>
        <v/>
      </c>
      <c r="K56" s="3104" t="str">
        <f>IF(项目基本情况!K6="上海银行","其他处置费用","")</f>
        <v/>
      </c>
      <c r="L56" s="3105"/>
      <c r="M56" s="1752" t="str">
        <f>IF(项目基本情况!K6="上海银行",M69,"")</f>
        <v/>
      </c>
      <c r="N56" s="3107" t="str">
        <f>IF(项目基本情况!K6="上海银行","包含处置中涉及的律师、诉讼、拍卖、评估等费用","")</f>
        <v/>
      </c>
      <c r="O56" s="3108"/>
    </row>
    <row r="57" spans="1:35" ht="12.75">
      <c r="A57" s="182" t="s">
        <v>2199</v>
      </c>
      <c r="B57" s="3152" t="s">
        <v>2227</v>
      </c>
      <c r="C57" s="3153"/>
      <c r="D57" s="186">
        <v>0</v>
      </c>
      <c r="E57" s="22" t="s">
        <v>2201</v>
      </c>
      <c r="F57" s="154"/>
      <c r="G57" s="2487"/>
      <c r="H57" s="2491"/>
      <c r="I57" s="2491"/>
      <c r="J57" s="3121">
        <f>IF(AND(J55="",J56=""),4,IF(项目基本情况!K6="上海银行",'结果表-办公'!J56+1,'结果表-办公'!J55+1))</f>
        <v>4</v>
      </c>
      <c r="K57" s="3121" t="s">
        <v>2228</v>
      </c>
      <c r="L57" s="2492" t="s">
        <v>2229</v>
      </c>
      <c r="M57" s="1757"/>
      <c r="N57" s="1758">
        <f ca="1">SUMIF(M52:M56,"&lt;9e307")</f>
        <v>347</v>
      </c>
      <c r="O57" s="2493"/>
      <c r="P57" s="1751">
        <f ca="1">N57/M49</f>
        <v>0.56606851549755299</v>
      </c>
    </row>
    <row r="58" spans="1:35" ht="24.75">
      <c r="A58" s="182" t="s">
        <v>2210</v>
      </c>
      <c r="B58" s="3152" t="s">
        <v>2230</v>
      </c>
      <c r="C58" s="3165"/>
      <c r="D58" s="184">
        <f ca="1">IF(H58="转让取得",C81,C97)</f>
        <v>347</v>
      </c>
      <c r="E58" s="11" t="s">
        <v>2225</v>
      </c>
      <c r="F58" s="23" t="s">
        <v>34</v>
      </c>
      <c r="G58" s="2487"/>
      <c r="H58" s="2490" t="s">
        <v>2231</v>
      </c>
      <c r="I58" s="2491"/>
      <c r="J58" s="3121"/>
      <c r="K58" s="3121"/>
      <c r="L58" s="2492" t="s">
        <v>2232</v>
      </c>
      <c r="M58" s="1759"/>
      <c r="N58" s="2494" t="str">
        <f ca="1">NUMBERSTRING(INT(N57*10000),2)&amp;"元整"</f>
        <v>叁佰肆拾柒万元整</v>
      </c>
      <c r="O58" s="2495"/>
    </row>
    <row r="59" spans="1:35" ht="24.75" thickBot="1">
      <c r="A59" s="3125" t="s">
        <v>2233</v>
      </c>
      <c r="B59" s="3126"/>
      <c r="C59" s="312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23">
        <f>J57+1</f>
        <v>5</v>
      </c>
      <c r="K59" s="3121" t="s">
        <v>2235</v>
      </c>
      <c r="L59" s="1810" t="s">
        <v>2229</v>
      </c>
      <c r="M59" s="1760"/>
      <c r="N59" s="1761">
        <f ca="1">M49-N57</f>
        <v>266</v>
      </c>
      <c r="O59" s="2497"/>
    </row>
    <row r="60" spans="1:35" ht="12" customHeight="1">
      <c r="A60" s="2498"/>
      <c r="B60" s="2420"/>
      <c r="C60" s="2420"/>
      <c r="D60" s="2420"/>
      <c r="E60" s="2167"/>
      <c r="F60" s="2491"/>
      <c r="G60" s="2491"/>
      <c r="H60" s="2499"/>
      <c r="I60" s="137"/>
      <c r="J60" s="3124"/>
      <c r="K60" s="3121"/>
      <c r="L60" s="2492" t="s">
        <v>2232</v>
      </c>
      <c r="M60" s="1759"/>
      <c r="N60" s="2494" t="str">
        <f ca="1">NUMBERSTRING(INT(N59*10000),2)&amp;"元整"</f>
        <v>贰佰陆拾陆万元整</v>
      </c>
      <c r="O60" s="2495"/>
    </row>
    <row r="61" spans="1:35" ht="13.5" thickBot="1">
      <c r="A61" s="3184" t="s">
        <v>2236</v>
      </c>
      <c r="B61" s="3184"/>
      <c r="C61" s="3184"/>
      <c r="D61" s="3184"/>
      <c r="E61" s="3184"/>
      <c r="F61" s="2491"/>
      <c r="G61" s="2491"/>
      <c r="H61" s="2499"/>
      <c r="I61" s="137"/>
      <c r="J61" s="1810">
        <f>J59+1</f>
        <v>6</v>
      </c>
      <c r="K61" s="3121" t="s">
        <v>2237</v>
      </c>
      <c r="L61" s="3121"/>
      <c r="M61" s="1762"/>
      <c r="N61" s="1763">
        <f ca="1">ROUND(N59*10000/'数据-汇总表'!E3,0)</f>
        <v>9833</v>
      </c>
      <c r="O61" s="2500"/>
    </row>
    <row r="62" spans="1:35" ht="12.75">
      <c r="A62" s="3141" t="s">
        <v>2238</v>
      </c>
      <c r="B62" s="3142"/>
      <c r="C62" s="1802"/>
      <c r="D62" s="1802" t="s">
        <v>2239</v>
      </c>
      <c r="E62" s="191" t="s">
        <v>2240</v>
      </c>
      <c r="F62" s="2491"/>
      <c r="G62" s="2491"/>
      <c r="H62" s="2499"/>
      <c r="I62" s="137"/>
    </row>
    <row r="63" spans="1:35" ht="12.75">
      <c r="A63" s="202" t="s">
        <v>775</v>
      </c>
      <c r="B63" s="192" t="s">
        <v>2241</v>
      </c>
      <c r="C63" s="193">
        <f ca="1">ROUND((C64+C65)/(1+'数据-取费表'!C42),0)</f>
        <v>584</v>
      </c>
      <c r="D63" s="194"/>
      <c r="E63" s="195"/>
      <c r="F63" s="2491"/>
      <c r="G63" s="2491"/>
      <c r="H63" s="2499"/>
      <c r="I63" s="137"/>
      <c r="J63" s="3106" t="s">
        <v>2242</v>
      </c>
      <c r="K63" s="2501" t="s">
        <v>2243</v>
      </c>
      <c r="L63" s="1750">
        <f ca="1">IF(M49&gt;10000,M49*0.5%,IF(AND(M49&gt;1000,M49&lt;=10000),M49*1%,IF(AND(M49&gt;100,M49&lt;=1000),M49*3%,IF(AND(M49&gt;10,M49&lt;=100),M49*5%,M49*8%))))</f>
        <v>18.39</v>
      </c>
      <c r="M63" s="23">
        <f ca="1">ROUND(L63,1)</f>
        <v>18.399999999999999</v>
      </c>
      <c r="Z63" s="2425"/>
      <c r="AI63" s="2426"/>
    </row>
    <row r="64" spans="1:35" ht="14.25" customHeight="1">
      <c r="A64" s="196" t="s">
        <v>770</v>
      </c>
      <c r="B64" s="197" t="s">
        <v>2244</v>
      </c>
      <c r="C64" s="198">
        <f ca="1">D45</f>
        <v>613</v>
      </c>
      <c r="D64" s="199" t="s">
        <v>32</v>
      </c>
      <c r="E64" s="200"/>
      <c r="F64" s="2491"/>
      <c r="G64" s="2491"/>
      <c r="H64" s="2499"/>
      <c r="I64" s="137"/>
      <c r="J64" s="3106"/>
      <c r="K64" s="2501" t="s">
        <v>2245</v>
      </c>
      <c r="L64" s="1750">
        <f ca="1">IF(M49&gt;2000,M49*0.5%,IF(AND(M49&gt;1000,M49&lt;=2000),M49*0.6%,IF(AND(M49&gt;500,M49&lt;=1000),M49*0.7%,IF(AND(M49&gt;200,M49&lt;=500),M49*0.8%,IF(AND(M49&gt;100,M49&lt;=200),M49*0.9%,IF(AND(M49&gt;50,M49&lt;=100),M49*1%,IF(AND(M49&gt;20,M49&lt;=50),M49*1.5%,IF(AND(M49&gt;10,M49&lt;=20),M49*2%,IF(AND(M49&gt;1,M49&lt;=10),M49*2.5%)))))))))</f>
        <v>4.2909999999999995</v>
      </c>
      <c r="M64" s="23">
        <f t="shared" ref="M64:M65" ca="1" si="1">ROUND(L64,1)</f>
        <v>4.3</v>
      </c>
      <c r="N64" s="137" t="s">
        <v>2246</v>
      </c>
      <c r="Z64" s="2425"/>
      <c r="AI64" s="2426"/>
    </row>
    <row r="65" spans="1:35" ht="14.25" customHeight="1">
      <c r="A65" s="196" t="s">
        <v>771</v>
      </c>
      <c r="B65" s="197" t="s">
        <v>2247</v>
      </c>
      <c r="C65" s="201"/>
      <c r="D65" s="199"/>
      <c r="E65" s="200"/>
      <c r="F65" s="2491"/>
      <c r="G65" s="2491"/>
      <c r="H65" s="2499"/>
      <c r="I65" s="137"/>
      <c r="J65" s="3106"/>
      <c r="K65" s="2501" t="s">
        <v>2248</v>
      </c>
      <c r="L65" s="1750">
        <f ca="1">IF(M49&gt;1000,M49*0.1%,IF(AND(M49&gt;500,M49&lt;=1000),M49*0.5%,IF(AND(M49&gt;50,M49&lt;=500),M49*1%,IF(AND(M49&gt;1,M49&lt;=50),M49*1.5%))))</f>
        <v>3.0649999999999999</v>
      </c>
      <c r="M65" s="23">
        <f t="shared" ca="1" si="1"/>
        <v>3.1</v>
      </c>
      <c r="N65" s="137" t="s">
        <v>2246</v>
      </c>
      <c r="Z65" s="2425"/>
      <c r="AI65" s="2426"/>
    </row>
    <row r="66" spans="1:35" ht="14.25" customHeight="1">
      <c r="A66" s="202" t="s">
        <v>772</v>
      </c>
      <c r="B66" s="203" t="s">
        <v>2249</v>
      </c>
      <c r="C66" s="204"/>
      <c r="D66" s="205" t="s">
        <v>32</v>
      </c>
      <c r="E66" s="1774" t="s">
        <v>1369</v>
      </c>
      <c r="F66" s="2491"/>
      <c r="G66" s="2491"/>
      <c r="H66" s="2499"/>
      <c r="I66" s="137"/>
      <c r="J66" s="3106"/>
      <c r="K66" s="2501" t="s">
        <v>2250</v>
      </c>
      <c r="L66" s="1750">
        <f ca="1">M49*0.5%</f>
        <v>3.0649999999999999</v>
      </c>
      <c r="M66" s="23">
        <f ca="1">IF(L66&gt;0.5,0.5,ROUND(L66,0))</f>
        <v>0.5</v>
      </c>
      <c r="N66" s="137" t="s">
        <v>2251</v>
      </c>
      <c r="Z66" s="2425"/>
      <c r="AI66" s="2426"/>
    </row>
    <row r="67" spans="1:35" ht="14.25" customHeight="1">
      <c r="A67" s="202" t="s">
        <v>773</v>
      </c>
      <c r="B67" s="203" t="s">
        <v>2252</v>
      </c>
      <c r="C67" s="206">
        <f ca="1">C63-C66</f>
        <v>584</v>
      </c>
      <c r="D67" s="199" t="s">
        <v>32</v>
      </c>
      <c r="E67" s="200"/>
      <c r="F67" s="2491"/>
      <c r="G67" s="2491"/>
      <c r="H67" s="2499"/>
      <c r="I67" s="137"/>
      <c r="J67" s="3106"/>
      <c r="K67" s="2501" t="s">
        <v>2253</v>
      </c>
      <c r="L67" s="1750">
        <f ca="1">IF(M49&gt;=10000,(8.25+(M49-10000)*0.01%),IF(AND(M49&gt;=8000,M49&lt;10000),(7.85+(M49-8000)*0.02%),IF(AND(M49&gt;=5000,M49&lt;8000),(6.65+(M49-5000)*0.04%),IF(AND(M49&gt;=2000,M49&lt;5000),(4.25+(PM49-2000)*0.08%),IF(AND(M49&gt;=1000,M49&lt;2000),(2.75+(M49-1000)*0.15%),IF(AND(M49&gt;=100,M49&lt;1000),(0.5+(M49-100)*0.25%),IF(AND(M49&gt;0,M49&lt;100),M49*0.5%)))))))</f>
        <v>1.7825</v>
      </c>
      <c r="M67" s="23">
        <f ca="1">ROUND(L67*0.9,1)</f>
        <v>1.6</v>
      </c>
      <c r="Z67" s="2425"/>
      <c r="AI67" s="2426"/>
    </row>
    <row r="68" spans="1:35" ht="14.25" customHeight="1" thickBot="1">
      <c r="A68" s="207" t="s">
        <v>774</v>
      </c>
      <c r="B68" s="208" t="s">
        <v>2254</v>
      </c>
      <c r="C68" s="209">
        <f ca="1">IF(C67&lt;=0,0,ROUND(C67*D68,0))</f>
        <v>33</v>
      </c>
      <c r="D68" s="210">
        <f>'数据-取费表'!B41</f>
        <v>5.6000000000000001E-2</v>
      </c>
      <c r="E68" s="211"/>
      <c r="F68" s="2491"/>
      <c r="G68" s="2491"/>
      <c r="H68" s="2499"/>
      <c r="I68" s="137"/>
      <c r="J68" s="3106"/>
      <c r="K68" s="2501" t="s">
        <v>2255</v>
      </c>
      <c r="L68" s="1750">
        <f ca="1">IF(M49&gt;10000,M49*0.5%,IF(AND(M49&gt;5000,M49&lt;=10000),M49*1%,IF(AND(M49&gt;1000,M49&lt;=5000),M49*2%,IF(AND(M49&gt;200,M49&lt;=1000),M49*3%,M49*5%))))</f>
        <v>18.39</v>
      </c>
      <c r="M68" s="23">
        <f ca="1">ROUND(L68,1)</f>
        <v>18.399999999999999</v>
      </c>
      <c r="Z68" s="2425"/>
      <c r="AI68" s="2426"/>
    </row>
    <row r="69" spans="1:35" s="2448" customFormat="1" ht="16.5" customHeight="1">
      <c r="A69" s="2502"/>
      <c r="B69" s="2503"/>
      <c r="C69" s="2504"/>
      <c r="D69" s="2505"/>
      <c r="E69" s="2506"/>
      <c r="F69" s="2167"/>
      <c r="G69" s="2167"/>
      <c r="H69" s="2166"/>
      <c r="I69" s="2420"/>
      <c r="J69" s="3106"/>
      <c r="K69" s="2501" t="s">
        <v>2256</v>
      </c>
      <c r="L69" s="2507"/>
      <c r="M69" s="23">
        <f ca="1">ROUND(SUM(M63:M68),0)</f>
        <v>46</v>
      </c>
      <c r="N69" s="1751">
        <f ca="1">M69/M49</f>
        <v>7.5040783034257749E-2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50" t="s">
        <v>2257</v>
      </c>
      <c r="B70" s="3151"/>
      <c r="C70" s="3151"/>
      <c r="D70" s="3151"/>
      <c r="E70" s="3151"/>
      <c r="F70" s="3151"/>
      <c r="G70" s="3151"/>
      <c r="H70" s="315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1" t="s">
        <v>2238</v>
      </c>
      <c r="B71" s="3142"/>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584</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47" t="s">
        <v>2266</v>
      </c>
      <c r="F76" s="3146"/>
      <c r="G76" s="3146"/>
      <c r="H76" s="314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38" t="s">
        <v>2271</v>
      </c>
      <c r="F78" s="3139"/>
      <c r="G78" s="3139"/>
      <c r="H78" s="314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580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0" t="s">
        <v>2275</v>
      </c>
      <c r="B83" s="3151"/>
      <c r="C83" s="3151"/>
      <c r="D83" s="3151"/>
      <c r="E83" s="3151"/>
      <c r="F83" s="3151"/>
      <c r="G83" s="3151"/>
      <c r="H83" s="315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1" t="s">
        <v>2238</v>
      </c>
      <c r="B84" s="3142"/>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584</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38" t="s">
        <v>2284</v>
      </c>
      <c r="F91" s="3139"/>
      <c r="G91" s="3139"/>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38" t="s">
        <v>2288</v>
      </c>
      <c r="F92" s="3139"/>
      <c r="G92" s="3139"/>
      <c r="H92" s="314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38" t="s">
        <v>2271</v>
      </c>
      <c r="F93" s="3139"/>
      <c r="G93" s="3139"/>
      <c r="H93" s="314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86" t="s">
        <v>2292</v>
      </c>
      <c r="F94" s="3187"/>
      <c r="G94" s="3187"/>
      <c r="H94" s="318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580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22"/>
      <c r="E100" s="3091" t="s">
        <v>2295</v>
      </c>
      <c r="F100" s="3091"/>
      <c r="G100" s="3091"/>
      <c r="H100" s="3122"/>
      <c r="I100" s="137"/>
    </row>
    <row r="101" spans="1:35" ht="18.75" customHeight="1">
      <c r="A101" s="3130" t="s">
        <v>2296</v>
      </c>
      <c r="B101" s="3131"/>
      <c r="C101" s="735" t="str">
        <f>C4</f>
        <v>比较法-办公</v>
      </c>
      <c r="D101" s="736" t="str">
        <f>D4</f>
        <v>收益法 (元)-办公</v>
      </c>
      <c r="E101" s="3102" t="s">
        <v>2297</v>
      </c>
      <c r="F101" s="3103"/>
      <c r="G101" s="2522" t="s">
        <v>2298</v>
      </c>
      <c r="H101" s="1047">
        <f ca="1">H118</f>
        <v>613</v>
      </c>
      <c r="I101" s="137"/>
    </row>
    <row r="102" spans="1:35" ht="18.75" customHeight="1">
      <c r="A102" s="3132" t="s">
        <v>2299</v>
      </c>
      <c r="B102" s="2522" t="s">
        <v>2298</v>
      </c>
      <c r="C102" s="735">
        <f ca="1">C19</f>
        <v>691</v>
      </c>
      <c r="D102" s="736">
        <f ca="1">D19</f>
        <v>534</v>
      </c>
      <c r="E102" s="3102"/>
      <c r="F102" s="3103"/>
      <c r="G102" s="2522" t="s">
        <v>2300</v>
      </c>
      <c r="H102" s="370">
        <f ca="1">I118</f>
        <v>29441</v>
      </c>
      <c r="I102" s="137"/>
    </row>
    <row r="103" spans="1:35" ht="42.75" customHeight="1">
      <c r="A103" s="3132"/>
      <c r="B103" s="2522" t="s">
        <v>2300</v>
      </c>
      <c r="C103" s="737">
        <f ca="1">C20</f>
        <v>33207</v>
      </c>
      <c r="D103" s="738">
        <f ca="1">D20</f>
        <v>25627</v>
      </c>
      <c r="E103" s="3096" t="s">
        <v>2301</v>
      </c>
      <c r="F103" s="3097"/>
      <c r="G103" s="2523" t="s">
        <v>2302</v>
      </c>
      <c r="H103" s="1047">
        <f>IF(D36="正常操作",H104+H105+H106,H105+H106)</f>
        <v>0</v>
      </c>
      <c r="I103" s="137"/>
    </row>
    <row r="104" spans="1:35" ht="18.75" customHeight="1">
      <c r="A104" s="3132" t="s">
        <v>2303</v>
      </c>
      <c r="B104" s="2524" t="s">
        <v>2298</v>
      </c>
      <c r="C104" s="739">
        <f ca="1">H118</f>
        <v>613</v>
      </c>
      <c r="D104" s="740"/>
      <c r="E104" s="2268" t="s">
        <v>2304</v>
      </c>
      <c r="F104" s="2259"/>
      <c r="G104" s="2523" t="s">
        <v>2302</v>
      </c>
      <c r="H104" s="1048">
        <f>IF(D36="同一抵押权人同一抵押物续贷",C36&amp;"（未扣减，详见特别提示）",C36)</f>
        <v>0</v>
      </c>
      <c r="I104" s="137"/>
    </row>
    <row r="105" spans="1:35" ht="18.75" customHeight="1" thickBot="1">
      <c r="A105" s="3144"/>
      <c r="B105" s="2525" t="s">
        <v>2300</v>
      </c>
      <c r="C105" s="741">
        <f ca="1">I118</f>
        <v>29441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3" t="str">
        <f>IF(项目基本情况!E8="已注销","——","3.房地产抵押价值")</f>
        <v>3.房地产抵押价值</v>
      </c>
      <c r="F107" s="3103"/>
      <c r="G107" s="2522" t="s">
        <v>2298</v>
      </c>
      <c r="H107" s="1047">
        <f ca="1">IF(E107="——","——",H101-H103)</f>
        <v>613</v>
      </c>
      <c r="I107" s="137"/>
    </row>
    <row r="108" spans="1:35" ht="18.75" customHeight="1">
      <c r="A108" s="137"/>
      <c r="B108" s="137"/>
      <c r="C108" s="137"/>
      <c r="D108" s="137"/>
      <c r="E108" s="3133"/>
      <c r="F108" s="3103"/>
      <c r="G108" s="2522" t="s">
        <v>2300</v>
      </c>
      <c r="H108" s="370">
        <f ca="1">ROUND(H107*10000/'数据-汇总表'!E3,0)</f>
        <v>22661</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03"/>
      <c r="G109" s="2522" t="s">
        <v>2298</v>
      </c>
      <c r="H109" s="347" t="str">
        <f>IF(E109="——","——",H101-H105-H106)</f>
        <v>——</v>
      </c>
      <c r="I109" s="137"/>
    </row>
    <row r="110" spans="1:35" ht="18.75" customHeight="1">
      <c r="A110" s="137"/>
      <c r="B110" s="137"/>
      <c r="C110" s="137"/>
      <c r="D110" s="137"/>
      <c r="E110" s="3133"/>
      <c r="F110" s="3103"/>
      <c r="G110" s="2522" t="s">
        <v>2300</v>
      </c>
      <c r="H110" s="370" t="str">
        <f>IF(H109="——","——",ROUND(H109*10000/'数据-汇总表'!E3,0))</f>
        <v>——</v>
      </c>
      <c r="I110" s="137"/>
    </row>
    <row r="111" spans="1:35" ht="18.75" customHeight="1">
      <c r="A111" s="137"/>
      <c r="B111" s="137"/>
      <c r="C111" s="137"/>
      <c r="D111" s="137"/>
      <c r="E111" s="3134" t="str">
        <f>IF(项目基本情况!E9="抵押净值",IF(OR(项目基本情况!E8="已注销",项目基本情况!E8="房地产抵押价值"),"4.抵押净值","5.抵押净值"),"——")</f>
        <v>——</v>
      </c>
      <c r="F111" s="3135"/>
      <c r="G111" s="2522" t="s">
        <v>2298</v>
      </c>
      <c r="H111" s="1047" t="str">
        <f>IF(E111="——","——",N59)</f>
        <v>——</v>
      </c>
      <c r="I111" s="137"/>
    </row>
    <row r="112" spans="1:35" ht="18.75" customHeight="1" thickBot="1">
      <c r="A112" s="137"/>
      <c r="B112" s="137"/>
      <c r="C112" s="137"/>
      <c r="D112" s="137"/>
      <c r="E112" s="3136"/>
      <c r="F112" s="3137"/>
      <c r="G112" s="2527" t="s">
        <v>2300</v>
      </c>
      <c r="H112" s="789" t="str">
        <f>IF(E111="——","——",N61)</f>
        <v>——</v>
      </c>
      <c r="I112" s="137"/>
    </row>
    <row r="113" spans="1:11" ht="18.75" customHeight="1">
      <c r="A113" s="137"/>
      <c r="B113" s="137"/>
      <c r="C113" s="137"/>
      <c r="D113" s="137"/>
      <c r="E113" s="3145" t="s">
        <v>2306</v>
      </c>
      <c r="F113" s="3145"/>
      <c r="G113" s="3145"/>
      <c r="H113" s="3145"/>
      <c r="I113" s="137"/>
    </row>
    <row r="114" spans="1:11" ht="3.75" customHeight="1">
      <c r="A114" s="2420"/>
      <c r="B114" s="2420"/>
      <c r="C114" s="2420"/>
      <c r="D114" s="2420"/>
      <c r="E114" s="2498"/>
      <c r="F114" s="2498"/>
      <c r="G114" s="2498"/>
      <c r="H114" s="2498"/>
      <c r="I114" s="2420"/>
    </row>
    <row r="115" spans="1:11" ht="18.75" customHeight="1">
      <c r="A115" s="3158" t="s">
        <v>2308</v>
      </c>
      <c r="B115" s="3159"/>
      <c r="C115" s="3159"/>
      <c r="D115" s="3159"/>
      <c r="E115" s="3159"/>
      <c r="F115" s="3159"/>
      <c r="G115" s="3159"/>
      <c r="H115" s="3159"/>
      <c r="I115" s="3160"/>
    </row>
    <row r="116" spans="1:11" ht="27" customHeight="1">
      <c r="A116" s="3069" t="s">
        <v>2309</v>
      </c>
      <c r="B116" s="3112" t="s">
        <v>2310</v>
      </c>
      <c r="C116" s="3112" t="s">
        <v>2311</v>
      </c>
      <c r="D116" s="3118" t="s">
        <v>2312</v>
      </c>
      <c r="E116" s="3119"/>
      <c r="F116" s="3154" t="s">
        <v>2313</v>
      </c>
      <c r="G116" s="3154"/>
      <c r="H116" s="3069" t="s">
        <v>2314</v>
      </c>
      <c r="I116" s="3069"/>
    </row>
    <row r="117" spans="1:11" ht="18.75" customHeight="1">
      <c r="A117" s="3069"/>
      <c r="B117" s="3113"/>
      <c r="C117" s="3113"/>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613</v>
      </c>
      <c r="I118" s="1796">
        <f ca="1">ROUND(IF(D32="楼面单价",C32,H118*10000/B118),0)</f>
        <v>29441</v>
      </c>
    </row>
    <row r="119" spans="1:11" ht="18.75" customHeight="1">
      <c r="A119" s="3069" t="s">
        <v>2318</v>
      </c>
      <c r="B119" s="3069"/>
      <c r="C119" s="3069"/>
      <c r="D119" s="3114" t="e">
        <f ca="1">NUMBERSTRING(INT(D118*10000),2)&amp;"元整"</f>
        <v>#REF!</v>
      </c>
      <c r="E119" s="3115"/>
      <c r="F119" s="3114" t="e">
        <f ca="1">NUMBERSTRING(INT(F118*10000),2)&amp;"元整"</f>
        <v>#REF!</v>
      </c>
      <c r="G119" s="3115"/>
      <c r="H119" s="3114" t="str">
        <f ca="1">NUMBERSTRING(INT(H118*10000),2)&amp;"元整"</f>
        <v>陆佰壹拾叁万元整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5" t="str">
        <f>IF(D120=0,"故，本次评估不存在"&amp;A120,"故，本次评估"&amp;A120&amp;"为人民币"&amp;D120&amp;"万元整。")</f>
        <v>故，本次评估不存在估价师知悉的法定优先受偿款</v>
      </c>
    </row>
    <row r="121" spans="1:11" ht="18.75" customHeight="1">
      <c r="A121" s="3155" t="s">
        <v>2318</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613</v>
      </c>
      <c r="E122" s="3110"/>
      <c r="F122" s="3110"/>
      <c r="G122" s="3110"/>
      <c r="H122" s="3110"/>
      <c r="I122" s="3111"/>
    </row>
    <row r="123" spans="1:11" ht="18.75" customHeight="1">
      <c r="A123" s="3069" t="s">
        <v>2318</v>
      </c>
      <c r="B123" s="3069"/>
      <c r="C123" s="3069"/>
      <c r="D123" s="3114" t="str">
        <f ca="1">NUMBERSTRING(INT(D122*10000),2)&amp;"元整"</f>
        <v>陆佰壹拾叁万元整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2318</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2318</v>
      </c>
      <c r="B127" s="3069"/>
      <c r="C127" s="3069"/>
      <c r="D127" s="3114" t="e">
        <f>NUMBERSTRING(INT(D126*10000),2)&amp;"元整"</f>
        <v>#VALUE!</v>
      </c>
      <c r="E127" s="3116"/>
      <c r="F127" s="3116"/>
      <c r="G127" s="3116"/>
      <c r="H127" s="3116"/>
      <c r="I127" s="3115"/>
    </row>
    <row r="128" spans="1:11" ht="21.75" customHeight="1">
      <c r="A128" s="3117" t="s">
        <v>2319</v>
      </c>
      <c r="B128" s="3117"/>
      <c r="C128" s="3117"/>
      <c r="D128" s="3117"/>
      <c r="E128" s="3117"/>
      <c r="F128" s="3117"/>
      <c r="G128" s="3117"/>
      <c r="H128" s="3117"/>
      <c r="I128" s="311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99</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3660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2</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v>
      </c>
      <c r="D42" s="281"/>
      <c r="E42" s="281"/>
      <c r="F42" s="282"/>
      <c r="G42" s="3189" t="s">
        <v>2410</v>
      </c>
    </row>
    <row r="43" spans="1:7" ht="13.5" customHeight="1">
      <c r="A43" s="953" t="s">
        <v>792</v>
      </c>
      <c r="B43" s="258" t="s">
        <v>2411</v>
      </c>
      <c r="C43" s="281">
        <f ca="1">ROUND(IF('数据-取费表'!B22&lt;=1,C39*F22*'数据-取费表'!B21/2,C39*(POWER((1+F22),'数据-取费表'!B21/2)-1)),0)</f>
        <v>0</v>
      </c>
      <c r="D43" s="281"/>
      <c r="E43" s="281"/>
      <c r="F43" s="282"/>
      <c r="G43" s="3190"/>
    </row>
    <row r="44" spans="1:7" ht="13.5" customHeight="1">
      <c r="A44" s="953" t="s">
        <v>793</v>
      </c>
      <c r="B44" s="258" t="s">
        <v>2412</v>
      </c>
      <c r="C44" s="281">
        <f ca="1">ROUND(IF('数据-取费表'!B22&lt;=1,C40*F22*'数据-取费表'!B21/2,C40*(POWER((1+F22),'数据-取费表'!B21/2)-1)),4)</f>
        <v>1.1000000000000001E-3</v>
      </c>
      <c r="D44" s="281"/>
      <c r="E44" s="281"/>
      <c r="F44" s="282"/>
      <c r="G44" s="3191"/>
    </row>
    <row r="45" spans="1:7" s="257" customFormat="1" ht="13.5" customHeight="1">
      <c r="A45" s="298" t="s">
        <v>2413</v>
      </c>
      <c r="B45" s="287" t="s">
        <v>2379</v>
      </c>
      <c r="C45" s="288">
        <f ca="1">C46</f>
        <v>11</v>
      </c>
      <c r="D45" s="278">
        <f ca="1">C47</f>
        <v>3.5999999999999999E-3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120</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92</v>
      </c>
      <c r="D51" s="275"/>
      <c r="E51" s="275"/>
      <c r="F51" s="307"/>
      <c r="G51" s="277" t="s">
        <v>2426</v>
      </c>
    </row>
    <row r="52" spans="1:7" s="251" customFormat="1" ht="16.5" thickBot="1">
      <c r="A52" s="308" t="s">
        <v>2427</v>
      </c>
      <c r="B52" s="309"/>
      <c r="C52" s="310">
        <f ca="1">C31+C51</f>
        <v>99</v>
      </c>
      <c r="D52" s="309"/>
      <c r="E52" s="309"/>
      <c r="F52" s="309"/>
      <c r="G52" s="311"/>
    </row>
    <row r="55" spans="1:7" ht="15">
      <c r="B55" s="313" t="s">
        <v>2428</v>
      </c>
      <c r="C55" s="314"/>
    </row>
    <row r="56" spans="1:7">
      <c r="B56" s="316" t="s">
        <v>1511</v>
      </c>
      <c r="C56" s="318">
        <f ca="1">1-C57</f>
        <v>7.0999999999999952E-2</v>
      </c>
    </row>
    <row r="57" spans="1:7">
      <c r="B57" s="316" t="s">
        <v>1512</v>
      </c>
      <c r="C57" s="317">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116</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4288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3408</v>
      </c>
      <c r="D20" s="275"/>
      <c r="E20" s="275"/>
      <c r="F20" s="276">
        <f>'数据-取费表'!B37</f>
        <v>0.02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12406</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2">
        <f ca="1">ROUND(IF('数据-取费表'!B22&lt;=1,C5*F22*'数据-取费表'!B22,C5*(POWER((1+F22),'数据-取费表'!B22)-1)),0)</f>
        <v>8385</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3900</v>
      </c>
      <c r="D24" s="281"/>
      <c r="E24" s="281"/>
      <c r="F24" s="282"/>
      <c r="G24" s="283" t="s">
        <v>2452</v>
      </c>
    </row>
    <row r="25" spans="1:7" s="257" customFormat="1" ht="24">
      <c r="A25" s="953" t="s">
        <v>2342</v>
      </c>
      <c r="B25" s="258" t="s">
        <v>2453</v>
      </c>
      <c r="C25" s="1382">
        <f ca="1">ROUND(IF('数据-取费表'!B22&lt;=1,C20*F22*'数据-取费表'!B22/2,C20*(POWER((1+F22),'数据-取费表'!B22/2)-1)),0)</f>
        <v>121</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20859</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ROUND((C5+C19+C20)*F27,0)</f>
        <v>20859</v>
      </c>
      <c r="D28" s="278"/>
      <c r="E28" s="279"/>
      <c r="F28" s="289"/>
      <c r="G28" s="290"/>
    </row>
    <row r="29" spans="1:7" s="257" customFormat="1" ht="13.5" customHeight="1">
      <c r="A29" s="953"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227077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936191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828252</v>
      </c>
      <c r="D34" s="260"/>
      <c r="E34" s="263"/>
      <c r="F34" s="300"/>
      <c r="G34" s="262"/>
    </row>
    <row r="35" spans="1:7" ht="13.5" customHeight="1">
      <c r="A35" s="953" t="s">
        <v>796</v>
      </c>
      <c r="B35" s="258" t="s">
        <v>2393</v>
      </c>
      <c r="C35" s="263">
        <f ca="1">ROUND(C34*F35,0)</f>
        <v>41413</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12424</v>
      </c>
      <c r="D38" s="263"/>
      <c r="E38" s="263"/>
      <c r="F38" s="302">
        <f>'数据-取费表'!B36</f>
        <v>1.4999999999999999E-2</v>
      </c>
      <c r="G38" s="262" t="s">
        <v>2394</v>
      </c>
    </row>
    <row r="39" spans="1:7" s="257" customFormat="1" ht="13.5" customHeight="1">
      <c r="A39" s="298" t="s">
        <v>2400</v>
      </c>
      <c r="B39" s="253" t="s">
        <v>2401</v>
      </c>
      <c r="C39" s="275">
        <f ca="1">ROUND(C33*F20,0)</f>
        <v>18724</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33821</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33158</v>
      </c>
      <c r="D42" s="281"/>
      <c r="E42" s="281"/>
      <c r="F42" s="282"/>
      <c r="G42" s="3189" t="s">
        <v>2457</v>
      </c>
    </row>
    <row r="43" spans="1:7" ht="13.5" customHeight="1">
      <c r="A43" s="953" t="s">
        <v>792</v>
      </c>
      <c r="B43" s="258" t="s">
        <v>2411</v>
      </c>
      <c r="C43" s="281">
        <f ca="1">ROUND(IF('数据-取费表'!B22&lt;=1,C39*F22*'数据-取费表'!B20/2,C39*(POWER((1+F22),'数据-取费表'!B20/2)-1)),0)</f>
        <v>663</v>
      </c>
      <c r="D43" s="281"/>
      <c r="E43" s="281"/>
      <c r="F43" s="282"/>
      <c r="G43" s="3190"/>
    </row>
    <row r="44" spans="1:7" ht="13.5" customHeight="1">
      <c r="A44" s="953" t="s">
        <v>793</v>
      </c>
      <c r="B44" s="258" t="s">
        <v>2412</v>
      </c>
      <c r="C44" s="281">
        <f ca="1">ROUND(IF('数据-取费表'!B22&lt;=1,C40*F22*'数据-取费表'!B20/2,C40*(POWER((1+F22),'数据-取费表'!B20/2)-1)),4)</f>
        <v>1.1000000000000001E-3</v>
      </c>
      <c r="D44" s="281"/>
      <c r="E44" s="281"/>
      <c r="F44" s="282"/>
      <c r="G44" s="3191"/>
    </row>
    <row r="45" spans="1:7" s="257" customFormat="1" ht="13.5" customHeight="1">
      <c r="A45" s="298" t="s">
        <v>2413</v>
      </c>
      <c r="B45" s="287" t="s">
        <v>2379</v>
      </c>
      <c r="C45" s="288">
        <f ca="1">C46</f>
        <v>114590</v>
      </c>
      <c r="D45" s="278">
        <f ca="1">C47</f>
        <v>3.5999999999999999E-3</v>
      </c>
      <c r="E45" s="279" t="s">
        <v>2405</v>
      </c>
      <c r="F45" s="289"/>
      <c r="G45" s="290" t="s">
        <v>2414</v>
      </c>
    </row>
    <row r="46" spans="1:7" s="257" customFormat="1" ht="13.5" customHeight="1">
      <c r="A46" s="953" t="s">
        <v>791</v>
      </c>
      <c r="B46" s="291" t="s">
        <v>2415</v>
      </c>
      <c r="C46" s="292">
        <f ca="1">ROUND((C33+C39)*F27,0)</f>
        <v>114590</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1209787</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931536</v>
      </c>
      <c r="D51" s="275"/>
      <c r="E51" s="275"/>
      <c r="F51" s="307"/>
      <c r="G51" s="277" t="s">
        <v>2426</v>
      </c>
    </row>
    <row r="52" spans="1:7" s="251" customFormat="1" ht="16.5" thickBot="1">
      <c r="A52" s="308" t="s">
        <v>2427</v>
      </c>
      <c r="B52" s="309"/>
      <c r="C52" s="310">
        <f ca="1">C31+C51</f>
        <v>1158613</v>
      </c>
      <c r="D52" s="309"/>
      <c r="E52" s="309"/>
      <c r="F52" s="309"/>
      <c r="G52" s="311"/>
    </row>
    <row r="55" spans="1:7" ht="15">
      <c r="B55" s="313" t="s">
        <v>2428</v>
      </c>
      <c r="C55" s="314"/>
    </row>
    <row r="56" spans="1:7">
      <c r="B56" s="316" t="s">
        <v>1511</v>
      </c>
      <c r="C56" s="318">
        <f ca="1">1-C57</f>
        <v>0.19599999999999995</v>
      </c>
    </row>
    <row r="57" spans="1:7">
      <c r="B57" s="316" t="s">
        <v>1512</v>
      </c>
      <c r="C57" s="317">
        <f ca="1">ROUND(C51/C52,3)</f>
        <v>0.80400000000000005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691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33207</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17" t="s">
        <v>2652</v>
      </c>
      <c r="Q4" s="3218"/>
      <c r="R4" s="3197" t="s">
        <v>2648</v>
      </c>
      <c r="S4" s="3198"/>
      <c r="T4" s="3197" t="s">
        <v>2649</v>
      </c>
      <c r="U4" s="3198"/>
      <c r="V4" s="3225" t="s">
        <v>2650</v>
      </c>
      <c r="W4" s="3225"/>
      <c r="X4" s="2674"/>
      <c r="Y4" s="3197" t="s">
        <v>2652</v>
      </c>
      <c r="Z4" s="3198"/>
      <c r="AA4" s="3192" t="s">
        <v>2648</v>
      </c>
      <c r="AB4" s="3192" t="s">
        <v>2649</v>
      </c>
      <c r="AC4" s="3210" t="s">
        <v>2650</v>
      </c>
    </row>
    <row r="5" spans="1:29" ht="15">
      <c r="A5" s="403"/>
      <c r="B5" s="404"/>
      <c r="C5" s="3203" t="s">
        <v>2543</v>
      </c>
      <c r="D5" s="3204"/>
      <c r="E5" s="3201" t="s">
        <v>3087</v>
      </c>
      <c r="F5" s="3202"/>
      <c r="G5" s="3201" t="s">
        <v>3087</v>
      </c>
      <c r="H5" s="3202"/>
      <c r="I5" s="3201" t="s">
        <v>3087</v>
      </c>
      <c r="J5" s="3202"/>
      <c r="K5" s="609"/>
      <c r="L5" s="1132"/>
      <c r="M5" s="1133"/>
      <c r="N5" s="1133"/>
      <c r="O5" s="1133"/>
      <c r="P5" s="3219"/>
      <c r="Q5" s="3220"/>
      <c r="R5" s="3199"/>
      <c r="S5" s="3200"/>
      <c r="T5" s="3199"/>
      <c r="U5" s="3200"/>
      <c r="V5" s="3226"/>
      <c r="W5" s="3226"/>
      <c r="X5" s="1814"/>
      <c r="Y5" s="3199"/>
      <c r="Z5" s="3200"/>
      <c r="AA5" s="3193"/>
      <c r="AB5" s="3193"/>
      <c r="AC5" s="3211"/>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21"/>
      <c r="Q6" s="3222"/>
      <c r="R6" s="3199"/>
      <c r="S6" s="3200"/>
      <c r="T6" s="3223"/>
      <c r="U6" s="3224"/>
      <c r="V6" s="3226"/>
      <c r="W6" s="3226"/>
      <c r="X6" s="1814"/>
      <c r="Y6" s="3223"/>
      <c r="Z6" s="3224"/>
      <c r="AA6" s="3194"/>
      <c r="AB6" s="3194"/>
      <c r="AC6" s="3212"/>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27" t="s">
        <v>2550</v>
      </c>
      <c r="Q7" s="3228"/>
      <c r="R7" s="769" t="s">
        <v>17</v>
      </c>
      <c r="S7" s="770">
        <f t="shared" ref="S7:S15" si="0">F7</f>
        <v>100</v>
      </c>
      <c r="T7" s="769" t="s">
        <v>17</v>
      </c>
      <c r="U7" s="770">
        <f t="shared" ref="U7:U15" si="1">H7</f>
        <v>100</v>
      </c>
      <c r="V7" s="769" t="s">
        <v>17</v>
      </c>
      <c r="W7" s="770">
        <f t="shared" ref="W7:W15" si="2">J7</f>
        <v>100</v>
      </c>
      <c r="X7" s="771"/>
      <c r="Y7" s="3195" t="s">
        <v>2550</v>
      </c>
      <c r="Z7" s="3196"/>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27" t="s">
        <v>2553</v>
      </c>
      <c r="Q8" s="3196"/>
      <c r="R8" s="769" t="s">
        <v>17</v>
      </c>
      <c r="S8" s="770">
        <f t="shared" si="0"/>
        <v>100</v>
      </c>
      <c r="T8" s="769" t="s">
        <v>17</v>
      </c>
      <c r="U8" s="770">
        <f t="shared" si="1"/>
        <v>100</v>
      </c>
      <c r="V8" s="769" t="s">
        <v>17</v>
      </c>
      <c r="W8" s="770">
        <f t="shared" si="2"/>
        <v>100</v>
      </c>
      <c r="X8" s="771"/>
      <c r="Y8" s="3195" t="s">
        <v>2553</v>
      </c>
      <c r="Z8" s="3196"/>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209"/>
      <c r="Q11" s="1796" t="str">
        <f t="shared" si="6"/>
        <v>容积率</v>
      </c>
      <c r="R11" s="769" t="s">
        <v>17</v>
      </c>
      <c r="S11" s="770">
        <f t="shared" si="0"/>
        <v>100</v>
      </c>
      <c r="T11" s="769" t="s">
        <v>17</v>
      </c>
      <c r="U11" s="770">
        <f t="shared" si="1"/>
        <v>100</v>
      </c>
      <c r="V11" s="769" t="s">
        <v>17</v>
      </c>
      <c r="W11" s="770">
        <f t="shared" si="2"/>
        <v>100</v>
      </c>
      <c r="X11" s="771"/>
      <c r="Y11" s="3069"/>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9"/>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9"/>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9"/>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229" t="s">
        <v>2561</v>
      </c>
      <c r="Q15" s="1811" t="str">
        <f t="shared" si="6"/>
        <v>办公集聚程度</v>
      </c>
      <c r="R15" s="773" t="s">
        <v>17</v>
      </c>
      <c r="S15" s="774">
        <f t="shared" si="0"/>
        <v>100</v>
      </c>
      <c r="T15" s="773" t="s">
        <v>17</v>
      </c>
      <c r="U15" s="774">
        <f t="shared" si="1"/>
        <v>100</v>
      </c>
      <c r="V15" s="773" t="s">
        <v>17</v>
      </c>
      <c r="W15" s="774">
        <f t="shared" si="2"/>
        <v>100</v>
      </c>
      <c r="X15" s="1814"/>
      <c r="Y15" s="3231"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30"/>
      <c r="Q16" s="1811"/>
      <c r="R16" s="773"/>
      <c r="S16" s="774"/>
      <c r="T16" s="773"/>
      <c r="U16" s="774"/>
      <c r="V16" s="773"/>
      <c r="W16" s="774"/>
      <c r="X16" s="1814"/>
      <c r="Y16" s="3232"/>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30"/>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30"/>
      <c r="Q18" s="1811"/>
      <c r="R18" s="773"/>
      <c r="S18" s="774"/>
      <c r="T18" s="773"/>
      <c r="U18" s="774"/>
      <c r="V18" s="773"/>
      <c r="W18" s="774"/>
      <c r="X18" s="1814"/>
      <c r="Y18" s="3232"/>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30"/>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30"/>
      <c r="Q20" s="1811"/>
      <c r="R20" s="773"/>
      <c r="S20" s="774"/>
      <c r="T20" s="773"/>
      <c r="U20" s="774"/>
      <c r="V20" s="773"/>
      <c r="W20" s="774"/>
      <c r="X20" s="1814"/>
      <c r="Y20" s="3232"/>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30"/>
      <c r="Q22" s="1811"/>
      <c r="R22" s="773"/>
      <c r="S22" s="774"/>
      <c r="T22" s="773"/>
      <c r="U22" s="774"/>
      <c r="V22" s="773"/>
      <c r="W22" s="774"/>
      <c r="X22" s="1814"/>
      <c r="Y22" s="3232"/>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30"/>
      <c r="Q23" s="1811" t="str">
        <f>B23</f>
        <v>环境质量</v>
      </c>
      <c r="R23" s="773" t="s">
        <v>17</v>
      </c>
      <c r="S23" s="774">
        <f>F23</f>
        <v>100</v>
      </c>
      <c r="T23" s="773" t="s">
        <v>17</v>
      </c>
      <c r="U23" s="774">
        <f>H23</f>
        <v>100</v>
      </c>
      <c r="V23" s="773" t="s">
        <v>17</v>
      </c>
      <c r="W23" s="774">
        <f>J23</f>
        <v>100</v>
      </c>
      <c r="X23" s="1814"/>
      <c r="Y23" s="3232"/>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30"/>
      <c r="Q24" s="1811"/>
      <c r="R24" s="773"/>
      <c r="S24" s="774"/>
      <c r="T24" s="773"/>
      <c r="U24" s="774"/>
      <c r="V24" s="773"/>
      <c r="W24" s="774"/>
      <c r="X24" s="1814"/>
      <c r="Y24" s="3232"/>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232"/>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30"/>
      <c r="Q26" s="1811"/>
      <c r="R26" s="773"/>
      <c r="S26" s="774"/>
      <c r="T26" s="773"/>
      <c r="U26" s="774"/>
      <c r="V26" s="773"/>
      <c r="W26" s="774"/>
      <c r="X26" s="1814"/>
      <c r="Y26" s="3232"/>
      <c r="Z26" s="1815"/>
      <c r="AA26" s="1812">
        <v>1</v>
      </c>
      <c r="AB26" s="1812">
        <v>1</v>
      </c>
      <c r="AC26" s="2678">
        <v>1</v>
      </c>
    </row>
    <row r="27" spans="1:29" ht="15">
      <c r="A27" s="427"/>
      <c r="B27" s="631" t="s">
        <v>2660</v>
      </c>
      <c r="C27" s="633" t="s">
        <v>3079</v>
      </c>
      <c r="D27" s="434">
        <v>100</v>
      </c>
      <c r="E27" s="615" t="s">
        <v>3114</v>
      </c>
      <c r="F27" s="434">
        <f>SUMIF(89:89,E27,90:90)-SUMIF(89:89,C27,90:90)+100</f>
        <v>96</v>
      </c>
      <c r="G27" s="633" t="s">
        <v>3077</v>
      </c>
      <c r="H27" s="434">
        <f>SUMIF(89:89,G27,90:90)-SUMIF(89:89,C27,90:90)+100</f>
        <v>98</v>
      </c>
      <c r="I27" s="615" t="s">
        <v>3079</v>
      </c>
      <c r="J27" s="434">
        <f>SUMIF(89:89,I27,90:90)-SUMIF(89:89,C27,90:90)+100</f>
        <v>100</v>
      </c>
      <c r="K27" s="611">
        <v>2</v>
      </c>
      <c r="L27" s="1142"/>
      <c r="M27" s="1133"/>
      <c r="N27" s="1133"/>
      <c r="O27" s="1133"/>
      <c r="P27" s="3230"/>
      <c r="Q27" s="1811" t="str">
        <f t="shared" ref="Q27:Q47" si="11">B27</f>
        <v>楼层</v>
      </c>
      <c r="R27" s="773" t="s">
        <v>17</v>
      </c>
      <c r="S27" s="774">
        <f>F27</f>
        <v>96</v>
      </c>
      <c r="T27" s="773" t="s">
        <v>17</v>
      </c>
      <c r="U27" s="774">
        <f>H27</f>
        <v>98</v>
      </c>
      <c r="V27" s="773" t="s">
        <v>17</v>
      </c>
      <c r="W27" s="774">
        <f>J27</f>
        <v>100</v>
      </c>
      <c r="X27" s="1814"/>
      <c r="Y27" s="3232"/>
      <c r="Z27" s="1815" t="str">
        <f>Q27</f>
        <v>楼层</v>
      </c>
      <c r="AA27" s="1812">
        <f t="shared" si="3"/>
        <v>1.0416666666666667</v>
      </c>
      <c r="AB27" s="1812">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232"/>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232"/>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232"/>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232"/>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232"/>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33" t="s">
        <v>2566</v>
      </c>
      <c r="Q33" s="1811" t="str">
        <f t="shared" si="11"/>
        <v>建筑类型</v>
      </c>
      <c r="R33" s="773" t="s">
        <v>17</v>
      </c>
      <c r="S33" s="774">
        <f t="shared" si="12"/>
        <v>100</v>
      </c>
      <c r="T33" s="773" t="s">
        <v>17</v>
      </c>
      <c r="U33" s="774">
        <f t="shared" si="13"/>
        <v>100</v>
      </c>
      <c r="V33" s="773" t="s">
        <v>17</v>
      </c>
      <c r="W33" s="774">
        <f t="shared" si="14"/>
        <v>100</v>
      </c>
      <c r="X33" s="1814"/>
      <c r="Y33" s="3236"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34"/>
      <c r="Q34" s="775" t="str">
        <f t="shared" si="11"/>
        <v>项目建筑规模</v>
      </c>
      <c r="R34" s="776" t="s">
        <v>17</v>
      </c>
      <c r="S34" s="777">
        <f t="shared" si="12"/>
        <v>100</v>
      </c>
      <c r="T34" s="776" t="s">
        <v>17</v>
      </c>
      <c r="U34" s="777">
        <f t="shared" si="13"/>
        <v>100</v>
      </c>
      <c r="V34" s="776" t="s">
        <v>17</v>
      </c>
      <c r="W34" s="777">
        <f t="shared" si="14"/>
        <v>100</v>
      </c>
      <c r="X34" s="778"/>
      <c r="Y34" s="3236"/>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34"/>
      <c r="Q35" s="1811" t="str">
        <f t="shared" si="11"/>
        <v>建筑结构</v>
      </c>
      <c r="R35" s="773" t="s">
        <v>17</v>
      </c>
      <c r="S35" s="774">
        <f t="shared" si="12"/>
        <v>100</v>
      </c>
      <c r="T35" s="773" t="s">
        <v>17</v>
      </c>
      <c r="U35" s="774">
        <f t="shared" si="13"/>
        <v>100</v>
      </c>
      <c r="V35" s="773" t="s">
        <v>17</v>
      </c>
      <c r="W35" s="774">
        <f t="shared" si="14"/>
        <v>100</v>
      </c>
      <c r="X35" s="1814"/>
      <c r="Y35" s="3236"/>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34"/>
      <c r="Q36" s="1811" t="str">
        <f t="shared" si="11"/>
        <v>公共部分装修</v>
      </c>
      <c r="R36" s="773" t="s">
        <v>17</v>
      </c>
      <c r="S36" s="774">
        <f t="shared" si="12"/>
        <v>100</v>
      </c>
      <c r="T36" s="773" t="s">
        <v>17</v>
      </c>
      <c r="U36" s="774">
        <f t="shared" si="13"/>
        <v>100</v>
      </c>
      <c r="V36" s="773" t="s">
        <v>17</v>
      </c>
      <c r="W36" s="774">
        <f t="shared" si="14"/>
        <v>100</v>
      </c>
      <c r="X36" s="1814"/>
      <c r="Y36" s="3236"/>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34"/>
      <c r="Q37" s="1811" t="str">
        <f t="shared" si="11"/>
        <v>成新度</v>
      </c>
      <c r="R37" s="773" t="s">
        <v>17</v>
      </c>
      <c r="S37" s="774">
        <f t="shared" si="12"/>
        <v>100</v>
      </c>
      <c r="T37" s="773" t="s">
        <v>17</v>
      </c>
      <c r="U37" s="774">
        <f t="shared" si="13"/>
        <v>100</v>
      </c>
      <c r="V37" s="773" t="s">
        <v>17</v>
      </c>
      <c r="W37" s="774">
        <f t="shared" si="14"/>
        <v>100</v>
      </c>
      <c r="X37" s="1814"/>
      <c r="Y37" s="3236"/>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34"/>
      <c r="Q38" s="1796" t="str">
        <f t="shared" si="11"/>
        <v>写字楼等级</v>
      </c>
      <c r="R38" s="769" t="s">
        <v>17</v>
      </c>
      <c r="S38" s="770">
        <f t="shared" si="12"/>
        <v>100</v>
      </c>
      <c r="T38" s="769" t="s">
        <v>17</v>
      </c>
      <c r="U38" s="770">
        <f t="shared" si="13"/>
        <v>100</v>
      </c>
      <c r="V38" s="769" t="s">
        <v>17</v>
      </c>
      <c r="W38" s="770">
        <f t="shared" si="14"/>
        <v>100</v>
      </c>
      <c r="X38" s="771"/>
      <c r="Y38" s="3236"/>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34" t="s">
        <v>2566</v>
      </c>
      <c r="Q39" s="1811" t="str">
        <f t="shared" si="11"/>
        <v>物业管理</v>
      </c>
      <c r="R39" s="773" t="s">
        <v>17</v>
      </c>
      <c r="S39" s="774">
        <f t="shared" si="12"/>
        <v>100</v>
      </c>
      <c r="T39" s="773" t="s">
        <v>17</v>
      </c>
      <c r="U39" s="774">
        <f t="shared" si="13"/>
        <v>100</v>
      </c>
      <c r="V39" s="773" t="s">
        <v>17</v>
      </c>
      <c r="W39" s="774">
        <f t="shared" si="14"/>
        <v>100</v>
      </c>
      <c r="X39" s="1814"/>
      <c r="Y39" s="3236"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34"/>
      <c r="Q40" s="1811" t="str">
        <f t="shared" si="11"/>
        <v>市政基础设施</v>
      </c>
      <c r="R40" s="773" t="s">
        <v>17</v>
      </c>
      <c r="S40" s="774">
        <f t="shared" si="12"/>
        <v>100</v>
      </c>
      <c r="T40" s="773" t="s">
        <v>17</v>
      </c>
      <c r="U40" s="774">
        <f t="shared" si="13"/>
        <v>100</v>
      </c>
      <c r="V40" s="773" t="s">
        <v>17</v>
      </c>
      <c r="W40" s="774">
        <f t="shared" si="14"/>
        <v>100</v>
      </c>
      <c r="X40" s="1814"/>
      <c r="Y40" s="3236"/>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34"/>
      <c r="Q41" s="1811" t="str">
        <f t="shared" si="11"/>
        <v>层高</v>
      </c>
      <c r="R41" s="773" t="s">
        <v>17</v>
      </c>
      <c r="S41" s="774">
        <f t="shared" si="12"/>
        <v>100</v>
      </c>
      <c r="T41" s="773" t="s">
        <v>17</v>
      </c>
      <c r="U41" s="774">
        <f t="shared" si="13"/>
        <v>100</v>
      </c>
      <c r="V41" s="773" t="s">
        <v>17</v>
      </c>
      <c r="W41" s="774">
        <f t="shared" si="14"/>
        <v>100</v>
      </c>
      <c r="X41" s="1814"/>
      <c r="Y41" s="3236"/>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34"/>
      <c r="Q42" s="775" t="str">
        <f t="shared" si="11"/>
        <v>单套建筑面积</v>
      </c>
      <c r="R42" s="776" t="s">
        <v>17</v>
      </c>
      <c r="S42" s="777">
        <f t="shared" si="12"/>
        <v>99.5</v>
      </c>
      <c r="T42" s="776" t="s">
        <v>17</v>
      </c>
      <c r="U42" s="777">
        <f t="shared" si="13"/>
        <v>99.5</v>
      </c>
      <c r="V42" s="776" t="s">
        <v>17</v>
      </c>
      <c r="W42" s="777">
        <f t="shared" si="14"/>
        <v>101.5</v>
      </c>
      <c r="X42" s="778"/>
      <c r="Y42" s="3236"/>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34"/>
      <c r="Q43" s="1811" t="str">
        <f t="shared" si="11"/>
        <v>内部装修</v>
      </c>
      <c r="R43" s="773" t="s">
        <v>17</v>
      </c>
      <c r="S43" s="774">
        <f t="shared" si="12"/>
        <v>100</v>
      </c>
      <c r="T43" s="773" t="s">
        <v>17</v>
      </c>
      <c r="U43" s="774">
        <f t="shared" si="13"/>
        <v>100</v>
      </c>
      <c r="V43" s="773" t="s">
        <v>17</v>
      </c>
      <c r="W43" s="774">
        <f t="shared" si="14"/>
        <v>100</v>
      </c>
      <c r="X43" s="1814"/>
      <c r="Y43" s="3236"/>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34"/>
      <c r="Q44" s="1811" t="str">
        <f t="shared" si="11"/>
        <v>内部装修维护情况</v>
      </c>
      <c r="R44" s="773" t="s">
        <v>17</v>
      </c>
      <c r="S44" s="774">
        <f t="shared" si="12"/>
        <v>100</v>
      </c>
      <c r="T44" s="773" t="s">
        <v>17</v>
      </c>
      <c r="U44" s="774">
        <f t="shared" si="13"/>
        <v>100</v>
      </c>
      <c r="V44" s="773" t="s">
        <v>17</v>
      </c>
      <c r="W44" s="774">
        <f t="shared" si="14"/>
        <v>100</v>
      </c>
      <c r="X44" s="1814"/>
      <c r="Y44" s="3236"/>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1796">
        <f t="shared" si="11"/>
        <v>111</v>
      </c>
      <c r="R45" s="769" t="s">
        <v>17</v>
      </c>
      <c r="S45" s="770">
        <f t="shared" si="12"/>
        <v>100</v>
      </c>
      <c r="T45" s="769" t="s">
        <v>17</v>
      </c>
      <c r="U45" s="770">
        <f t="shared" si="13"/>
        <v>100</v>
      </c>
      <c r="V45" s="769" t="s">
        <v>17</v>
      </c>
      <c r="W45" s="770">
        <f t="shared" si="14"/>
        <v>100</v>
      </c>
      <c r="X45" s="771"/>
      <c r="Y45" s="3236"/>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1811">
        <f t="shared" si="11"/>
        <v>111</v>
      </c>
      <c r="R46" s="773" t="s">
        <v>17</v>
      </c>
      <c r="S46" s="774">
        <f t="shared" si="12"/>
        <v>100</v>
      </c>
      <c r="T46" s="773" t="s">
        <v>17</v>
      </c>
      <c r="U46" s="774">
        <f t="shared" si="13"/>
        <v>100</v>
      </c>
      <c r="V46" s="773" t="s">
        <v>17</v>
      </c>
      <c r="W46" s="774">
        <f t="shared" si="14"/>
        <v>100</v>
      </c>
      <c r="X46" s="1814"/>
      <c r="Y46" s="3236"/>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1811">
        <f t="shared" si="11"/>
        <v>111</v>
      </c>
      <c r="R47" s="773" t="s">
        <v>17</v>
      </c>
      <c r="S47" s="774">
        <f t="shared" si="12"/>
        <v>100</v>
      </c>
      <c r="T47" s="773" t="s">
        <v>17</v>
      </c>
      <c r="U47" s="774">
        <f t="shared" si="13"/>
        <v>100</v>
      </c>
      <c r="V47" s="773" t="s">
        <v>17</v>
      </c>
      <c r="W47" s="774">
        <f t="shared" si="14"/>
        <v>100</v>
      </c>
      <c r="X47" s="1814"/>
      <c r="Y47" s="3237"/>
      <c r="Z47" s="1815">
        <f t="shared" si="15"/>
        <v>111</v>
      </c>
      <c r="AA47" s="1812">
        <f t="shared" si="3"/>
        <v>1</v>
      </c>
      <c r="AB47" s="1812">
        <f t="shared" si="4"/>
        <v>1</v>
      </c>
      <c r="AC47" s="2678">
        <f t="shared" si="5"/>
        <v>1</v>
      </c>
    </row>
    <row r="48" spans="1:29" ht="15">
      <c r="A48" s="478" t="s">
        <v>2578</v>
      </c>
      <c r="B48" s="479"/>
      <c r="C48" s="1408" t="s">
        <v>1</v>
      </c>
      <c r="D48" s="1409"/>
      <c r="E48" s="1410">
        <f>ROUND(32000*0.95,0)</f>
        <v>30400</v>
      </c>
      <c r="F48" s="1411"/>
      <c r="G48" s="1412">
        <f>ROUND(35000*0.95,0)</f>
        <v>33250</v>
      </c>
      <c r="H48" s="1413"/>
      <c r="I48" s="1410">
        <f>ROUND(36000*0.95,0)</f>
        <v>34200</v>
      </c>
      <c r="J48" s="484"/>
      <c r="K48" s="782"/>
      <c r="L48" s="1145"/>
      <c r="M48" s="1133"/>
      <c r="N48" s="1133"/>
      <c r="O48" s="1133"/>
      <c r="P48" s="3209" t="str">
        <f>A48</f>
        <v>成交单价（元/平方米）</v>
      </c>
      <c r="Q48" s="3238"/>
      <c r="R48" s="3239">
        <f>E48</f>
        <v>30400</v>
      </c>
      <c r="S48" s="3239"/>
      <c r="T48" s="3239">
        <f>G48</f>
        <v>33250</v>
      </c>
      <c r="U48" s="3239"/>
      <c r="V48" s="3239">
        <f>I48</f>
        <v>34200</v>
      </c>
      <c r="W48" s="3239"/>
      <c r="X48" s="445"/>
      <c r="Y48" s="780"/>
      <c r="Z48" s="445"/>
      <c r="AA48" s="445"/>
      <c r="AB48" s="445"/>
      <c r="AC48" s="629"/>
    </row>
    <row r="49" spans="1:29" ht="15.75" thickBot="1">
      <c r="A49" s="485" t="s">
        <v>2670</v>
      </c>
      <c r="B49" s="486"/>
      <c r="C49" s="1414">
        <f>R50</f>
        <v>33207</v>
      </c>
      <c r="D49" s="1415"/>
      <c r="E49" s="1416">
        <f>R49</f>
        <v>31826</v>
      </c>
      <c r="F49" s="1416"/>
      <c r="G49" s="1414">
        <f>T49</f>
        <v>34099</v>
      </c>
      <c r="H49" s="1415"/>
      <c r="I49" s="1416">
        <f>V49</f>
        <v>33695</v>
      </c>
      <c r="J49" s="488"/>
      <c r="K49" s="783"/>
      <c r="L49" s="1145"/>
      <c r="M49" s="1133"/>
      <c r="N49" s="1133"/>
      <c r="O49" s="1133"/>
      <c r="P49" s="3209" t="str">
        <f>A49</f>
        <v>比较价值（元/平方米）</v>
      </c>
      <c r="Q49" s="3238"/>
      <c r="R49" s="3239">
        <f>IF(F1="售价",ROUND(PRODUCT(R48,AA7:AA47),0),ROUND(PRODUCT(R48,AA7:AA47),1))</f>
        <v>31826</v>
      </c>
      <c r="S49" s="3239"/>
      <c r="T49" s="3239">
        <f>IF(F1="售价",ROUND(PRODUCT(T48,AB7:AB47),0),ROUND(PRODUCT(T48,AB7:AB47),1))</f>
        <v>34099</v>
      </c>
      <c r="U49" s="3239"/>
      <c r="V49" s="3239">
        <f>IF(F1="售价",ROUND(PRODUCT(V48,AC7:AC47),0),ROUND(PRODUCT(V48,AC7:AC47),1))</f>
        <v>33695</v>
      </c>
      <c r="W49" s="3239"/>
      <c r="X49" s="445"/>
      <c r="Y49" s="445"/>
      <c r="Z49" s="445"/>
      <c r="AA49" s="445"/>
      <c r="AB49" s="445"/>
      <c r="AC49" s="629"/>
    </row>
    <row r="50" spans="1:29" ht="15.75" thickBot="1">
      <c r="A50" s="491" t="s">
        <v>2671</v>
      </c>
      <c r="B50" s="492"/>
      <c r="C50" s="1418">
        <f>R50</f>
        <v>33207</v>
      </c>
      <c r="D50" s="1418"/>
      <c r="E50" s="1418"/>
      <c r="F50" s="1418"/>
      <c r="G50" s="1418"/>
      <c r="H50" s="1418"/>
      <c r="I50" s="1418"/>
      <c r="J50" s="493"/>
      <c r="K50" s="784"/>
      <c r="L50" s="1145"/>
      <c r="M50" s="1133"/>
      <c r="N50" s="1133"/>
      <c r="O50" s="1133"/>
      <c r="P50" s="3240" t="str">
        <f>A50</f>
        <v>估价对象XX用房的比较价值（楼面单价，元/平方米）</v>
      </c>
      <c r="Q50" s="3241"/>
      <c r="R50" s="3242">
        <f>IF(F1="售价",ROUND(AVERAGE(R49:V49),0),ROUND(AVERAGE(R49:V49),1))</f>
        <v>33207</v>
      </c>
      <c r="S50" s="3242"/>
      <c r="T50" s="3242"/>
      <c r="U50" s="3242"/>
      <c r="V50" s="3242"/>
      <c r="W50" s="324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4.6907894736842204E-2</v>
      </c>
      <c r="F53" s="499" t="str">
        <f>IF(OR(E53&gt;=0.3,E53&lt;=-0.3),"超过30%","")</f>
        <v/>
      </c>
      <c r="G53" s="498">
        <f>IF(G48&lt;G49,G49/G48-1,G48/G49-1)</f>
        <v>2.5533834586466186E-2</v>
      </c>
      <c r="H53" s="499" t="str">
        <f>IF(OR(G53&gt;=0.3,G53&lt;=-0.3),"超过30%","")</f>
        <v/>
      </c>
      <c r="I53" s="498">
        <f>IF(I48&lt;I49,I49/I48-1,I48/I49-1)</f>
        <v>1.4987386852648665E-2</v>
      </c>
      <c r="J53" s="499" t="str">
        <f>IF(OR(I53&gt;=0.3,I53&lt;=-0.3),"超过30%","")</f>
        <v/>
      </c>
      <c r="K53" s="1107"/>
      <c r="L53" s="1108"/>
      <c r="M53" s="1146"/>
      <c r="N53" s="1146"/>
      <c r="O53" s="1146"/>
    </row>
    <row r="54" spans="1:29" ht="13.5" customHeight="1">
      <c r="A54" s="1146"/>
      <c r="B54" s="1146"/>
      <c r="C54" s="496" t="s">
        <v>2673</v>
      </c>
      <c r="D54" s="500"/>
      <c r="E54" s="498">
        <f>IF(E49&lt;G49,G49/E49-1,E49/G49-1)</f>
        <v>7.1419594042606782E-2</v>
      </c>
      <c r="F54" s="499" t="str">
        <f>IF(OR(E54&gt;=0.2,E54&lt;=-0.2),"超过20%","")</f>
        <v/>
      </c>
      <c r="G54" s="498">
        <f>IF(G49&lt;I49,I49/G49-1,G49/I49-1)</f>
        <v>1.1989909482118977E-2</v>
      </c>
      <c r="H54" s="499" t="str">
        <f>IF(OR(G54&gt;=0.2,G54&lt;=-0.2),"超过20%","")</f>
        <v/>
      </c>
      <c r="I54" s="498">
        <f>IF(I49&lt;E49,E49/I49-1,I49/E49-1)</f>
        <v>5.8725570288443496E-2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9.375E-2</v>
      </c>
      <c r="F55" s="499" t="str">
        <f>IF(OR(E55&gt;=0.3,E55&lt;=-0.3),"超过30%","")</f>
        <v/>
      </c>
      <c r="G55" s="498">
        <f>IF(G48&lt;I48,I48/G48-1,G48/I48-1)</f>
        <v>2.857142857142847E-2</v>
      </c>
      <c r="H55" s="499" t="str">
        <f>IF(OR(G55&gt;=0.3,G55&lt;=-0.3),"超过30%","")</f>
        <v/>
      </c>
      <c r="I55" s="498">
        <f>IF(I48&lt;E48,E48/I48-1,I48/E48-1)</f>
        <v>0.125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534</v>
      </c>
      <c r="C2" s="1846" t="s">
        <v>1514</v>
      </c>
      <c r="D2" s="1939">
        <f ca="1">C40+J29+L46</f>
        <v>5335830</v>
      </c>
      <c r="E2" s="1847" t="s">
        <v>1590</v>
      </c>
      <c r="F2" s="1848"/>
      <c r="G2" s="1849"/>
      <c r="H2" s="1841"/>
      <c r="I2" s="1841"/>
      <c r="J2" s="1841"/>
      <c r="K2" s="1842"/>
      <c r="L2" s="1841"/>
      <c r="M2" s="1841"/>
    </row>
    <row r="3" spans="1:37" ht="18" customHeight="1" thickBot="1">
      <c r="A3" s="1850" t="s">
        <v>1515</v>
      </c>
      <c r="B3" s="1851">
        <f ca="1">IF(ISERROR(D2/F43),0,ROUND(D2/F43,0))</f>
        <v>25627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376653</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ROUND(F6*F8*F7*(1-F9),0)</f>
        <v>376183</v>
      </c>
      <c r="D6" s="163" t="s">
        <v>3031</v>
      </c>
      <c r="E6" s="346" t="s">
        <v>1403</v>
      </c>
      <c r="F6" s="2999">
        <f ca="1">INDIRECT("'数据-取费表'!u"&amp;$G$1)</f>
        <v>5.5</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2984"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470</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767652</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996950</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23328</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8374</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8374</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15024</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82"/>
      <c r="F22" s="25"/>
      <c r="G22" s="1852"/>
      <c r="H22" s="1203" t="s">
        <v>1039</v>
      </c>
      <c r="I22" s="346" t="s">
        <v>1447</v>
      </c>
      <c r="J22" s="23">
        <f ca="1">ROUND(J14*M22,0)</f>
        <v>14954</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27138</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ROUND(J5*M24,0)</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-23328</v>
      </c>
      <c r="K25" s="1346" t="s">
        <v>1462</v>
      </c>
      <c r="L25" s="1347"/>
      <c r="M25" s="1348"/>
    </row>
    <row r="26" spans="1:37" ht="18" customHeight="1">
      <c r="A26" s="1203" t="s">
        <v>1034</v>
      </c>
      <c r="B26" s="346" t="s">
        <v>1463</v>
      </c>
      <c r="C26" s="23">
        <f ca="1">ROUND((C19+C20)*F26,0)</f>
        <v>114937</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996950</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85710</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65838</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20088</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45198</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14954</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1151</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3766.5</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290943</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5290687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25410</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-7106403</v>
      </c>
      <c r="D45" s="1941" t="s">
        <v>1602</v>
      </c>
      <c r="E45" s="1867"/>
      <c r="F45" s="1867"/>
      <c r="O45" s="1870" t="s">
        <v>1517</v>
      </c>
      <c r="P45" s="1840"/>
      <c r="Q45" s="1840"/>
      <c r="R45" s="1840"/>
    </row>
    <row r="46" spans="1:18" s="1843" customFormat="1" ht="13.5" thickBot="1">
      <c r="A46" s="1871" t="s">
        <v>1518</v>
      </c>
      <c r="C46" s="1872">
        <f ca="1">ROUND(C45/10000,0)</f>
        <v>-711</v>
      </c>
      <c r="D46" s="1873" t="str">
        <f>C2</f>
        <v>万元</v>
      </c>
      <c r="I46" s="1874" t="s">
        <v>1519</v>
      </c>
      <c r="J46" s="1875"/>
      <c r="K46" s="1876"/>
      <c r="L46" s="1877">
        <f ca="1">IF(M47="住宅",0,IF(L48&gt;J51,L60,J60))</f>
        <v>45143</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5290687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45143</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996950</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3198985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5335830</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767652</v>
      </c>
      <c r="D56" s="1915"/>
      <c r="E56" s="1916"/>
      <c r="F56" s="1908"/>
      <c r="I56" s="1917" t="s">
        <v>1552</v>
      </c>
      <c r="J56" s="1918" t="s">
        <v>3067</v>
      </c>
      <c r="K56" s="1888" t="s">
        <v>1553</v>
      </c>
      <c r="L56" s="1891" t="str">
        <f ca="1">IF(L48&lt;J51,"——",L48-J51)</f>
        <v>——</v>
      </c>
      <c r="O56" s="1885" t="s">
        <v>1040</v>
      </c>
      <c r="P56" s="1886" t="s">
        <v>1526</v>
      </c>
      <c r="Q56" s="1887">
        <f ca="1">C40+J29</f>
        <v>5290687</v>
      </c>
      <c r="R56" s="1887" t="s">
        <v>1527</v>
      </c>
    </row>
    <row r="57" spans="1:18" s="1843" customFormat="1" ht="24.75" thickBot="1">
      <c r="A57" s="1919"/>
      <c r="B57" s="1171" t="s">
        <v>1476</v>
      </c>
      <c r="C57" s="281">
        <f ca="1">C29</f>
        <v>996950</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99849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83744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398780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45143</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83744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5290687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14954</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1151</v>
      </c>
      <c r="D65" s="1185" t="s">
        <v>1452</v>
      </c>
      <c r="E65" s="1171" t="s">
        <v>1420</v>
      </c>
      <c r="F65" s="375">
        <f t="shared" ca="1" si="0"/>
        <v>1.5E-3</v>
      </c>
      <c r="I65" s="1930" t="s">
        <v>1577</v>
      </c>
      <c r="J65" s="1931">
        <v>40</v>
      </c>
      <c r="K65" s="1931">
        <v>30</v>
      </c>
      <c r="L65" s="1931">
        <v>50</v>
      </c>
      <c r="M65" s="1933">
        <v>0.02</v>
      </c>
      <c r="O65" s="1885" t="s">
        <v>1040</v>
      </c>
      <c r="P65" s="1886" t="s">
        <v>1526</v>
      </c>
      <c r="Q65" s="1887">
        <f ca="1">C40+J29</f>
        <v>5290687</v>
      </c>
      <c r="R65" s="1887" t="s">
        <v>1527</v>
      </c>
    </row>
    <row r="66" spans="1:18" s="1843" customFormat="1" ht="16.5" thickBot="1">
      <c r="A66" s="1203" t="s">
        <v>1502</v>
      </c>
      <c r="B66" s="1171" t="s">
        <v>1437</v>
      </c>
      <c r="C66" s="23">
        <f ca="1">ROUND(C48*F66,0)</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-99849</v>
      </c>
      <c r="D67" s="1184" t="s">
        <v>1462</v>
      </c>
      <c r="E67" s="1189"/>
      <c r="F67" s="1190"/>
      <c r="O67" s="1895" t="s">
        <v>1042</v>
      </c>
      <c r="P67" s="1886" t="s">
        <v>1560</v>
      </c>
      <c r="Q67" s="1934">
        <f ca="1">L51</f>
        <v>3198985</v>
      </c>
      <c r="R67" s="1887" t="s">
        <v>1580</v>
      </c>
    </row>
    <row r="68" spans="1:18" s="1843" customFormat="1" ht="16.5" thickBot="1">
      <c r="A68" s="1168" t="s">
        <v>1032</v>
      </c>
      <c r="B68" s="1169" t="s">
        <v>1483</v>
      </c>
      <c r="C68" s="345">
        <f ca="1">ROUND(C67*(1-((1+F70)/(1+F68))^F69)/(F68-F70),0)</f>
        <v>-1815716</v>
      </c>
      <c r="D68" s="1186" t="s">
        <v>1467</v>
      </c>
      <c r="E68" s="1171" t="s">
        <v>1468</v>
      </c>
      <c r="F68" s="356">
        <f ca="1">F40</f>
        <v>5.5E-2</v>
      </c>
      <c r="O68" s="1895" t="s">
        <v>1043</v>
      </c>
      <c r="P68" s="1935" t="s">
        <v>1581</v>
      </c>
      <c r="Q68" s="1887">
        <f ca="1">ROUND(Q69-Q70*Q71,0)</f>
        <v>225693</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290943</v>
      </c>
      <c r="R69" s="1887" t="s">
        <v>1527</v>
      </c>
    </row>
    <row r="70" spans="1:18" s="1843" customFormat="1" ht="13.5" thickBot="1">
      <c r="A70" s="1175"/>
      <c r="B70" s="1176"/>
      <c r="C70" s="354"/>
      <c r="D70" s="1187"/>
      <c r="E70" s="1171" t="s">
        <v>1475</v>
      </c>
      <c r="F70" s="1276">
        <f ca="1">F42</f>
        <v>0.03</v>
      </c>
      <c r="O70" s="1895" t="s">
        <v>1049</v>
      </c>
      <c r="P70" s="1935" t="s">
        <v>1583</v>
      </c>
      <c r="Q70" s="1887">
        <f ca="1">C13</f>
        <v>767652</v>
      </c>
      <c r="R70" s="1887" t="s">
        <v>1527</v>
      </c>
    </row>
    <row r="71" spans="1:18" s="1843" customFormat="1" ht="13.5" thickBot="1">
      <c r="A71" s="1192" t="s">
        <v>1033</v>
      </c>
      <c r="B71" s="1193" t="s">
        <v>1485</v>
      </c>
      <c r="C71" s="381">
        <f ca="1">ROUND(C68/F71,0)</f>
        <v>-8721</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65250</v>
      </c>
      <c r="D75" s="1843"/>
      <c r="E75" s="1843"/>
      <c r="F75" s="1843"/>
      <c r="K75" s="1869"/>
      <c r="L75" s="1843"/>
      <c r="O75" s="1885" t="s">
        <v>1046</v>
      </c>
      <c r="P75" s="1886" t="s">
        <v>1547</v>
      </c>
      <c r="Q75" s="1887">
        <f ca="1">Q65+Q66</f>
        <v>5290687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0.77600000000000002</v>
      </c>
    </row>
    <row r="80" spans="1:18">
      <c r="B80" s="385" t="s">
        <v>1509</v>
      </c>
      <c r="C80" s="317">
        <f ca="1">ROUND(C75/C39,3)</f>
        <v>0.224</v>
      </c>
    </row>
    <row r="81" spans="2:3">
      <c r="B81" s="313" t="s">
        <v>1510</v>
      </c>
      <c r="C81" s="281"/>
    </row>
    <row r="82" spans="2:3">
      <c r="B82" s="316" t="s">
        <v>1511</v>
      </c>
      <c r="C82" s="318">
        <f ca="1">1-C83</f>
        <v>0.85499999999999998</v>
      </c>
    </row>
    <row r="83" spans="2:3">
      <c r="B83" s="316" t="s">
        <v>1512</v>
      </c>
      <c r="C83" s="317">
        <f ca="1">ROUND(C13/C40,3)</f>
        <v>0.14499999999999999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13" t="s">
        <v>2647</v>
      </c>
      <c r="D4" s="3214"/>
      <c r="E4" s="3215" t="s">
        <v>2648</v>
      </c>
      <c r="F4" s="3216"/>
      <c r="G4" s="3213" t="s">
        <v>2649</v>
      </c>
      <c r="H4" s="3214"/>
      <c r="I4" s="3213" t="s">
        <v>2650</v>
      </c>
      <c r="J4" s="3214"/>
      <c r="K4" s="609" t="s">
        <v>2541</v>
      </c>
      <c r="L4" s="1132"/>
      <c r="M4" s="1133"/>
      <c r="N4" s="1133"/>
      <c r="O4" s="1133"/>
      <c r="P4" s="3217" t="s">
        <v>2652</v>
      </c>
      <c r="Q4" s="3218"/>
      <c r="R4" s="3197" t="s">
        <v>2648</v>
      </c>
      <c r="S4" s="3198"/>
      <c r="T4" s="3197" t="s">
        <v>2649</v>
      </c>
      <c r="U4" s="3198"/>
      <c r="V4" s="3225" t="s">
        <v>2650</v>
      </c>
      <c r="W4" s="3225"/>
      <c r="X4" s="2993"/>
      <c r="Y4" s="3197" t="s">
        <v>2652</v>
      </c>
      <c r="Z4" s="3198"/>
      <c r="AA4" s="3192" t="s">
        <v>2648</v>
      </c>
      <c r="AB4" s="3192" t="s">
        <v>2649</v>
      </c>
      <c r="AC4" s="3210" t="s">
        <v>2650</v>
      </c>
    </row>
    <row r="5" spans="1:29" ht="15">
      <c r="A5" s="403"/>
      <c r="B5" s="404"/>
      <c r="C5" s="3203" t="s">
        <v>2543</v>
      </c>
      <c r="D5" s="3204"/>
      <c r="E5" s="3201" t="s">
        <v>3087</v>
      </c>
      <c r="F5" s="3202"/>
      <c r="G5" s="3201" t="s">
        <v>3087</v>
      </c>
      <c r="H5" s="3202"/>
      <c r="I5" s="3201" t="s">
        <v>3087</v>
      </c>
      <c r="J5" s="3202"/>
      <c r="K5" s="609"/>
      <c r="L5" s="1132"/>
      <c r="M5" s="1133"/>
      <c r="N5" s="1133"/>
      <c r="O5" s="1133"/>
      <c r="P5" s="3219"/>
      <c r="Q5" s="3220"/>
      <c r="R5" s="3199"/>
      <c r="S5" s="3200"/>
      <c r="T5" s="3199"/>
      <c r="U5" s="3200"/>
      <c r="V5" s="3226"/>
      <c r="W5" s="3226"/>
      <c r="X5" s="2994"/>
      <c r="Y5" s="3199"/>
      <c r="Z5" s="3200"/>
      <c r="AA5" s="3193"/>
      <c r="AB5" s="3193"/>
      <c r="AC5" s="3211"/>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21"/>
      <c r="Q6" s="3222"/>
      <c r="R6" s="3199"/>
      <c r="S6" s="3200"/>
      <c r="T6" s="3223"/>
      <c r="U6" s="3224"/>
      <c r="V6" s="3226"/>
      <c r="W6" s="3226"/>
      <c r="X6" s="2994"/>
      <c r="Y6" s="3223"/>
      <c r="Z6" s="3224"/>
      <c r="AA6" s="3194"/>
      <c r="AB6" s="3194"/>
      <c r="AC6" s="3212"/>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27" t="s">
        <v>2550</v>
      </c>
      <c r="Q7" s="3228"/>
      <c r="R7" s="769" t="s">
        <v>17</v>
      </c>
      <c r="S7" s="770">
        <f t="shared" ref="S7:S15" si="0">F7</f>
        <v>100</v>
      </c>
      <c r="T7" s="769" t="s">
        <v>17</v>
      </c>
      <c r="U7" s="770">
        <f t="shared" ref="U7:U15" si="1">H7</f>
        <v>100</v>
      </c>
      <c r="V7" s="769" t="s">
        <v>17</v>
      </c>
      <c r="W7" s="770">
        <f t="shared" ref="W7:W15" si="2">J7</f>
        <v>100</v>
      </c>
      <c r="X7" s="771"/>
      <c r="Y7" s="3195" t="s">
        <v>2550</v>
      </c>
      <c r="Z7" s="3196"/>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27" t="s">
        <v>2553</v>
      </c>
      <c r="Q8" s="3196"/>
      <c r="R8" s="769" t="s">
        <v>17</v>
      </c>
      <c r="S8" s="770">
        <f t="shared" si="0"/>
        <v>100</v>
      </c>
      <c r="T8" s="769" t="s">
        <v>17</v>
      </c>
      <c r="U8" s="770">
        <f t="shared" si="1"/>
        <v>100</v>
      </c>
      <c r="V8" s="769" t="s">
        <v>17</v>
      </c>
      <c r="W8" s="770">
        <f t="shared" si="2"/>
        <v>100</v>
      </c>
      <c r="X8" s="771"/>
      <c r="Y8" s="3195" t="s">
        <v>2553</v>
      </c>
      <c r="Z8" s="3196"/>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9" t="s">
        <v>2556</v>
      </c>
      <c r="Q9" s="2985" t="str">
        <f t="shared" ref="Q9:Q15" si="6">B9</f>
        <v>用途</v>
      </c>
      <c r="R9" s="769" t="s">
        <v>17</v>
      </c>
      <c r="S9" s="770">
        <f t="shared" si="0"/>
        <v>100</v>
      </c>
      <c r="T9" s="769" t="s">
        <v>17</v>
      </c>
      <c r="U9" s="770">
        <f t="shared" si="1"/>
        <v>100</v>
      </c>
      <c r="V9" s="769" t="s">
        <v>17</v>
      </c>
      <c r="W9" s="770">
        <f t="shared" si="2"/>
        <v>100</v>
      </c>
      <c r="X9" s="771"/>
      <c r="Y9" s="3069"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209"/>
      <c r="Q10" s="2985" t="str">
        <f t="shared" si="6"/>
        <v>土地使用年限（年）</v>
      </c>
      <c r="R10" s="769" t="s">
        <v>17</v>
      </c>
      <c r="S10" s="770">
        <f t="shared" si="0"/>
        <v>100</v>
      </c>
      <c r="T10" s="769" t="s">
        <v>17</v>
      </c>
      <c r="U10" s="770">
        <f t="shared" si="1"/>
        <v>100</v>
      </c>
      <c r="V10" s="769" t="s">
        <v>17</v>
      </c>
      <c r="W10" s="770">
        <f t="shared" si="2"/>
        <v>100</v>
      </c>
      <c r="X10" s="771"/>
      <c r="Y10" s="3069"/>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209"/>
      <c r="Q11" s="2985" t="str">
        <f t="shared" si="6"/>
        <v>容积率</v>
      </c>
      <c r="R11" s="769" t="s">
        <v>17</v>
      </c>
      <c r="S11" s="770">
        <f t="shared" si="0"/>
        <v>100</v>
      </c>
      <c r="T11" s="769" t="s">
        <v>17</v>
      </c>
      <c r="U11" s="770">
        <f t="shared" si="1"/>
        <v>100</v>
      </c>
      <c r="V11" s="769" t="s">
        <v>17</v>
      </c>
      <c r="W11" s="770">
        <f t="shared" si="2"/>
        <v>100</v>
      </c>
      <c r="X11" s="771"/>
      <c r="Y11" s="3069"/>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9"/>
      <c r="Q12" s="2985">
        <f t="shared" si="6"/>
        <v>111</v>
      </c>
      <c r="R12" s="769" t="s">
        <v>17</v>
      </c>
      <c r="S12" s="770">
        <f t="shared" si="0"/>
        <v>100</v>
      </c>
      <c r="T12" s="769" t="s">
        <v>17</v>
      </c>
      <c r="U12" s="770">
        <f t="shared" si="1"/>
        <v>100</v>
      </c>
      <c r="V12" s="769" t="s">
        <v>17</v>
      </c>
      <c r="W12" s="770">
        <f t="shared" si="2"/>
        <v>100</v>
      </c>
      <c r="X12" s="771"/>
      <c r="Y12" s="3069"/>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9"/>
      <c r="Q13" s="2985">
        <f t="shared" si="6"/>
        <v>111</v>
      </c>
      <c r="R13" s="769" t="s">
        <v>17</v>
      </c>
      <c r="S13" s="770">
        <f t="shared" si="0"/>
        <v>100</v>
      </c>
      <c r="T13" s="769" t="s">
        <v>17</v>
      </c>
      <c r="U13" s="770">
        <f t="shared" si="1"/>
        <v>100</v>
      </c>
      <c r="V13" s="769" t="s">
        <v>17</v>
      </c>
      <c r="W13" s="770">
        <f t="shared" si="2"/>
        <v>100</v>
      </c>
      <c r="X13" s="771"/>
      <c r="Y13" s="3069"/>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9"/>
      <c r="Q14" s="2985">
        <f t="shared" si="6"/>
        <v>111</v>
      </c>
      <c r="R14" s="769" t="s">
        <v>17</v>
      </c>
      <c r="S14" s="770">
        <f t="shared" si="0"/>
        <v>100</v>
      </c>
      <c r="T14" s="769" t="s">
        <v>17</v>
      </c>
      <c r="U14" s="770">
        <f t="shared" si="1"/>
        <v>100</v>
      </c>
      <c r="V14" s="769" t="s">
        <v>17</v>
      </c>
      <c r="W14" s="770">
        <f t="shared" si="2"/>
        <v>100</v>
      </c>
      <c r="X14" s="771"/>
      <c r="Y14" s="3069"/>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229" t="s">
        <v>2561</v>
      </c>
      <c r="Q15" s="2989" t="str">
        <f t="shared" si="6"/>
        <v>办公集聚程度</v>
      </c>
      <c r="R15" s="773" t="s">
        <v>17</v>
      </c>
      <c r="S15" s="774">
        <f t="shared" si="0"/>
        <v>100</v>
      </c>
      <c r="T15" s="773" t="s">
        <v>17</v>
      </c>
      <c r="U15" s="774">
        <f t="shared" si="1"/>
        <v>100</v>
      </c>
      <c r="V15" s="773" t="s">
        <v>17</v>
      </c>
      <c r="W15" s="774">
        <f t="shared" si="2"/>
        <v>100</v>
      </c>
      <c r="X15" s="2994"/>
      <c r="Y15" s="3231"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30"/>
      <c r="Q16" s="2989"/>
      <c r="R16" s="773"/>
      <c r="S16" s="774"/>
      <c r="T16" s="773"/>
      <c r="U16" s="774"/>
      <c r="V16" s="773"/>
      <c r="W16" s="774"/>
      <c r="X16" s="2994"/>
      <c r="Y16" s="3232"/>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30"/>
      <c r="Q17" s="2989" t="str">
        <f>B17</f>
        <v>交通便捷度</v>
      </c>
      <c r="R17" s="773" t="s">
        <v>17</v>
      </c>
      <c r="S17" s="774">
        <f>F17</f>
        <v>100</v>
      </c>
      <c r="T17" s="773" t="s">
        <v>17</v>
      </c>
      <c r="U17" s="774">
        <f>H17</f>
        <v>100</v>
      </c>
      <c r="V17" s="773" t="s">
        <v>17</v>
      </c>
      <c r="W17" s="774">
        <f>J17</f>
        <v>100</v>
      </c>
      <c r="X17" s="2994"/>
      <c r="Y17" s="3232"/>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30"/>
      <c r="Q18" s="2989"/>
      <c r="R18" s="773"/>
      <c r="S18" s="774"/>
      <c r="T18" s="773"/>
      <c r="U18" s="774"/>
      <c r="V18" s="773"/>
      <c r="W18" s="774"/>
      <c r="X18" s="2994"/>
      <c r="Y18" s="3232"/>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30"/>
      <c r="Q19" s="2989" t="str">
        <f>B19</f>
        <v>公共配套设施</v>
      </c>
      <c r="R19" s="773" t="s">
        <v>17</v>
      </c>
      <c r="S19" s="774">
        <f>F19</f>
        <v>100</v>
      </c>
      <c r="T19" s="773" t="s">
        <v>17</v>
      </c>
      <c r="U19" s="774">
        <f>H19</f>
        <v>100</v>
      </c>
      <c r="V19" s="773" t="s">
        <v>17</v>
      </c>
      <c r="W19" s="774">
        <f>J19</f>
        <v>100</v>
      </c>
      <c r="X19" s="2994"/>
      <c r="Y19" s="3232"/>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30"/>
      <c r="Q20" s="2989"/>
      <c r="R20" s="773"/>
      <c r="S20" s="774"/>
      <c r="T20" s="773"/>
      <c r="U20" s="774"/>
      <c r="V20" s="773"/>
      <c r="W20" s="774"/>
      <c r="X20" s="2994"/>
      <c r="Y20" s="3232"/>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0"/>
      <c r="Q21" s="2989" t="str">
        <f>B21</f>
        <v>基础设施水平</v>
      </c>
      <c r="R21" s="773" t="s">
        <v>17</v>
      </c>
      <c r="S21" s="774">
        <f>F21</f>
        <v>100</v>
      </c>
      <c r="T21" s="773" t="s">
        <v>17</v>
      </c>
      <c r="U21" s="774">
        <f>H21</f>
        <v>100</v>
      </c>
      <c r="V21" s="773" t="s">
        <v>17</v>
      </c>
      <c r="W21" s="774">
        <f>J21</f>
        <v>100</v>
      </c>
      <c r="X21" s="2994"/>
      <c r="Y21" s="3232"/>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30"/>
      <c r="Q22" s="2989"/>
      <c r="R22" s="773"/>
      <c r="S22" s="774"/>
      <c r="T22" s="773"/>
      <c r="U22" s="774"/>
      <c r="V22" s="773"/>
      <c r="W22" s="774"/>
      <c r="X22" s="2994"/>
      <c r="Y22" s="3232"/>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30"/>
      <c r="Q23" s="2989" t="str">
        <f>B23</f>
        <v>环境质量</v>
      </c>
      <c r="R23" s="773" t="s">
        <v>17</v>
      </c>
      <c r="S23" s="774">
        <f>F23</f>
        <v>100</v>
      </c>
      <c r="T23" s="773" t="s">
        <v>17</v>
      </c>
      <c r="U23" s="774">
        <f>H23</f>
        <v>100</v>
      </c>
      <c r="V23" s="773" t="s">
        <v>17</v>
      </c>
      <c r="W23" s="774">
        <f>J23</f>
        <v>100</v>
      </c>
      <c r="X23" s="2994"/>
      <c r="Y23" s="3232"/>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30"/>
      <c r="Q24" s="2989"/>
      <c r="R24" s="773"/>
      <c r="S24" s="774"/>
      <c r="T24" s="773"/>
      <c r="U24" s="774"/>
      <c r="V24" s="773"/>
      <c r="W24" s="774"/>
      <c r="X24" s="2994"/>
      <c r="Y24" s="3232"/>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30"/>
      <c r="Q25" s="2989" t="str">
        <f>B25</f>
        <v>毗邻道路的类型与等级</v>
      </c>
      <c r="R25" s="773" t="s">
        <v>17</v>
      </c>
      <c r="S25" s="774">
        <f>F25</f>
        <v>100</v>
      </c>
      <c r="T25" s="773" t="s">
        <v>17</v>
      </c>
      <c r="U25" s="774">
        <f>H25</f>
        <v>100</v>
      </c>
      <c r="V25" s="773" t="s">
        <v>17</v>
      </c>
      <c r="W25" s="774">
        <f>J25</f>
        <v>100</v>
      </c>
      <c r="X25" s="2994"/>
      <c r="Y25" s="3232"/>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30"/>
      <c r="Q26" s="2989"/>
      <c r="R26" s="773"/>
      <c r="S26" s="774"/>
      <c r="T26" s="773"/>
      <c r="U26" s="774"/>
      <c r="V26" s="773"/>
      <c r="W26" s="774"/>
      <c r="X26" s="2994"/>
      <c r="Y26" s="3232"/>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98</v>
      </c>
      <c r="I27" s="615" t="s">
        <v>3079</v>
      </c>
      <c r="J27" s="434">
        <f>SUMIF(89:89,I27,90:90)-SUMIF(89:89,C27,90:90)+100</f>
        <v>100</v>
      </c>
      <c r="K27" s="611">
        <v>2</v>
      </c>
      <c r="L27" s="1142"/>
      <c r="M27" s="1133"/>
      <c r="N27" s="1133"/>
      <c r="O27" s="1133"/>
      <c r="P27" s="3230"/>
      <c r="Q27" s="2989" t="str">
        <f t="shared" ref="Q27:Q47" si="11">B27</f>
        <v>楼层</v>
      </c>
      <c r="R27" s="773" t="s">
        <v>17</v>
      </c>
      <c r="S27" s="774">
        <f>F27</f>
        <v>100</v>
      </c>
      <c r="T27" s="773" t="s">
        <v>17</v>
      </c>
      <c r="U27" s="774">
        <f>H27</f>
        <v>98</v>
      </c>
      <c r="V27" s="773" t="s">
        <v>17</v>
      </c>
      <c r="W27" s="774">
        <f>J27</f>
        <v>100</v>
      </c>
      <c r="X27" s="2994"/>
      <c r="Y27" s="3232"/>
      <c r="Z27" s="2992" t="str">
        <f>Q27</f>
        <v>楼层</v>
      </c>
      <c r="AA27" s="2990">
        <f t="shared" si="3"/>
        <v>1</v>
      </c>
      <c r="AB27" s="2990">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30"/>
      <c r="Q28" s="2985" t="str">
        <f t="shared" si="11"/>
        <v>朝向</v>
      </c>
      <c r="R28" s="769" t="s">
        <v>17</v>
      </c>
      <c r="S28" s="770">
        <f>F28</f>
        <v>100</v>
      </c>
      <c r="T28" s="769" t="s">
        <v>17</v>
      </c>
      <c r="U28" s="770">
        <f>H28</f>
        <v>100</v>
      </c>
      <c r="V28" s="769" t="s">
        <v>17</v>
      </c>
      <c r="W28" s="770">
        <f>J28</f>
        <v>100</v>
      </c>
      <c r="X28" s="771"/>
      <c r="Y28" s="3232"/>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30"/>
      <c r="Q29" s="2989">
        <f t="shared" si="11"/>
        <v>111</v>
      </c>
      <c r="R29" s="773" t="s">
        <v>17</v>
      </c>
      <c r="S29" s="774">
        <f t="shared" ref="S29:S47" si="12">F29</f>
        <v>100</v>
      </c>
      <c r="T29" s="773" t="s">
        <v>17</v>
      </c>
      <c r="U29" s="774">
        <f t="shared" ref="U29:U47" si="13">H29</f>
        <v>100</v>
      </c>
      <c r="V29" s="773" t="s">
        <v>17</v>
      </c>
      <c r="W29" s="774">
        <f t="shared" ref="W29:W47" si="14">J29</f>
        <v>100</v>
      </c>
      <c r="X29" s="2994"/>
      <c r="Y29" s="3232"/>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30"/>
      <c r="Q30" s="2989">
        <f t="shared" si="11"/>
        <v>111</v>
      </c>
      <c r="R30" s="773" t="s">
        <v>17</v>
      </c>
      <c r="S30" s="774">
        <f t="shared" si="12"/>
        <v>100</v>
      </c>
      <c r="T30" s="773" t="s">
        <v>17</v>
      </c>
      <c r="U30" s="774">
        <f t="shared" si="13"/>
        <v>100</v>
      </c>
      <c r="V30" s="773" t="s">
        <v>17</v>
      </c>
      <c r="W30" s="774">
        <f t="shared" si="14"/>
        <v>100</v>
      </c>
      <c r="X30" s="2994"/>
      <c r="Y30" s="3232"/>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30"/>
      <c r="Q31" s="2989">
        <f t="shared" si="11"/>
        <v>111</v>
      </c>
      <c r="R31" s="773" t="s">
        <v>17</v>
      </c>
      <c r="S31" s="774">
        <f t="shared" si="12"/>
        <v>100</v>
      </c>
      <c r="T31" s="773" t="s">
        <v>17</v>
      </c>
      <c r="U31" s="774">
        <f t="shared" si="13"/>
        <v>100</v>
      </c>
      <c r="V31" s="773" t="s">
        <v>17</v>
      </c>
      <c r="W31" s="774">
        <f t="shared" si="14"/>
        <v>100</v>
      </c>
      <c r="X31" s="2994"/>
      <c r="Y31" s="3232"/>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30"/>
      <c r="Q32" s="2989">
        <f t="shared" si="11"/>
        <v>111</v>
      </c>
      <c r="R32" s="773" t="s">
        <v>17</v>
      </c>
      <c r="S32" s="774">
        <f t="shared" si="12"/>
        <v>100</v>
      </c>
      <c r="T32" s="773" t="s">
        <v>17</v>
      </c>
      <c r="U32" s="774">
        <f t="shared" si="13"/>
        <v>100</v>
      </c>
      <c r="V32" s="773" t="s">
        <v>17</v>
      </c>
      <c r="W32" s="774">
        <f t="shared" si="14"/>
        <v>100</v>
      </c>
      <c r="X32" s="2994"/>
      <c r="Y32" s="3232"/>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33" t="s">
        <v>2566</v>
      </c>
      <c r="Q33" s="2989" t="str">
        <f t="shared" si="11"/>
        <v>建筑类型</v>
      </c>
      <c r="R33" s="773" t="s">
        <v>17</v>
      </c>
      <c r="S33" s="774">
        <f t="shared" si="12"/>
        <v>100</v>
      </c>
      <c r="T33" s="773" t="s">
        <v>17</v>
      </c>
      <c r="U33" s="774">
        <f t="shared" si="13"/>
        <v>100</v>
      </c>
      <c r="V33" s="773" t="s">
        <v>17</v>
      </c>
      <c r="W33" s="774">
        <f t="shared" si="14"/>
        <v>100</v>
      </c>
      <c r="X33" s="2994"/>
      <c r="Y33" s="3236"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34"/>
      <c r="Q34" s="775" t="str">
        <f t="shared" si="11"/>
        <v>项目建筑规模</v>
      </c>
      <c r="R34" s="776" t="s">
        <v>17</v>
      </c>
      <c r="S34" s="777">
        <f t="shared" si="12"/>
        <v>100</v>
      </c>
      <c r="T34" s="776" t="s">
        <v>17</v>
      </c>
      <c r="U34" s="777">
        <f t="shared" si="13"/>
        <v>100</v>
      </c>
      <c r="V34" s="776" t="s">
        <v>17</v>
      </c>
      <c r="W34" s="777">
        <f t="shared" si="14"/>
        <v>100</v>
      </c>
      <c r="X34" s="778"/>
      <c r="Y34" s="3236"/>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34"/>
      <c r="Q35" s="2989" t="str">
        <f t="shared" si="11"/>
        <v>建筑结构</v>
      </c>
      <c r="R35" s="773" t="s">
        <v>17</v>
      </c>
      <c r="S35" s="774">
        <f t="shared" si="12"/>
        <v>100</v>
      </c>
      <c r="T35" s="773" t="s">
        <v>17</v>
      </c>
      <c r="U35" s="774">
        <f t="shared" si="13"/>
        <v>100</v>
      </c>
      <c r="V35" s="773" t="s">
        <v>17</v>
      </c>
      <c r="W35" s="774">
        <f t="shared" si="14"/>
        <v>100</v>
      </c>
      <c r="X35" s="2994"/>
      <c r="Y35" s="3236"/>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34"/>
      <c r="Q36" s="2989" t="str">
        <f t="shared" si="11"/>
        <v>公共部分装修</v>
      </c>
      <c r="R36" s="773" t="s">
        <v>17</v>
      </c>
      <c r="S36" s="774">
        <f t="shared" si="12"/>
        <v>100</v>
      </c>
      <c r="T36" s="773" t="s">
        <v>17</v>
      </c>
      <c r="U36" s="774">
        <f t="shared" si="13"/>
        <v>100</v>
      </c>
      <c r="V36" s="773" t="s">
        <v>17</v>
      </c>
      <c r="W36" s="774">
        <f t="shared" si="14"/>
        <v>100</v>
      </c>
      <c r="X36" s="2994"/>
      <c r="Y36" s="3236"/>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34"/>
      <c r="Q37" s="2989" t="str">
        <f t="shared" si="11"/>
        <v>成新度</v>
      </c>
      <c r="R37" s="773" t="s">
        <v>17</v>
      </c>
      <c r="S37" s="774">
        <f t="shared" si="12"/>
        <v>100</v>
      </c>
      <c r="T37" s="773" t="s">
        <v>17</v>
      </c>
      <c r="U37" s="774">
        <f t="shared" si="13"/>
        <v>100</v>
      </c>
      <c r="V37" s="773" t="s">
        <v>17</v>
      </c>
      <c r="W37" s="774">
        <f t="shared" si="14"/>
        <v>100</v>
      </c>
      <c r="X37" s="2994"/>
      <c r="Y37" s="3236"/>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34"/>
      <c r="Q38" s="2985" t="str">
        <f t="shared" si="11"/>
        <v>写字楼等级</v>
      </c>
      <c r="R38" s="769" t="s">
        <v>17</v>
      </c>
      <c r="S38" s="770">
        <f t="shared" si="12"/>
        <v>100</v>
      </c>
      <c r="T38" s="769" t="s">
        <v>17</v>
      </c>
      <c r="U38" s="770">
        <f t="shared" si="13"/>
        <v>100</v>
      </c>
      <c r="V38" s="769" t="s">
        <v>17</v>
      </c>
      <c r="W38" s="770">
        <f t="shared" si="14"/>
        <v>100</v>
      </c>
      <c r="X38" s="771"/>
      <c r="Y38" s="3236"/>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34" t="s">
        <v>2566</v>
      </c>
      <c r="Q39" s="2989" t="str">
        <f t="shared" si="11"/>
        <v>物业管理</v>
      </c>
      <c r="R39" s="773" t="s">
        <v>17</v>
      </c>
      <c r="S39" s="774">
        <f t="shared" si="12"/>
        <v>100</v>
      </c>
      <c r="T39" s="773" t="s">
        <v>17</v>
      </c>
      <c r="U39" s="774">
        <f t="shared" si="13"/>
        <v>100</v>
      </c>
      <c r="V39" s="773" t="s">
        <v>17</v>
      </c>
      <c r="W39" s="774">
        <f t="shared" si="14"/>
        <v>100</v>
      </c>
      <c r="X39" s="2994"/>
      <c r="Y39" s="3236"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34"/>
      <c r="Q40" s="2989" t="str">
        <f t="shared" si="11"/>
        <v>市政基础设施</v>
      </c>
      <c r="R40" s="773" t="s">
        <v>17</v>
      </c>
      <c r="S40" s="774">
        <f t="shared" si="12"/>
        <v>100</v>
      </c>
      <c r="T40" s="773" t="s">
        <v>17</v>
      </c>
      <c r="U40" s="774">
        <f t="shared" si="13"/>
        <v>100</v>
      </c>
      <c r="V40" s="773" t="s">
        <v>17</v>
      </c>
      <c r="W40" s="774">
        <f t="shared" si="14"/>
        <v>100</v>
      </c>
      <c r="X40" s="2994"/>
      <c r="Y40" s="3236"/>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34"/>
      <c r="Q41" s="2989" t="str">
        <f t="shared" si="11"/>
        <v>层高</v>
      </c>
      <c r="R41" s="773" t="s">
        <v>17</v>
      </c>
      <c r="S41" s="774">
        <f t="shared" si="12"/>
        <v>100</v>
      </c>
      <c r="T41" s="773" t="s">
        <v>17</v>
      </c>
      <c r="U41" s="774">
        <f t="shared" si="13"/>
        <v>100</v>
      </c>
      <c r="V41" s="773" t="s">
        <v>17</v>
      </c>
      <c r="W41" s="774">
        <f t="shared" si="14"/>
        <v>100</v>
      </c>
      <c r="X41" s="2994"/>
      <c r="Y41" s="3236"/>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34"/>
      <c r="Q42" s="775" t="str">
        <f t="shared" si="11"/>
        <v>单套建筑面积</v>
      </c>
      <c r="R42" s="776" t="s">
        <v>17</v>
      </c>
      <c r="S42" s="777">
        <f t="shared" si="12"/>
        <v>99.5</v>
      </c>
      <c r="T42" s="776" t="s">
        <v>17</v>
      </c>
      <c r="U42" s="777">
        <f t="shared" si="13"/>
        <v>99.5</v>
      </c>
      <c r="V42" s="776" t="s">
        <v>17</v>
      </c>
      <c r="W42" s="777">
        <f t="shared" si="14"/>
        <v>101.5</v>
      </c>
      <c r="X42" s="778"/>
      <c r="Y42" s="3236"/>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34"/>
      <c r="Q43" s="2989" t="str">
        <f t="shared" si="11"/>
        <v>内部装修</v>
      </c>
      <c r="R43" s="773" t="s">
        <v>17</v>
      </c>
      <c r="S43" s="774">
        <f t="shared" si="12"/>
        <v>100</v>
      </c>
      <c r="T43" s="773" t="s">
        <v>17</v>
      </c>
      <c r="U43" s="774">
        <f t="shared" si="13"/>
        <v>100</v>
      </c>
      <c r="V43" s="773" t="s">
        <v>17</v>
      </c>
      <c r="W43" s="774">
        <f t="shared" si="14"/>
        <v>100</v>
      </c>
      <c r="X43" s="2994"/>
      <c r="Y43" s="3236"/>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34"/>
      <c r="Q44" s="2989" t="str">
        <f t="shared" si="11"/>
        <v>内部装修维护情况</v>
      </c>
      <c r="R44" s="773" t="s">
        <v>17</v>
      </c>
      <c r="S44" s="774">
        <f t="shared" si="12"/>
        <v>100</v>
      </c>
      <c r="T44" s="773" t="s">
        <v>17</v>
      </c>
      <c r="U44" s="774">
        <f t="shared" si="13"/>
        <v>100</v>
      </c>
      <c r="V44" s="773" t="s">
        <v>17</v>
      </c>
      <c r="W44" s="774">
        <f t="shared" si="14"/>
        <v>100</v>
      </c>
      <c r="X44" s="2994"/>
      <c r="Y44" s="3236"/>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2985">
        <f t="shared" si="11"/>
        <v>111</v>
      </c>
      <c r="R45" s="769" t="s">
        <v>17</v>
      </c>
      <c r="S45" s="770">
        <f t="shared" si="12"/>
        <v>100</v>
      </c>
      <c r="T45" s="769" t="s">
        <v>17</v>
      </c>
      <c r="U45" s="770">
        <f t="shared" si="13"/>
        <v>100</v>
      </c>
      <c r="V45" s="769" t="s">
        <v>17</v>
      </c>
      <c r="W45" s="770">
        <f t="shared" si="14"/>
        <v>100</v>
      </c>
      <c r="X45" s="771"/>
      <c r="Y45" s="3236"/>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2989">
        <f t="shared" si="11"/>
        <v>111</v>
      </c>
      <c r="R46" s="773" t="s">
        <v>17</v>
      </c>
      <c r="S46" s="774">
        <f t="shared" si="12"/>
        <v>100</v>
      </c>
      <c r="T46" s="773" t="s">
        <v>17</v>
      </c>
      <c r="U46" s="774">
        <f t="shared" si="13"/>
        <v>100</v>
      </c>
      <c r="V46" s="773" t="s">
        <v>17</v>
      </c>
      <c r="W46" s="774">
        <f t="shared" si="14"/>
        <v>100</v>
      </c>
      <c r="X46" s="2994"/>
      <c r="Y46" s="3236"/>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2989">
        <f t="shared" si="11"/>
        <v>111</v>
      </c>
      <c r="R47" s="773" t="s">
        <v>17</v>
      </c>
      <c r="S47" s="774">
        <f t="shared" si="12"/>
        <v>100</v>
      </c>
      <c r="T47" s="773" t="s">
        <v>17</v>
      </c>
      <c r="U47" s="774">
        <f t="shared" si="13"/>
        <v>100</v>
      </c>
      <c r="V47" s="773" t="s">
        <v>17</v>
      </c>
      <c r="W47" s="774">
        <f t="shared" si="14"/>
        <v>100</v>
      </c>
      <c r="X47" s="2994"/>
      <c r="Y47" s="3237"/>
      <c r="Z47" s="2992">
        <f t="shared" si="15"/>
        <v>111</v>
      </c>
      <c r="AA47" s="2990">
        <f t="shared" si="3"/>
        <v>1</v>
      </c>
      <c r="AB47" s="2990">
        <f t="shared" si="4"/>
        <v>1</v>
      </c>
      <c r="AC47" s="2678">
        <f t="shared" si="5"/>
        <v>1</v>
      </c>
    </row>
    <row r="48" spans="1:29" ht="15">
      <c r="A48" s="478" t="s">
        <v>2578</v>
      </c>
      <c r="B48" s="479"/>
      <c r="C48" s="1408" t="s">
        <v>1</v>
      </c>
      <c r="D48" s="1409"/>
      <c r="E48" s="1410">
        <f>5.7*0.95</f>
        <v>5.415</v>
      </c>
      <c r="F48" s="1411"/>
      <c r="G48" s="1412">
        <f>5.5*0.95</f>
        <v>5.2249999999999996</v>
      </c>
      <c r="H48" s="1413"/>
      <c r="I48" s="1410">
        <f>6*0.95</f>
        <v>5.6999999999999993</v>
      </c>
      <c r="J48" s="484"/>
      <c r="K48" s="782"/>
      <c r="L48" s="1145"/>
      <c r="M48" s="1133"/>
      <c r="N48" s="1133"/>
      <c r="O48" s="1133"/>
      <c r="P48" s="3209" t="str">
        <f>A48</f>
        <v>成交单价（元/平方米）</v>
      </c>
      <c r="Q48" s="3238"/>
      <c r="R48" s="3239">
        <f>E48</f>
        <v>5.415</v>
      </c>
      <c r="S48" s="3239"/>
      <c r="T48" s="3239">
        <f>G48</f>
        <v>5.2249999999999996</v>
      </c>
      <c r="U48" s="3239"/>
      <c r="V48" s="3239">
        <f>I48</f>
        <v>5.6999999999999993</v>
      </c>
      <c r="W48" s="3239"/>
      <c r="X48" s="445"/>
      <c r="Y48" s="780"/>
      <c r="Z48" s="445"/>
      <c r="AA48" s="445"/>
      <c r="AB48" s="445"/>
      <c r="AC48" s="629"/>
    </row>
    <row r="49" spans="1:29" ht="15.75" thickBot="1">
      <c r="A49" s="485" t="s">
        <v>2670</v>
      </c>
      <c r="B49" s="486"/>
      <c r="C49" s="1414">
        <f>R50</f>
        <v>5.5</v>
      </c>
      <c r="D49" s="1415"/>
      <c r="E49" s="1416">
        <f>R49</f>
        <v>5.4</v>
      </c>
      <c r="F49" s="1416"/>
      <c r="G49" s="1414">
        <f>T49</f>
        <v>5.4</v>
      </c>
      <c r="H49" s="1415"/>
      <c r="I49" s="1416">
        <f>V49</f>
        <v>5.6</v>
      </c>
      <c r="J49" s="488"/>
      <c r="K49" s="783"/>
      <c r="L49" s="1145"/>
      <c r="M49" s="1133"/>
      <c r="N49" s="1133"/>
      <c r="O49" s="1133"/>
      <c r="P49" s="3209" t="str">
        <f>A49</f>
        <v>比较价值（元/平方米）</v>
      </c>
      <c r="Q49" s="3238"/>
      <c r="R49" s="3239">
        <f>IF(F1="售价",ROUND(PRODUCT(R48,AA7:AA47),0),ROUND(PRODUCT(R48,AA7:AA47),1))</f>
        <v>5.4</v>
      </c>
      <c r="S49" s="3239"/>
      <c r="T49" s="3239">
        <f>IF(F1="售价",ROUND(PRODUCT(T48,AB7:AB47),0),ROUND(PRODUCT(T48,AB7:AB47),1))</f>
        <v>5.4</v>
      </c>
      <c r="U49" s="3239"/>
      <c r="V49" s="3239">
        <f>IF(F1="售价",ROUND(PRODUCT(V48,AC7:AC47),0),ROUND(PRODUCT(V48,AC7:AC47),1))</f>
        <v>5.6</v>
      </c>
      <c r="W49" s="3239"/>
      <c r="X49" s="445"/>
      <c r="Y49" s="445"/>
      <c r="Z49" s="445"/>
      <c r="AA49" s="445"/>
      <c r="AB49" s="445"/>
      <c r="AC49" s="629"/>
    </row>
    <row r="50" spans="1:29" ht="15.75" thickBot="1">
      <c r="A50" s="491" t="s">
        <v>2671</v>
      </c>
      <c r="B50" s="492"/>
      <c r="C50" s="1418">
        <f>R50</f>
        <v>5.5</v>
      </c>
      <c r="D50" s="1418"/>
      <c r="E50" s="1418"/>
      <c r="F50" s="1418"/>
      <c r="G50" s="1418"/>
      <c r="H50" s="1418"/>
      <c r="I50" s="1418"/>
      <c r="J50" s="493"/>
      <c r="K50" s="784"/>
      <c r="L50" s="1145"/>
      <c r="M50" s="1133"/>
      <c r="N50" s="1133"/>
      <c r="O50" s="1133"/>
      <c r="P50" s="3240" t="str">
        <f>A50</f>
        <v>估价对象XX用房的比较价值（楼面单价，元/平方米）</v>
      </c>
      <c r="Q50" s="3241"/>
      <c r="R50" s="3242">
        <f>IF(F1="售价",ROUND(AVERAGE(R49:V49),0),ROUND(AVERAGE(R49:V49),1))</f>
        <v>5.5</v>
      </c>
      <c r="S50" s="3242"/>
      <c r="T50" s="3242"/>
      <c r="U50" s="3242"/>
      <c r="V50" s="3242"/>
      <c r="W50" s="324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2.7777777777777679E-3</v>
      </c>
      <c r="F53" s="499" t="str">
        <f>IF(OR(E53&gt;=0.3,E53&lt;=-0.3),"超过30%","")</f>
        <v/>
      </c>
      <c r="G53" s="498">
        <f>IF(G48&lt;G49,G49/G48-1,G48/G49-1)</f>
        <v>3.3492822966507241E-2</v>
      </c>
      <c r="H53" s="499" t="str">
        <f>IF(OR(G53&gt;=0.3,G53&lt;=-0.3),"超过30%","")</f>
        <v/>
      </c>
      <c r="I53" s="498">
        <f>IF(I48&lt;I49,I49/I48-1,I48/I49-1)</f>
        <v>1.7857142857142794E-2</v>
      </c>
      <c r="J53" s="499" t="str">
        <f>IF(OR(I53&gt;=0.3,I53&lt;=-0.3),"超过30%","")</f>
        <v/>
      </c>
      <c r="K53" s="1107"/>
      <c r="L53" s="1108"/>
      <c r="M53" s="1146"/>
      <c r="N53" s="1146"/>
      <c r="O53" s="1146"/>
    </row>
    <row r="54" spans="1:29" ht="13.5" customHeight="1">
      <c r="A54" s="1146"/>
      <c r="B54" s="1146"/>
      <c r="C54" s="496" t="s">
        <v>2673</v>
      </c>
      <c r="D54" s="500"/>
      <c r="E54" s="498">
        <f>IF(E49&lt;G49,G49/E49-1,E49/G49-1)</f>
        <v>0</v>
      </c>
      <c r="F54" s="499" t="str">
        <f>IF(OR(E54&gt;=0.2,E54&lt;=-0.2),"超过20%","")</f>
        <v/>
      </c>
      <c r="G54" s="498">
        <f>IF(G49&lt;I49,I49/G49-1,G49/I49-1)</f>
        <v>3.7037037037036979E-2</v>
      </c>
      <c r="H54" s="499" t="str">
        <f>IF(OR(G54&gt;=0.2,G54&lt;=-0.2),"超过20%","")</f>
        <v/>
      </c>
      <c r="I54" s="498">
        <f>IF(I49&lt;E49,E49/I49-1,I49/E49-1)</f>
        <v>3.7037037037036979E-2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3.6363636363636376E-2</v>
      </c>
      <c r="F55" s="499" t="str">
        <f>IF(OR(E55&gt;=0.3,E55&lt;=-0.3),"超过30%","")</f>
        <v/>
      </c>
      <c r="G55" s="498">
        <f>IF(G48&lt;I48,I48/G48-1,G48/I48-1)</f>
        <v>9.0909090909090828E-2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532</v>
      </c>
      <c r="C2" s="1846" t="s">
        <v>1514</v>
      </c>
      <c r="D2" s="1846"/>
      <c r="E2" s="1847"/>
      <c r="F2" s="1848"/>
      <c r="G2" s="1849"/>
      <c r="H2" s="1841"/>
      <c r="I2" s="1841"/>
      <c r="J2" s="1841"/>
      <c r="K2" s="1842"/>
      <c r="L2" s="1841"/>
      <c r="M2" s="1841"/>
    </row>
    <row r="3" spans="1:37" ht="18" customHeight="1" thickBot="1">
      <c r="A3" s="1850" t="s">
        <v>1515</v>
      </c>
      <c r="B3" s="1851">
        <f ca="1">IF(ISERROR(B2*10000/F43),0,ROUND(B2*10000/F43,0))</f>
        <v>25551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38</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38</v>
      </c>
      <c r="D6" s="163" t="s">
        <v>3034</v>
      </c>
      <c r="E6" s="346" t="s">
        <v>1403</v>
      </c>
      <c r="F6" s="347">
        <f ca="1">INDIRECT("'数据-取费表'!u"&amp;$G$1)</f>
        <v>5.5</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78</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101</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0.9</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0.85</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ROUND(J14*M22,1)</f>
        <v>1.5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ROUND(J5*M24,1)</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12</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101</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6.6</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2.0299999999999998</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4.5599999999999996</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29</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527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25311</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-662</v>
      </c>
      <c r="D46" s="1873" t="str">
        <f>C2</f>
        <v>万元</v>
      </c>
      <c r="E46" s="1867"/>
      <c r="F46" s="1867"/>
      <c r="I46" s="1874" t="s">
        <v>1519</v>
      </c>
      <c r="J46" s="1875"/>
      <c r="K46" s="1876"/>
      <c r="L46" s="1877">
        <f ca="1">IF(M47="住宅",0,IF(L48&gt;J51,L60,J60))</f>
        <v>5</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527</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5</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101</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317</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532</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78</v>
      </c>
      <c r="D56" s="1915"/>
      <c r="E56" s="1916"/>
      <c r="F56" s="1908"/>
      <c r="I56" s="1917" t="s">
        <v>1552</v>
      </c>
      <c r="J56" s="1918" t="s">
        <v>3067</v>
      </c>
      <c r="K56" s="1888" t="s">
        <v>1553</v>
      </c>
      <c r="L56" s="1891" t="str">
        <f ca="1">IF(L48&lt;J51,"——",L48-J53)</f>
        <v>——</v>
      </c>
      <c r="O56" s="1885" t="s">
        <v>1040</v>
      </c>
      <c r="P56" s="1886" t="s">
        <v>1526</v>
      </c>
      <c r="Q56" s="1887">
        <f ca="1">C40+J29</f>
        <v>527</v>
      </c>
      <c r="R56" s="1887" t="s">
        <v>1527</v>
      </c>
    </row>
    <row r="57" spans="1:18" s="1843" customFormat="1" ht="24.75" thickBot="1">
      <c r="A57" s="1919"/>
      <c r="B57" s="1171" t="s">
        <v>1476</v>
      </c>
      <c r="C57" s="281">
        <f ca="1">C29</f>
        <v>101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40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5</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8.48</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527</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527</v>
      </c>
      <c r="R65" s="1887" t="s">
        <v>1527</v>
      </c>
    </row>
    <row r="66" spans="1:18" s="1843" customFormat="1" ht="16.5" thickBot="1">
      <c r="A66" s="1203" t="s">
        <v>1502</v>
      </c>
      <c r="B66" s="1171" t="s">
        <v>1437</v>
      </c>
      <c r="C66" s="23">
        <f ca="1">ROUND(C48*F66,1)</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317</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v>
      </c>
      <c r="R69" s="1887" t="s">
        <v>1527</v>
      </c>
    </row>
    <row r="70" spans="1:18" s="1843" customFormat="1" ht="13.5" thickBot="1">
      <c r="A70" s="1175"/>
      <c r="B70" s="1176"/>
      <c r="C70" s="354"/>
      <c r="D70" s="1187"/>
      <c r="E70" s="1171" t="s">
        <v>1475</v>
      </c>
      <c r="F70" s="1276"/>
      <c r="O70" s="1895" t="s">
        <v>1049</v>
      </c>
      <c r="P70" s="1935" t="s">
        <v>1583</v>
      </c>
      <c r="Q70" s="1887">
        <f ca="1">C13</f>
        <v>78</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7</v>
      </c>
      <c r="D75" s="1843"/>
      <c r="E75" s="1843"/>
      <c r="F75" s="1843"/>
      <c r="K75" s="1869"/>
      <c r="L75" s="1843"/>
      <c r="O75" s="1885" t="s">
        <v>1046</v>
      </c>
      <c r="P75" s="1886" t="s">
        <v>1547</v>
      </c>
      <c r="Q75" s="1887">
        <f ca="1">Q65+Q66</f>
        <v>527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0.75900000000000001</v>
      </c>
    </row>
    <row r="80" spans="1:18">
      <c r="B80" s="385" t="s">
        <v>1509</v>
      </c>
      <c r="C80" s="317">
        <f ca="1">ROUND(C75/C39,3)</f>
        <v>0.24099999999999999</v>
      </c>
    </row>
    <row r="81" spans="2:3">
      <c r="B81" s="313" t="s">
        <v>1510</v>
      </c>
      <c r="C81" s="281"/>
    </row>
    <row r="82" spans="2:3">
      <c r="B82" s="316" t="s">
        <v>1511</v>
      </c>
      <c r="C82" s="318">
        <f ca="1">1-C83</f>
        <v>0.85199999999999998</v>
      </c>
    </row>
    <row r="83" spans="2:3">
      <c r="B83" s="316" t="s">
        <v>1512</v>
      </c>
      <c r="C83" s="317">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29534</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04" t="s">
        <v>33</v>
      </c>
      <c r="D22" s="3105"/>
      <c r="E22" s="3105"/>
      <c r="F22" s="3105"/>
      <c r="G22" s="3105"/>
      <c r="H22" s="3105"/>
      <c r="I22" s="3105"/>
      <c r="J22" s="3105"/>
      <c r="K22" s="3105"/>
      <c r="L22" s="3105"/>
      <c r="M22" s="3105"/>
      <c r="N22" s="3105"/>
      <c r="O22" s="3105"/>
      <c r="P22" s="3105"/>
      <c r="Q22" s="3248"/>
      <c r="R22" s="715">
        <f ca="1">ROUND(S22*10000/B22,0)</f>
        <v>29534</v>
      </c>
      <c r="S22" s="2975">
        <f ca="1">SUM(S24:S10000)</f>
        <v>7118</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'结果表-办公'!H102</f>
        <v>29441</v>
      </c>
      <c r="S24" s="718">
        <f t="shared" ref="S24:S54" ca="1" si="13">ROUND(R24*B24/10000,0)</f>
        <v>613</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29588</v>
      </c>
      <c r="S25" s="360">
        <f t="shared" ca="1" si="13"/>
        <v>1170</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29441</v>
      </c>
      <c r="S26" s="360">
        <f t="shared" ca="1" si="13"/>
        <v>606</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29588</v>
      </c>
      <c r="S27" s="360">
        <f t="shared" ca="1" si="13"/>
        <v>1170</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29441</v>
      </c>
      <c r="S28" s="360">
        <f t="shared" ca="1" si="13"/>
        <v>613</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29588</v>
      </c>
      <c r="S29" s="360">
        <f t="shared" ca="1" si="13"/>
        <v>1170</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29441</v>
      </c>
      <c r="S30" s="360">
        <f t="shared" ca="1" si="13"/>
        <v>606</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29588</v>
      </c>
      <c r="S31" s="360">
        <f t="shared" ca="1" si="13"/>
        <v>1170</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68" t="str">
        <f>项目基本情况!S2</f>
        <v>房地产</v>
      </c>
      <c r="B2" s="3169"/>
      <c r="C2" s="3169"/>
      <c r="D2" s="3169"/>
      <c r="E2" s="3169"/>
      <c r="F2" s="3169"/>
      <c r="G2" s="3169"/>
      <c r="H2" s="3169"/>
      <c r="I2" s="3170"/>
    </row>
    <row r="3" spans="1:12" ht="12.75">
      <c r="A3" s="3171" t="s">
        <v>2120</v>
      </c>
      <c r="B3" s="3172"/>
      <c r="C3" s="3172"/>
      <c r="D3" s="3172"/>
      <c r="E3" s="3172"/>
      <c r="F3" s="3172"/>
      <c r="G3" s="3172"/>
      <c r="H3" s="3172"/>
      <c r="I3" s="3172"/>
    </row>
    <row r="4" spans="1:12" ht="14.25">
      <c r="A4" s="2427" t="s">
        <v>2121</v>
      </c>
      <c r="B4" s="2428" t="s">
        <v>2122</v>
      </c>
      <c r="C4" s="2429" t="s">
        <v>3111</v>
      </c>
      <c r="D4" s="2429" t="s">
        <v>3143</v>
      </c>
      <c r="E4" s="3152" t="s">
        <v>2123</v>
      </c>
      <c r="F4" s="3165"/>
      <c r="G4" s="3165"/>
      <c r="H4" s="3165"/>
      <c r="I4" s="3153"/>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43" t="s">
        <v>2124</v>
      </c>
      <c r="B5" s="3069">
        <v>25</v>
      </c>
      <c r="C5" s="3173"/>
      <c r="D5" s="3161"/>
      <c r="E5" s="139" t="s">
        <v>2125</v>
      </c>
      <c r="F5" s="2431"/>
      <c r="G5" s="2431"/>
      <c r="H5" s="2431"/>
      <c r="I5" s="1832"/>
    </row>
    <row r="6" spans="1:12" ht="12.75">
      <c r="A6" s="3143"/>
      <c r="B6" s="3069"/>
      <c r="C6" s="3175"/>
      <c r="D6" s="3161"/>
      <c r="E6" s="139" t="s">
        <v>2126</v>
      </c>
      <c r="F6" s="2431"/>
      <c r="G6" s="2431"/>
      <c r="H6" s="2431"/>
      <c r="I6" s="1832"/>
    </row>
    <row r="7" spans="1:12" ht="12.75">
      <c r="A7" s="3143"/>
      <c r="B7" s="3069"/>
      <c r="C7" s="3174"/>
      <c r="D7" s="3161"/>
      <c r="E7" s="139" t="s">
        <v>2127</v>
      </c>
      <c r="F7" s="2431"/>
      <c r="G7" s="2431"/>
      <c r="H7" s="2431"/>
      <c r="I7" s="1832"/>
    </row>
    <row r="8" spans="1:12" ht="12.75">
      <c r="A8" s="3143" t="s">
        <v>2128</v>
      </c>
      <c r="B8" s="3069">
        <v>15</v>
      </c>
      <c r="C8" s="3173"/>
      <c r="D8" s="3161"/>
      <c r="E8" s="139" t="s">
        <v>2129</v>
      </c>
      <c r="F8" s="2431"/>
      <c r="G8" s="2431"/>
      <c r="H8" s="2431"/>
      <c r="I8" s="1832"/>
    </row>
    <row r="9" spans="1:12" ht="12.75">
      <c r="A9" s="3143"/>
      <c r="B9" s="3069"/>
      <c r="C9" s="3174"/>
      <c r="D9" s="3161"/>
      <c r="E9" s="139" t="s">
        <v>2130</v>
      </c>
      <c r="F9" s="2431"/>
      <c r="G9" s="2431"/>
      <c r="H9" s="2431"/>
      <c r="I9" s="1832"/>
    </row>
    <row r="10" spans="1:12" ht="12.75">
      <c r="A10" s="3143" t="s">
        <v>2131</v>
      </c>
      <c r="B10" s="3069">
        <v>15</v>
      </c>
      <c r="C10" s="3173"/>
      <c r="D10" s="3161"/>
      <c r="E10" s="139" t="s">
        <v>2132</v>
      </c>
      <c r="F10" s="2431"/>
      <c r="G10" s="2431"/>
      <c r="H10" s="2431"/>
      <c r="I10" s="1832"/>
    </row>
    <row r="11" spans="1:12" ht="12.75">
      <c r="A11" s="3143"/>
      <c r="B11" s="3069"/>
      <c r="C11" s="3174"/>
      <c r="D11" s="3161"/>
      <c r="E11" s="139" t="s">
        <v>2133</v>
      </c>
      <c r="F11" s="2431"/>
      <c r="G11" s="2431"/>
      <c r="H11" s="2431"/>
      <c r="I11" s="1832"/>
    </row>
    <row r="12" spans="1:12" ht="12.75">
      <c r="A12" s="3143" t="s">
        <v>2134</v>
      </c>
      <c r="B12" s="3069">
        <v>15</v>
      </c>
      <c r="C12" s="3173"/>
      <c r="D12" s="3161"/>
      <c r="E12" s="139" t="s">
        <v>2135</v>
      </c>
      <c r="F12" s="2431"/>
      <c r="G12" s="2431"/>
      <c r="H12" s="2431"/>
      <c r="I12" s="1832"/>
    </row>
    <row r="13" spans="1:12" ht="12.75">
      <c r="A13" s="3143"/>
      <c r="B13" s="3069"/>
      <c r="C13" s="3174"/>
      <c r="D13" s="3161"/>
      <c r="E13" s="139" t="s">
        <v>2136</v>
      </c>
      <c r="F13" s="2431"/>
      <c r="G13" s="2431"/>
      <c r="H13" s="2431"/>
      <c r="I13" s="1832"/>
    </row>
    <row r="14" spans="1:12" ht="12.75">
      <c r="A14" s="3143" t="s">
        <v>2137</v>
      </c>
      <c r="B14" s="3069">
        <v>30</v>
      </c>
      <c r="C14" s="3173">
        <v>4</v>
      </c>
      <c r="D14" s="3161">
        <f>10-C14</f>
        <v>6</v>
      </c>
      <c r="E14" s="139" t="s">
        <v>2138</v>
      </c>
      <c r="F14" s="2431"/>
      <c r="G14" s="2431"/>
      <c r="H14" s="2431"/>
      <c r="I14" s="1832"/>
    </row>
    <row r="15" spans="1:12" ht="12.75">
      <c r="A15" s="3143"/>
      <c r="B15" s="3069"/>
      <c r="C15" s="3175"/>
      <c r="D15" s="3161"/>
      <c r="E15" s="139" t="s">
        <v>2139</v>
      </c>
      <c r="F15" s="2431"/>
      <c r="G15" s="2431"/>
      <c r="H15" s="2431"/>
      <c r="I15" s="1832"/>
    </row>
    <row r="16" spans="1:12" ht="12.75">
      <c r="A16" s="3143"/>
      <c r="B16" s="3069"/>
      <c r="C16" s="3174"/>
      <c r="D16" s="3161"/>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32</v>
      </c>
      <c r="D19" s="143">
        <f ca="1">SUMIF(INDIRECT("'"&amp;D4&amp;"'"&amp;"!A:A"),'结果表-车位'!B19,INDIRECT("'"&amp;D4&amp;"'"&amp;"!B:B"))</f>
        <v>12</v>
      </c>
      <c r="E19" s="2436" t="s">
        <v>2148</v>
      </c>
      <c r="F19" s="2437" t="s">
        <v>2147</v>
      </c>
      <c r="G19" s="144">
        <f ca="1">ROUND(C19*$C$18+D19*$D$18,0)</f>
        <v>20</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5136</v>
      </c>
      <c r="D20" s="146">
        <f ca="1">SUMIF(INDIRECT("'"&amp;D4&amp;"'"&amp;"!A:A"),'结果表-车位'!B20,INDIRECT("'"&amp;D4&amp;"'"&amp;"!B:B"))</f>
        <v>1936</v>
      </c>
      <c r="E20" s="2439"/>
      <c r="F20" s="1248" t="s">
        <v>2151</v>
      </c>
      <c r="G20" s="147">
        <f ca="1">ROUND(C20*$C$18+D20*$D$18,0)</f>
        <v>3216</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1.6666666666666665</v>
      </c>
      <c r="E22" s="137"/>
      <c r="F22" s="137"/>
      <c r="G22" s="137"/>
      <c r="H22" s="137"/>
      <c r="I22" s="137"/>
    </row>
    <row r="23" spans="1:35" ht="13.5" thickBot="1">
      <c r="A23" s="2420"/>
      <c r="B23" s="2420"/>
      <c r="C23" s="2420"/>
      <c r="D23" s="2420"/>
      <c r="E23" s="137"/>
      <c r="F23" s="137"/>
      <c r="G23" s="137"/>
      <c r="H23" s="137"/>
      <c r="I23" s="137"/>
    </row>
    <row r="24" spans="1:35" ht="14.25">
      <c r="A24" s="3182" t="s">
        <v>2155</v>
      </c>
      <c r="B24" s="2437" t="s">
        <v>2147</v>
      </c>
      <c r="C24" s="144">
        <f>IF(B30=0,0,D30)</f>
        <v>0</v>
      </c>
      <c r="D24" s="2444"/>
      <c r="E24" s="137"/>
      <c r="F24" s="137"/>
      <c r="G24" s="137"/>
      <c r="H24" s="137"/>
      <c r="I24" s="137"/>
    </row>
    <row r="25" spans="1:35" ht="14.25">
      <c r="A25" s="318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20</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62" t="s">
        <v>2169</v>
      </c>
      <c r="B36" s="2463" t="s">
        <v>2170</v>
      </c>
      <c r="C36" s="153"/>
      <c r="D36" s="2464"/>
      <c r="E36" s="2465"/>
      <c r="F36" s="2466"/>
      <c r="G36" s="137"/>
      <c r="H36" s="137"/>
      <c r="I36" s="137"/>
    </row>
    <row r="37" spans="1:15" ht="15.75" thickBot="1">
      <c r="A37" s="3163"/>
      <c r="B37" s="2268" t="s">
        <v>2171</v>
      </c>
      <c r="C37" s="155"/>
      <c r="D37" s="1393"/>
      <c r="E37" s="1393"/>
      <c r="F37" s="2466"/>
      <c r="G37" s="137"/>
      <c r="H37" s="137"/>
      <c r="I37" s="137"/>
    </row>
    <row r="38" spans="1:15" ht="15.75" thickBot="1">
      <c r="A38" s="3164"/>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79" t="s">
        <v>2183</v>
      </c>
      <c r="B45" s="3180"/>
      <c r="C45" s="3181"/>
      <c r="D45" s="163">
        <f ca="1">ROUND(H101*F45,0)</f>
        <v>20</v>
      </c>
      <c r="E45" s="164" t="s">
        <v>2184</v>
      </c>
      <c r="F45" s="165">
        <v>1</v>
      </c>
      <c r="G45" s="166" t="s">
        <v>2185</v>
      </c>
      <c r="H45" s="137"/>
      <c r="I45" s="137"/>
      <c r="J45" s="3098" t="s">
        <v>2186</v>
      </c>
      <c r="K45" s="3098"/>
      <c r="L45" s="3098"/>
      <c r="M45" s="3098"/>
      <c r="N45" s="3098"/>
      <c r="O45" s="3098"/>
    </row>
    <row r="46" spans="1:15" ht="14.25" customHeight="1">
      <c r="A46" s="3176" t="s">
        <v>2187</v>
      </c>
      <c r="B46" s="3177"/>
      <c r="C46" s="3177"/>
      <c r="D46" s="3177"/>
      <c r="E46" s="3177"/>
      <c r="F46" s="3177"/>
      <c r="G46" s="3178"/>
      <c r="H46" s="2482"/>
      <c r="I46" s="167"/>
      <c r="J46" s="2959">
        <v>1</v>
      </c>
      <c r="K46" s="3098" t="s">
        <v>2188</v>
      </c>
      <c r="L46" s="3098"/>
      <c r="M46" s="3099"/>
      <c r="N46" s="3099"/>
      <c r="O46" s="3099"/>
    </row>
    <row r="47" spans="1:15" ht="12" customHeight="1">
      <c r="A47" s="168" t="s">
        <v>2189</v>
      </c>
      <c r="B47" s="169"/>
      <c r="C47" s="170"/>
      <c r="D47" s="171" t="s">
        <v>2190</v>
      </c>
      <c r="E47" s="23" t="s">
        <v>2191</v>
      </c>
      <c r="F47" s="172" t="s">
        <v>2192</v>
      </c>
      <c r="G47" s="173" t="s">
        <v>2193</v>
      </c>
      <c r="H47" s="2482"/>
      <c r="I47" s="167"/>
      <c r="J47" s="2959">
        <v>2</v>
      </c>
      <c r="K47" s="3098" t="s">
        <v>2194</v>
      </c>
      <c r="L47" s="3098"/>
      <c r="M47" s="3100">
        <f>'数据-取费表'!B2</f>
        <v>43270</v>
      </c>
      <c r="N47" s="3100"/>
      <c r="O47" s="3100"/>
    </row>
    <row r="48" spans="1:15" ht="25.5">
      <c r="A48" s="3166" t="s">
        <v>2195</v>
      </c>
      <c r="B48" s="3167"/>
      <c r="C48" s="3167"/>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098" t="s">
        <v>2198</v>
      </c>
      <c r="L48" s="3098"/>
      <c r="M48" s="3101">
        <f ca="1">H101</f>
        <v>20</v>
      </c>
      <c r="N48" s="3101"/>
      <c r="O48" s="3101"/>
    </row>
    <row r="49" spans="1:35" ht="25.5" customHeight="1">
      <c r="A49" s="175" t="s">
        <v>2199</v>
      </c>
      <c r="B49" s="3146" t="s">
        <v>2200</v>
      </c>
      <c r="C49" s="3146"/>
      <c r="D49" s="176">
        <v>0</v>
      </c>
      <c r="E49" s="22" t="s">
        <v>2201</v>
      </c>
      <c r="F49" s="27" t="s">
        <v>34</v>
      </c>
      <c r="G49" s="3127"/>
      <c r="H49" s="137"/>
      <c r="I49" s="2485"/>
      <c r="J49" s="2959">
        <v>4</v>
      </c>
      <c r="K49" s="3098" t="str">
        <f>IF(项目基本情况!E8="房地产抵押价值","房地产抵押价值","抵押担保权已注销时的房地产抵押价值")</f>
        <v>房地产抵押价值</v>
      </c>
      <c r="L49" s="3098"/>
      <c r="M49" s="3101">
        <f ca="1">IF(项目基本情况!E8="房地产抵押价值",H107,H109)</f>
        <v>20</v>
      </c>
      <c r="N49" s="3101"/>
      <c r="O49" s="3101"/>
    </row>
    <row r="50" spans="1:35" ht="25.5" customHeight="1">
      <c r="A50" s="177"/>
      <c r="B50" s="3146" t="s">
        <v>2202</v>
      </c>
      <c r="C50" s="3146"/>
      <c r="D50" s="178"/>
      <c r="E50" s="30"/>
      <c r="F50" s="179"/>
      <c r="G50" s="3128"/>
      <c r="H50" s="137"/>
      <c r="I50" s="2485"/>
      <c r="J50" s="3098" t="s">
        <v>2203</v>
      </c>
      <c r="K50" s="3098"/>
      <c r="L50" s="3098"/>
      <c r="M50" s="3098"/>
      <c r="N50" s="3098"/>
      <c r="O50" s="3098"/>
    </row>
    <row r="51" spans="1:35" ht="12" customHeight="1">
      <c r="A51" s="180"/>
      <c r="B51" s="3146" t="s">
        <v>2204</v>
      </c>
      <c r="C51" s="3146"/>
      <c r="D51" s="181"/>
      <c r="E51" s="29"/>
      <c r="F51" s="179"/>
      <c r="G51" s="3129"/>
      <c r="H51" s="137"/>
      <c r="I51" s="2485"/>
      <c r="J51" s="2958" t="s">
        <v>2205</v>
      </c>
      <c r="K51" s="3098" t="s">
        <v>2206</v>
      </c>
      <c r="L51" s="3098"/>
      <c r="M51" s="2958" t="s">
        <v>2207</v>
      </c>
      <c r="N51" s="2958" t="s">
        <v>2208</v>
      </c>
      <c r="O51" s="2958" t="s">
        <v>2209</v>
      </c>
    </row>
    <row r="52" spans="1:35" ht="24" customHeight="1">
      <c r="A52" s="182" t="s">
        <v>2210</v>
      </c>
      <c r="B52" s="3146" t="s">
        <v>2211</v>
      </c>
      <c r="C52" s="3146"/>
      <c r="D52" s="181">
        <f ca="1">ROUND(D45*'数据-取费表'!B41/(1+'数据-取费表'!C42),0)</f>
        <v>1</v>
      </c>
      <c r="E52" s="11" t="s">
        <v>2212</v>
      </c>
      <c r="F52" s="183">
        <f>'数据-取费表'!B41</f>
        <v>5.6000000000000001E-2</v>
      </c>
      <c r="G52" s="2487"/>
      <c r="H52" s="137"/>
      <c r="I52" s="2485"/>
      <c r="J52" s="2959">
        <v>1</v>
      </c>
      <c r="K52" s="3121" t="s">
        <v>2213</v>
      </c>
      <c r="L52" s="3121"/>
      <c r="M52" s="1752">
        <f>D48</f>
        <v>0</v>
      </c>
      <c r="N52" s="2959" t="str">
        <f>E48</f>
        <v>销售额×税（费）率</v>
      </c>
      <c r="O52" s="1753" t="str">
        <f>F48</f>
        <v>免征</v>
      </c>
    </row>
    <row r="53" spans="1:35" ht="12" customHeight="1">
      <c r="A53" s="182" t="s">
        <v>2214</v>
      </c>
      <c r="B53" s="3147" t="s">
        <v>2215</v>
      </c>
      <c r="C53" s="3148"/>
      <c r="D53" s="181">
        <f ca="1">ROUND(D45*'数据-取费表'!B41/(1+'数据-取费表'!C42),0)</f>
        <v>1</v>
      </c>
      <c r="E53" s="11" t="s">
        <v>2212</v>
      </c>
      <c r="F53" s="183">
        <f>'数据-取费表'!B41</f>
        <v>5.6000000000000001E-2</v>
      </c>
      <c r="G53" s="2487"/>
      <c r="H53" s="137"/>
      <c r="I53" s="2485"/>
      <c r="J53" s="2959">
        <v>2</v>
      </c>
      <c r="K53" s="3121" t="s">
        <v>2216</v>
      </c>
      <c r="L53" s="3121"/>
      <c r="M53" s="1752">
        <f t="shared" ref="M53:O54" ca="1" si="0">D55</f>
        <v>0</v>
      </c>
      <c r="N53" s="2959" t="str">
        <f t="shared" si="0"/>
        <v>销售额×税（费）率</v>
      </c>
      <c r="O53" s="1753">
        <f t="shared" si="0"/>
        <v>5.0000000000000001E-4</v>
      </c>
    </row>
    <row r="54" spans="1:35" ht="12" customHeight="1">
      <c r="A54" s="182" t="s">
        <v>2217</v>
      </c>
      <c r="B54" s="3147" t="s">
        <v>2218</v>
      </c>
      <c r="C54" s="3148"/>
      <c r="D54" s="181">
        <f ca="1">C68</f>
        <v>1</v>
      </c>
      <c r="E54" s="29" t="s">
        <v>2219</v>
      </c>
      <c r="F54" s="183">
        <f>'数据-取费表'!B41</f>
        <v>5.6000000000000001E-2</v>
      </c>
      <c r="G54" s="2487"/>
      <c r="H54" s="2488"/>
      <c r="I54" s="2485"/>
      <c r="J54" s="2959">
        <v>3</v>
      </c>
      <c r="K54" s="3121" t="s">
        <v>2220</v>
      </c>
      <c r="L54" s="3121"/>
      <c r="M54" s="1752" t="e">
        <f t="shared" ca="1" si="0"/>
        <v>#DIV/0!</v>
      </c>
      <c r="N54" s="2959" t="str">
        <f t="shared" si="0"/>
        <v>增值额×税（费）率</v>
      </c>
      <c r="O54" s="1754" t="str">
        <f t="shared" si="0"/>
        <v>——</v>
      </c>
    </row>
    <row r="55" spans="1:35" ht="24" customHeight="1">
      <c r="A55" s="3185" t="s">
        <v>2221</v>
      </c>
      <c r="B55" s="3167"/>
      <c r="C55" s="3167"/>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21" t="str">
        <f>IF(H59="非个人房产","——","个人所得税")</f>
        <v>——</v>
      </c>
      <c r="L55" s="3121"/>
      <c r="M55" s="1755" t="str">
        <f>D59</f>
        <v>——</v>
      </c>
      <c r="N55" s="2960" t="str">
        <f>E59</f>
        <v>——</v>
      </c>
      <c r="O55" s="1756" t="str">
        <f>F59</f>
        <v>——</v>
      </c>
    </row>
    <row r="56" spans="1:35" ht="24.75">
      <c r="A56" s="3185" t="s">
        <v>2224</v>
      </c>
      <c r="B56" s="3167"/>
      <c r="C56" s="3167"/>
      <c r="D56" s="184" t="e">
        <f ca="1">IF(H56="个人住宅",D57,D58)</f>
        <v>#DIV/0!</v>
      </c>
      <c r="E56" s="11" t="s">
        <v>2225</v>
      </c>
      <c r="F56" s="183" t="str">
        <f>IF(H56="正常",F58,"免征")</f>
        <v>——</v>
      </c>
      <c r="G56" s="2489" t="s">
        <v>2226</v>
      </c>
      <c r="H56" s="2490" t="s">
        <v>2223</v>
      </c>
      <c r="I56" s="2491"/>
      <c r="J56" s="2959" t="str">
        <f>IF(项目基本情况!K6="上海银行",IF(J55="",4,J55+1),"")</f>
        <v/>
      </c>
      <c r="K56" s="3104" t="str">
        <f>IF(项目基本情况!K6="上海银行","其他处置费用","")</f>
        <v/>
      </c>
      <c r="L56" s="3105"/>
      <c r="M56" s="1752" t="str">
        <f>IF(项目基本情况!K6="上海银行",M69,"")</f>
        <v/>
      </c>
      <c r="N56" s="3107" t="str">
        <f>IF(项目基本情况!K6="上海银行","包含处置中涉及的律师、诉讼、拍卖、评估等费用","")</f>
        <v/>
      </c>
      <c r="O56" s="3108"/>
    </row>
    <row r="57" spans="1:35" ht="12.75">
      <c r="A57" s="182" t="s">
        <v>2199</v>
      </c>
      <c r="B57" s="3152" t="s">
        <v>2227</v>
      </c>
      <c r="C57" s="3153"/>
      <c r="D57" s="186">
        <v>0</v>
      </c>
      <c r="E57" s="22" t="s">
        <v>2201</v>
      </c>
      <c r="F57" s="154"/>
      <c r="G57" s="2487"/>
      <c r="H57" s="2491"/>
      <c r="I57" s="2491"/>
      <c r="J57" s="3121">
        <f>IF(AND(J55="",J56=""),4,IF(项目基本情况!K6="上海银行",'结果表-车位'!J56+1,'结果表-车位'!J55+1))</f>
        <v>4</v>
      </c>
      <c r="K57" s="3121" t="s">
        <v>2228</v>
      </c>
      <c r="L57" s="2492" t="s">
        <v>2229</v>
      </c>
      <c r="M57" s="1757"/>
      <c r="N57" s="1758">
        <f ca="1">SUMIF(M52:M56,"&lt;9e307")</f>
        <v>0</v>
      </c>
      <c r="O57" s="2493"/>
      <c r="P57" s="1751">
        <f ca="1">N57/M49</f>
        <v>0</v>
      </c>
    </row>
    <row r="58" spans="1:35" ht="24.75">
      <c r="A58" s="182" t="s">
        <v>2210</v>
      </c>
      <c r="B58" s="3152" t="s">
        <v>2230</v>
      </c>
      <c r="C58" s="3165"/>
      <c r="D58" s="184" t="e">
        <f ca="1">IF(H58="转让取得",C81,C97)</f>
        <v>#DIV/0!</v>
      </c>
      <c r="E58" s="11" t="s">
        <v>2225</v>
      </c>
      <c r="F58" s="23" t="s">
        <v>34</v>
      </c>
      <c r="G58" s="2487"/>
      <c r="H58" s="2490" t="s">
        <v>2231</v>
      </c>
      <c r="I58" s="2491"/>
      <c r="J58" s="3121"/>
      <c r="K58" s="3121"/>
      <c r="L58" s="2492" t="s">
        <v>2232</v>
      </c>
      <c r="M58" s="1759"/>
      <c r="N58" s="2494" t="str">
        <f ca="1">NUMBERSTRING(INT(N57*10000),2)&amp;"元整"</f>
        <v>零元整</v>
      </c>
      <c r="O58" s="2495"/>
    </row>
    <row r="59" spans="1:35" ht="24.75" thickBot="1">
      <c r="A59" s="3125" t="s">
        <v>2233</v>
      </c>
      <c r="B59" s="3126"/>
      <c r="C59" s="312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23">
        <f>J57+1</f>
        <v>5</v>
      </c>
      <c r="K59" s="3121" t="s">
        <v>2235</v>
      </c>
      <c r="L59" s="2959" t="s">
        <v>2229</v>
      </c>
      <c r="M59" s="1760"/>
      <c r="N59" s="1761">
        <f ca="1">M49-N57</f>
        <v>20</v>
      </c>
      <c r="O59" s="2497"/>
    </row>
    <row r="60" spans="1:35" ht="12" customHeight="1">
      <c r="A60" s="2498"/>
      <c r="B60" s="2420"/>
      <c r="C60" s="2420"/>
      <c r="D60" s="2420"/>
      <c r="E60" s="2167"/>
      <c r="F60" s="2491"/>
      <c r="G60" s="2491"/>
      <c r="H60" s="2499"/>
      <c r="I60" s="137"/>
      <c r="J60" s="3124"/>
      <c r="K60" s="3121"/>
      <c r="L60" s="2492" t="s">
        <v>2232</v>
      </c>
      <c r="M60" s="1759"/>
      <c r="N60" s="2494" t="str">
        <f ca="1">NUMBERSTRING(INT(N59*10000),2)&amp;"元整"</f>
        <v>贰拾万元整</v>
      </c>
      <c r="O60" s="2495"/>
    </row>
    <row r="61" spans="1:35" ht="13.5" thickBot="1">
      <c r="A61" s="3184" t="s">
        <v>2236</v>
      </c>
      <c r="B61" s="3184"/>
      <c r="C61" s="3184"/>
      <c r="D61" s="3184"/>
      <c r="E61" s="3184"/>
      <c r="F61" s="2491"/>
      <c r="G61" s="2491"/>
      <c r="H61" s="2499"/>
      <c r="I61" s="137"/>
      <c r="J61" s="2959">
        <f>J59+1</f>
        <v>6</v>
      </c>
      <c r="K61" s="3121" t="s">
        <v>2237</v>
      </c>
      <c r="L61" s="3121"/>
      <c r="M61" s="1762"/>
      <c r="N61" s="1763">
        <f ca="1">ROUND(N59*10000/'数据-汇总表'!E3,0)</f>
        <v>739</v>
      </c>
      <c r="O61" s="2500"/>
    </row>
    <row r="62" spans="1:35" ht="12.75">
      <c r="A62" s="3141" t="s">
        <v>2238</v>
      </c>
      <c r="B62" s="3142"/>
      <c r="C62" s="2954"/>
      <c r="D62" s="2954" t="s">
        <v>2239</v>
      </c>
      <c r="E62" s="191" t="s">
        <v>2240</v>
      </c>
      <c r="F62" s="2491"/>
      <c r="G62" s="2491"/>
      <c r="H62" s="2499"/>
      <c r="I62" s="137"/>
    </row>
    <row r="63" spans="1:35" ht="12.75">
      <c r="A63" s="202" t="s">
        <v>775</v>
      </c>
      <c r="B63" s="192" t="s">
        <v>2241</v>
      </c>
      <c r="C63" s="193">
        <f ca="1">ROUND((C64+C65)/(1+'数据-取费表'!C42),0)</f>
        <v>19</v>
      </c>
      <c r="D63" s="194"/>
      <c r="E63" s="195"/>
      <c r="F63" s="2491"/>
      <c r="G63" s="2491"/>
      <c r="H63" s="2499"/>
      <c r="I63" s="137"/>
      <c r="J63" s="3106" t="s">
        <v>2242</v>
      </c>
      <c r="K63" s="2963" t="s">
        <v>2243</v>
      </c>
      <c r="L63" s="1750">
        <f ca="1">IF(M49&gt;10000,M49*0.5%,IF(AND(M49&gt;1000,M49&lt;=10000),M49*1%,IF(AND(M49&gt;100,M49&lt;=1000),M49*3%,IF(AND(M49&gt;10,M49&lt;=100),M49*5%,M49*8%))))</f>
        <v>1</v>
      </c>
      <c r="M63" s="23">
        <f ca="1">ROUND(L63,1)</f>
        <v>1</v>
      </c>
      <c r="Z63" s="2425"/>
      <c r="AI63" s="2426"/>
    </row>
    <row r="64" spans="1:35" ht="14.25" customHeight="1">
      <c r="A64" s="196" t="s">
        <v>770</v>
      </c>
      <c r="B64" s="197" t="s">
        <v>2244</v>
      </c>
      <c r="C64" s="198">
        <f ca="1">D45</f>
        <v>20</v>
      </c>
      <c r="D64" s="199" t="s">
        <v>32</v>
      </c>
      <c r="E64" s="200"/>
      <c r="F64" s="2491"/>
      <c r="G64" s="2491"/>
      <c r="H64" s="2499"/>
      <c r="I64" s="137"/>
      <c r="J64" s="3106"/>
      <c r="K64" s="2963" t="s">
        <v>2245</v>
      </c>
      <c r="L64" s="1750">
        <f ca="1">IF(M49&gt;2000,M49*0.5%,IF(AND(M49&gt;1000,M49&lt;=2000),M49*0.6%,IF(AND(M49&gt;500,M49&lt;=1000),M49*0.7%,IF(AND(M49&gt;200,M49&lt;=500),M49*0.8%,IF(AND(M49&gt;100,M49&lt;=200),M49*0.9%,IF(AND(M49&gt;50,M49&lt;=100),M49*1%,IF(AND(M49&gt;20,M49&lt;=50),M49*1.5%,IF(AND(M49&gt;10,M49&lt;=20),M49*2%,IF(AND(M49&gt;1,M49&lt;=10),M49*2.5%)))))))))</f>
        <v>0.4</v>
      </c>
      <c r="M64" s="23">
        <f t="shared" ref="M64:M65" ca="1" si="1">ROUND(L64,1)</f>
        <v>0.4</v>
      </c>
      <c r="N64" s="137" t="s">
        <v>2246</v>
      </c>
      <c r="Z64" s="2425"/>
      <c r="AI64" s="2426"/>
    </row>
    <row r="65" spans="1:35" ht="14.25" customHeight="1">
      <c r="A65" s="196" t="s">
        <v>771</v>
      </c>
      <c r="B65" s="197" t="s">
        <v>2247</v>
      </c>
      <c r="C65" s="201"/>
      <c r="D65" s="199"/>
      <c r="E65" s="200"/>
      <c r="F65" s="2491"/>
      <c r="G65" s="2491"/>
      <c r="H65" s="2499"/>
      <c r="I65" s="137"/>
      <c r="J65" s="3106"/>
      <c r="K65" s="2963" t="s">
        <v>2248</v>
      </c>
      <c r="L65" s="1750">
        <f ca="1">IF(M49&gt;1000,M49*0.1%,IF(AND(M49&gt;500,M49&lt;=1000),M49*0.5%,IF(AND(M49&gt;50,M49&lt;=500),M49*1%,IF(AND(M49&gt;1,M49&lt;=50),M49*1.5%))))</f>
        <v>0.3</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06"/>
      <c r="K66" s="2963" t="s">
        <v>2250</v>
      </c>
      <c r="L66" s="1750">
        <f ca="1">M49*0.5%</f>
        <v>0.1</v>
      </c>
      <c r="M66" s="23">
        <f ca="1">IF(L66&gt;0.5,0.5,ROUND(L66,0))</f>
        <v>0</v>
      </c>
      <c r="N66" s="137" t="s">
        <v>2251</v>
      </c>
      <c r="Z66" s="2425"/>
      <c r="AI66" s="2426"/>
    </row>
    <row r="67" spans="1:35" ht="14.25" customHeight="1">
      <c r="A67" s="202" t="s">
        <v>773</v>
      </c>
      <c r="B67" s="203" t="s">
        <v>2252</v>
      </c>
      <c r="C67" s="206">
        <f ca="1">C63-C66</f>
        <v>19</v>
      </c>
      <c r="D67" s="199" t="s">
        <v>32</v>
      </c>
      <c r="E67" s="200"/>
      <c r="F67" s="2491"/>
      <c r="G67" s="2491"/>
      <c r="H67" s="2499"/>
      <c r="I67" s="137"/>
      <c r="J67" s="3106"/>
      <c r="K67" s="2963" t="s">
        <v>2253</v>
      </c>
      <c r="L67" s="1750">
        <f ca="1">IF(M49&gt;=10000,(8.25+(M49-10000)*0.01%),IF(AND(M49&gt;=8000,M49&lt;10000),(7.85+(M49-8000)*0.02%),IF(AND(M49&gt;=5000,M49&lt;8000),(6.65+(M49-5000)*0.04%),IF(AND(M49&gt;=2000,M49&lt;5000),(4.25+(PM49-2000)*0.08%),IF(AND(M49&gt;=1000,M49&lt;2000),(2.75+(M49-1000)*0.15%),IF(AND(M49&gt;=100,M49&lt;1000),(0.5+(M49-100)*0.25%),IF(AND(M49&gt;0,M49&lt;100),M49*0.5%)))))))</f>
        <v>0.1</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06"/>
      <c r="K68" s="2963" t="s">
        <v>2255</v>
      </c>
      <c r="L68" s="1750">
        <f ca="1">IF(M49&gt;10000,M49*0.5%,IF(AND(M49&gt;5000,M49&lt;=10000),M49*1%,IF(AND(M49&gt;1000,M49&lt;=5000),M49*2%,IF(AND(M49&gt;200,M49&lt;=1000),M49*3%,M49*5%))))</f>
        <v>1</v>
      </c>
      <c r="M68" s="23">
        <f ca="1">ROUND(L68,1)</f>
        <v>1</v>
      </c>
      <c r="Z68" s="2425"/>
      <c r="AI68" s="2426"/>
    </row>
    <row r="69" spans="1:35" s="2448" customFormat="1" ht="16.5" customHeight="1">
      <c r="A69" s="2502"/>
      <c r="B69" s="2503"/>
      <c r="C69" s="2504"/>
      <c r="D69" s="2505"/>
      <c r="E69" s="2506"/>
      <c r="F69" s="2167"/>
      <c r="G69" s="2167"/>
      <c r="H69" s="2166"/>
      <c r="I69" s="2420"/>
      <c r="J69" s="3106"/>
      <c r="K69" s="2963" t="s">
        <v>2256</v>
      </c>
      <c r="L69" s="2507"/>
      <c r="M69" s="23">
        <f ca="1">ROUND(SUM(M63:M68),0)</f>
        <v>3</v>
      </c>
      <c r="N69" s="1751">
        <f ca="1">M69/M49</f>
        <v>0.15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50" t="s">
        <v>2257</v>
      </c>
      <c r="B70" s="3151"/>
      <c r="C70" s="3151"/>
      <c r="D70" s="3151"/>
      <c r="E70" s="3151"/>
      <c r="F70" s="3151"/>
      <c r="G70" s="3151"/>
      <c r="H70" s="315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1" t="s">
        <v>2238</v>
      </c>
      <c r="B71" s="3142"/>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19</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47" t="s">
        <v>2266</v>
      </c>
      <c r="F76" s="3146"/>
      <c r="G76" s="3146"/>
      <c r="H76" s="314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38" t="s">
        <v>2271</v>
      </c>
      <c r="F78" s="3139"/>
      <c r="G78" s="3139"/>
      <c r="H78" s="314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19</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0" t="s">
        <v>2275</v>
      </c>
      <c r="B83" s="3151"/>
      <c r="C83" s="3151"/>
      <c r="D83" s="3151"/>
      <c r="E83" s="3151"/>
      <c r="F83" s="3151"/>
      <c r="G83" s="3151"/>
      <c r="H83" s="315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1" t="s">
        <v>2238</v>
      </c>
      <c r="B84" s="3142"/>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19</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38" t="s">
        <v>2284</v>
      </c>
      <c r="F91" s="3139"/>
      <c r="G91" s="3139"/>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38" t="s">
        <v>2288</v>
      </c>
      <c r="F92" s="3139"/>
      <c r="G92" s="3139"/>
      <c r="H92" s="314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38" t="s">
        <v>2271</v>
      </c>
      <c r="F93" s="3139"/>
      <c r="G93" s="3139"/>
      <c r="H93" s="314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86" t="s">
        <v>2292</v>
      </c>
      <c r="F94" s="3187"/>
      <c r="G94" s="3187"/>
      <c r="H94" s="318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19</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22"/>
      <c r="E100" s="3091" t="s">
        <v>2295</v>
      </c>
      <c r="F100" s="3091"/>
      <c r="G100" s="3091"/>
      <c r="H100" s="3122"/>
      <c r="I100" s="137"/>
    </row>
    <row r="101" spans="1:35" ht="18.75" customHeight="1">
      <c r="A101" s="3130" t="s">
        <v>2296</v>
      </c>
      <c r="B101" s="3131"/>
      <c r="C101" s="735" t="str">
        <f>C4</f>
        <v>比较法-车位</v>
      </c>
      <c r="D101" s="736" t="str">
        <f>D4</f>
        <v>收益法 (元)-车位</v>
      </c>
      <c r="E101" s="3102" t="s">
        <v>2297</v>
      </c>
      <c r="F101" s="3103"/>
      <c r="G101" s="2522" t="s">
        <v>2298</v>
      </c>
      <c r="H101" s="1047">
        <f ca="1">H118</f>
        <v>20</v>
      </c>
      <c r="I101" s="137"/>
    </row>
    <row r="102" spans="1:35" ht="18.75" customHeight="1">
      <c r="A102" s="3132" t="s">
        <v>2299</v>
      </c>
      <c r="B102" s="2522" t="s">
        <v>2298</v>
      </c>
      <c r="C102" s="735">
        <f ca="1">C19</f>
        <v>32</v>
      </c>
      <c r="D102" s="736">
        <f ca="1">D19</f>
        <v>12</v>
      </c>
      <c r="E102" s="3102"/>
      <c r="F102" s="3103"/>
      <c r="G102" s="2522" t="s">
        <v>2300</v>
      </c>
      <c r="H102" s="370">
        <f ca="1">I118</f>
        <v>3210</v>
      </c>
      <c r="I102" s="137"/>
    </row>
    <row r="103" spans="1:35" ht="42.75" customHeight="1">
      <c r="A103" s="3132"/>
      <c r="B103" s="2522" t="s">
        <v>2300</v>
      </c>
      <c r="C103" s="737">
        <f ca="1">C20</f>
        <v>5136</v>
      </c>
      <c r="D103" s="738">
        <f ca="1">D20</f>
        <v>1936</v>
      </c>
      <c r="E103" s="3096" t="s">
        <v>2301</v>
      </c>
      <c r="F103" s="3097"/>
      <c r="G103" s="2523" t="s">
        <v>2302</v>
      </c>
      <c r="H103" s="1047">
        <f>IF(D36="正常操作",H104+H105+H106,H105+H106)</f>
        <v>0</v>
      </c>
      <c r="I103" s="137"/>
    </row>
    <row r="104" spans="1:35" ht="18.75" customHeight="1">
      <c r="A104" s="3132" t="s">
        <v>2303</v>
      </c>
      <c r="B104" s="2524" t="s">
        <v>2298</v>
      </c>
      <c r="C104" s="739">
        <f ca="1">H118</f>
        <v>20</v>
      </c>
      <c r="D104" s="740"/>
      <c r="E104" s="2268" t="s">
        <v>2304</v>
      </c>
      <c r="F104" s="2259"/>
      <c r="G104" s="2523" t="s">
        <v>2302</v>
      </c>
      <c r="H104" s="1048">
        <f>IF(D36="同一抵押权人同一抵押物续贷",C36&amp;"（未扣减，详见特别提示）",C36)</f>
        <v>0</v>
      </c>
      <c r="I104" s="137"/>
    </row>
    <row r="105" spans="1:35" ht="18.75" customHeight="1" thickBot="1">
      <c r="A105" s="3144"/>
      <c r="B105" s="2525" t="s">
        <v>2300</v>
      </c>
      <c r="C105" s="741">
        <f ca="1">I118</f>
        <v>3210</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3" t="str">
        <f>IF(项目基本情况!E8="已注销","——","3.房地产抵押价值")</f>
        <v>3.房地产抵押价值</v>
      </c>
      <c r="F107" s="3103"/>
      <c r="G107" s="2522" t="s">
        <v>2298</v>
      </c>
      <c r="H107" s="1047">
        <f ca="1">IF(E107="——","——",H101-H103)</f>
        <v>20</v>
      </c>
      <c r="I107" s="137"/>
    </row>
    <row r="108" spans="1:35" ht="18.75" customHeight="1">
      <c r="A108" s="137"/>
      <c r="B108" s="137"/>
      <c r="C108" s="137"/>
      <c r="D108" s="137"/>
      <c r="E108" s="3133"/>
      <c r="F108" s="3103"/>
      <c r="G108" s="2522" t="s">
        <v>2300</v>
      </c>
      <c r="H108" s="370">
        <f ca="1">ROUND(H107*10000/'数据-汇总表'!E3,0)</f>
        <v>739</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03"/>
      <c r="G109" s="2522" t="s">
        <v>2298</v>
      </c>
      <c r="H109" s="347" t="str">
        <f>IF(E109="——","——",H101-H105-H106)</f>
        <v>——</v>
      </c>
      <c r="I109" s="137"/>
    </row>
    <row r="110" spans="1:35" ht="18.75" customHeight="1">
      <c r="A110" s="137"/>
      <c r="B110" s="137"/>
      <c r="C110" s="137"/>
      <c r="D110" s="137"/>
      <c r="E110" s="3133"/>
      <c r="F110" s="3103"/>
      <c r="G110" s="2522" t="s">
        <v>2300</v>
      </c>
      <c r="H110" s="370" t="str">
        <f>IF(H109="——","——",ROUND(H109*10000/'数据-汇总表'!E3,0))</f>
        <v>——</v>
      </c>
      <c r="I110" s="137"/>
    </row>
    <row r="111" spans="1:35" ht="18.75" customHeight="1">
      <c r="A111" s="137"/>
      <c r="B111" s="137"/>
      <c r="C111" s="137"/>
      <c r="D111" s="137"/>
      <c r="E111" s="3134" t="str">
        <f>IF(项目基本情况!E9="抵押净值",IF(OR(项目基本情况!E8="已注销",项目基本情况!E8="房地产抵押价值"),"4.抵押净值","5.抵押净值"),"——")</f>
        <v>——</v>
      </c>
      <c r="F111" s="3135"/>
      <c r="G111" s="2522" t="s">
        <v>2298</v>
      </c>
      <c r="H111" s="1047" t="str">
        <f>IF(E111="——","——",N59)</f>
        <v>——</v>
      </c>
      <c r="I111" s="137"/>
    </row>
    <row r="112" spans="1:35" ht="18.75" customHeight="1" thickBot="1">
      <c r="A112" s="137"/>
      <c r="B112" s="137"/>
      <c r="C112" s="137"/>
      <c r="D112" s="137"/>
      <c r="E112" s="3136"/>
      <c r="F112" s="3137"/>
      <c r="G112" s="2527" t="s">
        <v>2300</v>
      </c>
      <c r="H112" s="789" t="str">
        <f>IF(E111="——","——",N61)</f>
        <v>——</v>
      </c>
      <c r="I112" s="137"/>
    </row>
    <row r="113" spans="1:11" ht="18.75" customHeight="1">
      <c r="A113" s="137"/>
      <c r="B113" s="137"/>
      <c r="C113" s="137"/>
      <c r="D113" s="137"/>
      <c r="E113" s="3145" t="s">
        <v>2306</v>
      </c>
      <c r="F113" s="3145"/>
      <c r="G113" s="3145"/>
      <c r="H113" s="3145"/>
      <c r="I113" s="137"/>
    </row>
    <row r="114" spans="1:11" ht="3.75" customHeight="1">
      <c r="A114" s="2420"/>
      <c r="B114" s="2420"/>
      <c r="C114" s="2420"/>
      <c r="D114" s="2420"/>
      <c r="E114" s="2498"/>
      <c r="F114" s="2498"/>
      <c r="G114" s="2498"/>
      <c r="H114" s="2498"/>
      <c r="I114" s="2420"/>
    </row>
    <row r="115" spans="1:11" ht="18.75" customHeight="1">
      <c r="A115" s="3158" t="s">
        <v>2308</v>
      </c>
      <c r="B115" s="3159"/>
      <c r="C115" s="3159"/>
      <c r="D115" s="3159"/>
      <c r="E115" s="3159"/>
      <c r="F115" s="3159"/>
      <c r="G115" s="3159"/>
      <c r="H115" s="3159"/>
      <c r="I115" s="3160"/>
    </row>
    <row r="116" spans="1:11" ht="27" customHeight="1">
      <c r="A116" s="3069" t="s">
        <v>2309</v>
      </c>
      <c r="B116" s="3112" t="s">
        <v>2310</v>
      </c>
      <c r="C116" s="3112" t="s">
        <v>2311</v>
      </c>
      <c r="D116" s="3118" t="s">
        <v>2312</v>
      </c>
      <c r="E116" s="3119"/>
      <c r="F116" s="3154" t="s">
        <v>2313</v>
      </c>
      <c r="G116" s="3154"/>
      <c r="H116" s="3069" t="s">
        <v>2314</v>
      </c>
      <c r="I116" s="3069"/>
    </row>
    <row r="117" spans="1:11" ht="18.75" customHeight="1">
      <c r="A117" s="3069"/>
      <c r="B117" s="3113"/>
      <c r="C117" s="3113"/>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20</v>
      </c>
      <c r="I118" s="2946">
        <f ca="1">ROUND(IF(D32="楼面单价",C32,H118*10000/B118),0)</f>
        <v>3210</v>
      </c>
    </row>
    <row r="119" spans="1:11" ht="18.75" customHeight="1">
      <c r="A119" s="3069" t="s">
        <v>2318</v>
      </c>
      <c r="B119" s="3069"/>
      <c r="C119" s="3069"/>
      <c r="D119" s="3114" t="e">
        <f ca="1">NUMBERSTRING(INT(D118*10000),2)&amp;"元整"</f>
        <v>#REF!</v>
      </c>
      <c r="E119" s="3115"/>
      <c r="F119" s="3114" t="e">
        <f ca="1">NUMBERSTRING(INT(F118*10000),2)&amp;"元整"</f>
        <v>#REF!</v>
      </c>
      <c r="G119" s="3115"/>
      <c r="H119" s="3114" t="str">
        <f ca="1">NUMBERSTRING(INT(H118*10000),2)&amp;"元整"</f>
        <v>贰拾万元整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5" t="str">
        <f>IF(D120=0,"故，本次评估不存在"&amp;A120,"故，本次评估"&amp;A120&amp;"为人民币"&amp;D120&amp;"万元整。")</f>
        <v>故，本次评估不存在估价师知悉的法定优先受偿款</v>
      </c>
    </row>
    <row r="121" spans="1:11" ht="18.75" customHeight="1">
      <c r="A121" s="3155" t="s">
        <v>2318</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20</v>
      </c>
      <c r="E122" s="3110"/>
      <c r="F122" s="3110"/>
      <c r="G122" s="3110"/>
      <c r="H122" s="3110"/>
      <c r="I122" s="3111"/>
    </row>
    <row r="123" spans="1:11" ht="18.75" customHeight="1">
      <c r="A123" s="3069" t="s">
        <v>2318</v>
      </c>
      <c r="B123" s="3069"/>
      <c r="C123" s="3069"/>
      <c r="D123" s="3114" t="str">
        <f ca="1">NUMBERSTRING(INT(D122*10000),2)&amp;"元整"</f>
        <v>贰拾万元整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2318</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2318</v>
      </c>
      <c r="B127" s="3069"/>
      <c r="C127" s="3069"/>
      <c r="D127" s="3114" t="e">
        <f>NUMBERSTRING(INT(D126*10000),2)&amp;"元整"</f>
        <v>#VALUE!</v>
      </c>
      <c r="E127" s="3116"/>
      <c r="F127" s="3116"/>
      <c r="G127" s="3116"/>
      <c r="H127" s="3116"/>
      <c r="I127" s="3115"/>
    </row>
    <row r="128" spans="1:11" ht="21.75" customHeight="1">
      <c r="A128" s="3117" t="s">
        <v>2319</v>
      </c>
      <c r="B128" s="3117"/>
      <c r="C128" s="3117"/>
      <c r="D128" s="3117"/>
      <c r="E128" s="3117"/>
      <c r="F128" s="3117"/>
      <c r="G128" s="3117"/>
      <c r="H128" s="3117"/>
      <c r="I128" s="311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9" sqref="C3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32</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5136</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13" t="s">
        <v>2647</v>
      </c>
      <c r="D4" s="3214"/>
      <c r="E4" s="3256" t="s">
        <v>2648</v>
      </c>
      <c r="F4" s="3257"/>
      <c r="G4" s="3258" t="s">
        <v>2649</v>
      </c>
      <c r="H4" s="3259"/>
      <c r="I4" s="3258" t="s">
        <v>2650</v>
      </c>
      <c r="J4" s="3259"/>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01" t="s">
        <v>3119</v>
      </c>
      <c r="F5" s="3202"/>
      <c r="G5" s="3255" t="s">
        <v>3119</v>
      </c>
      <c r="H5" s="3204"/>
      <c r="I5" s="3255" t="s">
        <v>3119</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195" t="s">
        <v>2550</v>
      </c>
      <c r="Q7" s="3228"/>
      <c r="R7" s="769" t="s">
        <v>17</v>
      </c>
      <c r="S7" s="770">
        <f t="shared" ref="S7:S14" si="0">F7</f>
        <v>100</v>
      </c>
      <c r="T7" s="769" t="s">
        <v>17</v>
      </c>
      <c r="U7" s="770">
        <f t="shared" ref="U7:U14" si="1">H7</f>
        <v>100</v>
      </c>
      <c r="V7" s="769" t="s">
        <v>17</v>
      </c>
      <c r="W7" s="770">
        <f t="shared" ref="W7:W14" si="2">J7</f>
        <v>100</v>
      </c>
      <c r="X7" s="771"/>
      <c r="Y7" s="3195" t="s">
        <v>2550</v>
      </c>
      <c r="Z7" s="3196"/>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195" t="s">
        <v>2553</v>
      </c>
      <c r="Q8" s="3196"/>
      <c r="R8" s="769" t="s">
        <v>17</v>
      </c>
      <c r="S8" s="770">
        <f t="shared" si="0"/>
        <v>100</v>
      </c>
      <c r="T8" s="769" t="s">
        <v>17</v>
      </c>
      <c r="U8" s="770">
        <f t="shared" si="1"/>
        <v>100</v>
      </c>
      <c r="V8" s="769" t="s">
        <v>17</v>
      </c>
      <c r="W8" s="770">
        <f t="shared" si="2"/>
        <v>100</v>
      </c>
      <c r="X8" s="771"/>
      <c r="Y8" s="3195" t="s">
        <v>2553</v>
      </c>
      <c r="Z8" s="3196"/>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238" t="s">
        <v>2556</v>
      </c>
      <c r="Q9" s="1796" t="str">
        <f t="shared" ref="Q9:Q14" si="6">B9</f>
        <v>用途</v>
      </c>
      <c r="R9" s="769" t="s">
        <v>17</v>
      </c>
      <c r="S9" s="770">
        <f t="shared" si="0"/>
        <v>100</v>
      </c>
      <c r="T9" s="769" t="s">
        <v>17</v>
      </c>
      <c r="U9" s="770">
        <f t="shared" si="1"/>
        <v>100</v>
      </c>
      <c r="V9" s="769" t="s">
        <v>17</v>
      </c>
      <c r="W9" s="770">
        <f t="shared" si="2"/>
        <v>100</v>
      </c>
      <c r="X9" s="771"/>
      <c r="Y9" s="3069"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101</v>
      </c>
      <c r="G10" s="422" t="s">
        <v>3128</v>
      </c>
      <c r="H10" s="135">
        <f>SUMIF(55:55,G10,56:56)-SUMIF(55:55,C10,56:56)+100</f>
        <v>101</v>
      </c>
      <c r="I10" s="422" t="s">
        <v>3128</v>
      </c>
      <c r="J10" s="135">
        <f>SUMIF(55:55,I10,56:56)-SUMIF(55:55,C10,56:56)+100</f>
        <v>101</v>
      </c>
      <c r="K10" s="611">
        <v>1</v>
      </c>
      <c r="L10" s="1137"/>
      <c r="M10" s="1138"/>
      <c r="N10" s="1138"/>
      <c r="O10" s="1138"/>
      <c r="P10" s="3238"/>
      <c r="Q10" s="1796" t="str">
        <f t="shared" si="6"/>
        <v>土地使用年限（年）</v>
      </c>
      <c r="R10" s="769" t="s">
        <v>17</v>
      </c>
      <c r="S10" s="770">
        <f t="shared" si="0"/>
        <v>101</v>
      </c>
      <c r="T10" s="769" t="s">
        <v>17</v>
      </c>
      <c r="U10" s="770">
        <f t="shared" si="1"/>
        <v>101</v>
      </c>
      <c r="V10" s="769" t="s">
        <v>17</v>
      </c>
      <c r="W10" s="770">
        <f t="shared" si="2"/>
        <v>101</v>
      </c>
      <c r="X10" s="771"/>
      <c r="Y10" s="3069"/>
      <c r="Z10" s="54" t="str">
        <f t="shared" si="7"/>
        <v>土地使用年限（年）</v>
      </c>
      <c r="AA10" s="772">
        <f t="shared" si="3"/>
        <v>0.99009900990099009</v>
      </c>
      <c r="AB10" s="772">
        <f t="shared" si="4"/>
        <v>0.99009900990099009</v>
      </c>
      <c r="AC10" s="772">
        <f t="shared" si="5"/>
        <v>0.99009900990099009</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8"/>
      <c r="Q11" s="1796">
        <f t="shared" si="6"/>
        <v>111</v>
      </c>
      <c r="R11" s="769" t="s">
        <v>17</v>
      </c>
      <c r="S11" s="770">
        <f t="shared" si="0"/>
        <v>100</v>
      </c>
      <c r="T11" s="769" t="s">
        <v>17</v>
      </c>
      <c r="U11" s="770">
        <f t="shared" si="1"/>
        <v>100</v>
      </c>
      <c r="V11" s="769" t="s">
        <v>17</v>
      </c>
      <c r="W11" s="770">
        <f t="shared" si="2"/>
        <v>100</v>
      </c>
      <c r="X11" s="771"/>
      <c r="Y11" s="3069"/>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31" t="s">
        <v>2561</v>
      </c>
      <c r="Q14" s="1811" t="str">
        <f t="shared" si="6"/>
        <v>交通便捷度</v>
      </c>
      <c r="R14" s="773" t="s">
        <v>17</v>
      </c>
      <c r="S14" s="774">
        <f t="shared" si="0"/>
        <v>100</v>
      </c>
      <c r="T14" s="773" t="s">
        <v>17</v>
      </c>
      <c r="U14" s="774">
        <f t="shared" si="1"/>
        <v>100</v>
      </c>
      <c r="V14" s="773" t="s">
        <v>17</v>
      </c>
      <c r="W14" s="774">
        <f t="shared" si="2"/>
        <v>100</v>
      </c>
      <c r="X14" s="1814"/>
      <c r="Y14" s="3231"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32"/>
      <c r="Q15" s="1811"/>
      <c r="R15" s="773"/>
      <c r="S15" s="774"/>
      <c r="T15" s="773"/>
      <c r="U15" s="774"/>
      <c r="V15" s="773"/>
      <c r="W15" s="774"/>
      <c r="X15" s="1814"/>
      <c r="Y15" s="3232"/>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32"/>
      <c r="Q16" s="1811" t="str">
        <f>B16</f>
        <v>公共配套设施</v>
      </c>
      <c r="R16" s="773" t="s">
        <v>17</v>
      </c>
      <c r="S16" s="774">
        <f>F16</f>
        <v>100</v>
      </c>
      <c r="T16" s="773" t="s">
        <v>17</v>
      </c>
      <c r="U16" s="774">
        <f>H16</f>
        <v>100</v>
      </c>
      <c r="V16" s="773" t="s">
        <v>17</v>
      </c>
      <c r="W16" s="774">
        <f>J16</f>
        <v>100</v>
      </c>
      <c r="X16" s="1814"/>
      <c r="Y16" s="3232"/>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32"/>
      <c r="Q17" s="1811"/>
      <c r="R17" s="773"/>
      <c r="S17" s="774"/>
      <c r="T17" s="773"/>
      <c r="U17" s="774"/>
      <c r="V17" s="773"/>
      <c r="W17" s="774"/>
      <c r="X17" s="1814"/>
      <c r="Y17" s="3232"/>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2"/>
      <c r="Q18" s="1811" t="str">
        <f>B18</f>
        <v>基础设施水平</v>
      </c>
      <c r="R18" s="773" t="s">
        <v>17</v>
      </c>
      <c r="S18" s="774">
        <f>F18</f>
        <v>100</v>
      </c>
      <c r="T18" s="773" t="s">
        <v>17</v>
      </c>
      <c r="U18" s="774">
        <f>H18</f>
        <v>100</v>
      </c>
      <c r="V18" s="773" t="s">
        <v>17</v>
      </c>
      <c r="W18" s="774">
        <f>J18</f>
        <v>100</v>
      </c>
      <c r="X18" s="1814"/>
      <c r="Y18" s="3232"/>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32"/>
      <c r="Q19" s="1811"/>
      <c r="R19" s="773"/>
      <c r="S19" s="774"/>
      <c r="T19" s="773"/>
      <c r="U19" s="774"/>
      <c r="V19" s="773"/>
      <c r="W19" s="774"/>
      <c r="X19" s="1814"/>
      <c r="Y19" s="3232"/>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102</v>
      </c>
      <c r="G20" s="458"/>
      <c r="H20" s="449">
        <f>SUMIF(69:69,G21,70:70)-SUMIF(69:69,C21,70:70)+100</f>
        <v>102</v>
      </c>
      <c r="I20" s="451"/>
      <c r="J20" s="449">
        <f>SUMIF(69:69,I21,70:70)-SUMIF(69:69,C21,70:70)+100</f>
        <v>102</v>
      </c>
      <c r="K20" s="613">
        <v>2</v>
      </c>
      <c r="L20" s="1142"/>
      <c r="M20" s="1133"/>
      <c r="N20" s="1133"/>
      <c r="O20" s="1133"/>
      <c r="P20" s="3232"/>
      <c r="Q20" s="1811" t="str">
        <f>B20</f>
        <v>自然及人文环境</v>
      </c>
      <c r="R20" s="773" t="s">
        <v>17</v>
      </c>
      <c r="S20" s="774">
        <f>F20</f>
        <v>102</v>
      </c>
      <c r="T20" s="773" t="s">
        <v>17</v>
      </c>
      <c r="U20" s="774">
        <f>H20</f>
        <v>102</v>
      </c>
      <c r="V20" s="773" t="s">
        <v>17</v>
      </c>
      <c r="W20" s="774">
        <f>J20</f>
        <v>102</v>
      </c>
      <c r="X20" s="1814"/>
      <c r="Y20" s="3232"/>
      <c r="Z20" s="1815" t="str">
        <f>Q20</f>
        <v>自然及人文环境</v>
      </c>
      <c r="AA20" s="1812">
        <f t="shared" si="3"/>
        <v>0.98039215686274506</v>
      </c>
      <c r="AB20" s="1812">
        <f t="shared" si="4"/>
        <v>0.98039215686274506</v>
      </c>
      <c r="AC20" s="1812">
        <f t="shared" si="5"/>
        <v>0.98039215686274506</v>
      </c>
    </row>
    <row r="21" spans="1:29" ht="15">
      <c r="A21" s="403"/>
      <c r="B21" s="631"/>
      <c r="C21" s="446" t="s">
        <v>3092</v>
      </c>
      <c r="D21" s="447"/>
      <c r="E21" s="446" t="s">
        <v>3090</v>
      </c>
      <c r="F21" s="448"/>
      <c r="G21" s="446" t="s">
        <v>3090</v>
      </c>
      <c r="H21" s="447"/>
      <c r="I21" s="446" t="s">
        <v>3090</v>
      </c>
      <c r="J21" s="447"/>
      <c r="K21" s="614"/>
      <c r="L21" s="1142"/>
      <c r="M21" s="1133"/>
      <c r="N21" s="1133"/>
      <c r="O21" s="1133"/>
      <c r="P21" s="3232"/>
      <c r="Q21" s="1811"/>
      <c r="R21" s="773"/>
      <c r="S21" s="774"/>
      <c r="T21" s="773"/>
      <c r="U21" s="774"/>
      <c r="V21" s="773"/>
      <c r="W21" s="774"/>
      <c r="X21" s="1814"/>
      <c r="Y21" s="3232"/>
      <c r="Z21" s="1815"/>
      <c r="AA21" s="1812">
        <v>1</v>
      </c>
      <c r="AB21" s="1812">
        <v>1</v>
      </c>
      <c r="AC21" s="1812">
        <v>1</v>
      </c>
    </row>
    <row r="22" spans="1:29" ht="15.75" thickBot="1">
      <c r="A22" s="403"/>
      <c r="B22" s="630" t="s">
        <v>2712</v>
      </c>
      <c r="C22" s="3340" t="s">
        <v>3117</v>
      </c>
      <c r="D22" s="449">
        <v>100</v>
      </c>
      <c r="E22" s="615" t="s">
        <v>3117</v>
      </c>
      <c r="F22" s="460">
        <f>SUMIF(71:71,E22,72:72)-SUMIF(71:71,C22,72:72)+100</f>
        <v>100</v>
      </c>
      <c r="G22" s="615" t="s">
        <v>3117</v>
      </c>
      <c r="H22" s="434">
        <f>SUMIF(71:71,G22,72:72)-SUMIF(71:71,C22,72:72)+100</f>
        <v>100</v>
      </c>
      <c r="I22" s="615" t="s">
        <v>3117</v>
      </c>
      <c r="J22" s="434">
        <f>SUMIF(71:71,I22,72:72)-SUMIF(71:71,C22,72:72)+100</f>
        <v>100</v>
      </c>
      <c r="K22" s="2997">
        <v>5</v>
      </c>
      <c r="L22" s="1142"/>
      <c r="M22" s="1133"/>
      <c r="N22" s="1133"/>
      <c r="O22" s="1133"/>
      <c r="P22" s="3232"/>
      <c r="Q22" s="1811" t="str">
        <f>B22</f>
        <v>楼层</v>
      </c>
      <c r="R22" s="773" t="s">
        <v>17</v>
      </c>
      <c r="S22" s="774">
        <f>F22</f>
        <v>100</v>
      </c>
      <c r="T22" s="773" t="s">
        <v>17</v>
      </c>
      <c r="U22" s="774">
        <f>H22</f>
        <v>100</v>
      </c>
      <c r="V22" s="773" t="s">
        <v>17</v>
      </c>
      <c r="W22" s="774">
        <f>J22</f>
        <v>100</v>
      </c>
      <c r="X22" s="1814"/>
      <c r="Y22" s="3232"/>
      <c r="Z22" s="1815" t="str">
        <f>Q22</f>
        <v>楼层</v>
      </c>
      <c r="AA22" s="1812">
        <f t="shared" si="3"/>
        <v>1</v>
      </c>
      <c r="AB22" s="1812">
        <f t="shared" si="4"/>
        <v>1</v>
      </c>
      <c r="AC22" s="1812">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2"/>
      <c r="Q23" s="1811">
        <f>B23</f>
        <v>111</v>
      </c>
      <c r="R23" s="773" t="s">
        <v>17</v>
      </c>
      <c r="S23" s="774">
        <f>F23</f>
        <v>100</v>
      </c>
      <c r="T23" s="773" t="s">
        <v>17</v>
      </c>
      <c r="U23" s="774">
        <f>H23</f>
        <v>100</v>
      </c>
      <c r="V23" s="773" t="s">
        <v>17</v>
      </c>
      <c r="W23" s="774">
        <f>J23</f>
        <v>100</v>
      </c>
      <c r="X23" s="1814"/>
      <c r="Y23" s="3232"/>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2"/>
      <c r="Q24" s="1811">
        <f t="shared" ref="Q24:Q36" si="11">B24</f>
        <v>111</v>
      </c>
      <c r="R24" s="773" t="s">
        <v>17</v>
      </c>
      <c r="S24" s="774">
        <f>F24</f>
        <v>100</v>
      </c>
      <c r="T24" s="773" t="s">
        <v>17</v>
      </c>
      <c r="U24" s="774">
        <f>H24</f>
        <v>100</v>
      </c>
      <c r="V24" s="773" t="s">
        <v>17</v>
      </c>
      <c r="W24" s="774">
        <f>J24</f>
        <v>100</v>
      </c>
      <c r="X24" s="1814"/>
      <c r="Y24" s="3232"/>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2"/>
      <c r="Q25" s="1796">
        <f t="shared" si="11"/>
        <v>111</v>
      </c>
      <c r="R25" s="769" t="s">
        <v>17</v>
      </c>
      <c r="S25" s="770">
        <f>F25</f>
        <v>100</v>
      </c>
      <c r="T25" s="769" t="s">
        <v>17</v>
      </c>
      <c r="U25" s="770">
        <f>H25</f>
        <v>100</v>
      </c>
      <c r="V25" s="769" t="s">
        <v>17</v>
      </c>
      <c r="W25" s="770">
        <f>J25</f>
        <v>100</v>
      </c>
      <c r="X25" s="771"/>
      <c r="Y25" s="3232"/>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64"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36"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36"/>
      <c r="Q28" s="1811" t="str">
        <f t="shared" si="11"/>
        <v>公共部分装修</v>
      </c>
      <c r="R28" s="773" t="s">
        <v>17</v>
      </c>
      <c r="S28" s="774">
        <f t="shared" si="12"/>
        <v>100</v>
      </c>
      <c r="T28" s="773" t="s">
        <v>17</v>
      </c>
      <c r="U28" s="774">
        <f t="shared" si="13"/>
        <v>100</v>
      </c>
      <c r="V28" s="773" t="s">
        <v>17</v>
      </c>
      <c r="W28" s="774">
        <f t="shared" si="14"/>
        <v>100</v>
      </c>
      <c r="X28" s="1814"/>
      <c r="Y28" s="3236"/>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36"/>
      <c r="Q29" s="1811" t="str">
        <f t="shared" si="11"/>
        <v>成新率</v>
      </c>
      <c r="R29" s="773" t="s">
        <v>17</v>
      </c>
      <c r="S29" s="774">
        <f t="shared" si="12"/>
        <v>100</v>
      </c>
      <c r="T29" s="773" t="s">
        <v>17</v>
      </c>
      <c r="U29" s="774">
        <f t="shared" si="13"/>
        <v>100</v>
      </c>
      <c r="V29" s="773" t="s">
        <v>17</v>
      </c>
      <c r="W29" s="774">
        <f t="shared" si="14"/>
        <v>100</v>
      </c>
      <c r="X29" s="1814"/>
      <c r="Y29" s="3236"/>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6"/>
      <c r="Q30" s="1811" t="str">
        <f t="shared" si="11"/>
        <v>物业等级</v>
      </c>
      <c r="R30" s="773" t="s">
        <v>17</v>
      </c>
      <c r="S30" s="774">
        <f t="shared" si="12"/>
        <v>100</v>
      </c>
      <c r="T30" s="773" t="s">
        <v>17</v>
      </c>
      <c r="U30" s="774">
        <f t="shared" si="13"/>
        <v>100</v>
      </c>
      <c r="V30" s="773" t="s">
        <v>17</v>
      </c>
      <c r="W30" s="774">
        <f t="shared" si="14"/>
        <v>100</v>
      </c>
      <c r="X30" s="1814"/>
      <c r="Y30" s="3236"/>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100</v>
      </c>
      <c r="G31" s="468" t="s">
        <v>3109</v>
      </c>
      <c r="H31" s="434">
        <f>LOOKUP(G31,91:91,92:92)-LOOKUP(C31,91:91,92:92)+100</f>
        <v>100</v>
      </c>
      <c r="I31" s="468" t="s">
        <v>3109</v>
      </c>
      <c r="J31" s="434">
        <f>LOOKUP(I31,91:91,92:92)-LOOKUP(C31,91:91,92:92)+100</f>
        <v>100</v>
      </c>
      <c r="K31" s="611">
        <v>0</v>
      </c>
      <c r="L31" s="1134"/>
      <c r="M31" s="1135"/>
      <c r="N31" s="1135"/>
      <c r="O31" s="1135"/>
      <c r="P31" s="3236"/>
      <c r="Q31" s="1796" t="str">
        <f t="shared" si="11"/>
        <v>停车位面积</v>
      </c>
      <c r="R31" s="769" t="s">
        <v>17</v>
      </c>
      <c r="S31" s="770">
        <f t="shared" si="12"/>
        <v>100</v>
      </c>
      <c r="T31" s="769" t="s">
        <v>17</v>
      </c>
      <c r="U31" s="770">
        <f t="shared" si="13"/>
        <v>100</v>
      </c>
      <c r="V31" s="769" t="s">
        <v>17</v>
      </c>
      <c r="W31" s="770">
        <f t="shared" si="14"/>
        <v>100</v>
      </c>
      <c r="X31" s="771"/>
      <c r="Y31" s="3236"/>
      <c r="Z31" s="54"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36" t="s">
        <v>2566</v>
      </c>
      <c r="Q32" s="1811" t="str">
        <f t="shared" si="11"/>
        <v>车位类型</v>
      </c>
      <c r="R32" s="773" t="s">
        <v>17</v>
      </c>
      <c r="S32" s="774">
        <f t="shared" si="12"/>
        <v>100</v>
      </c>
      <c r="T32" s="773" t="s">
        <v>17</v>
      </c>
      <c r="U32" s="774">
        <f t="shared" si="13"/>
        <v>100</v>
      </c>
      <c r="V32" s="773" t="s">
        <v>17</v>
      </c>
      <c r="W32" s="774">
        <f t="shared" si="14"/>
        <v>100</v>
      </c>
      <c r="X32" s="1814"/>
      <c r="Y32" s="3236"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36"/>
      <c r="Q33" s="1811" t="str">
        <f t="shared" si="11"/>
        <v>是否直接入户</v>
      </c>
      <c r="R33" s="773" t="s">
        <v>17</v>
      </c>
      <c r="S33" s="774">
        <f t="shared" si="12"/>
        <v>100</v>
      </c>
      <c r="T33" s="773" t="s">
        <v>17</v>
      </c>
      <c r="U33" s="774">
        <f t="shared" si="13"/>
        <v>100</v>
      </c>
      <c r="V33" s="773" t="s">
        <v>17</v>
      </c>
      <c r="W33" s="774">
        <f t="shared" si="14"/>
        <v>100</v>
      </c>
      <c r="X33" s="1814"/>
      <c r="Y33" s="3236"/>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6"/>
      <c r="Q36" s="1811">
        <f t="shared" si="11"/>
        <v>111</v>
      </c>
      <c r="R36" s="773" t="s">
        <v>17</v>
      </c>
      <c r="S36" s="774">
        <f t="shared" si="12"/>
        <v>100</v>
      </c>
      <c r="T36" s="773" t="s">
        <v>17</v>
      </c>
      <c r="U36" s="774">
        <f t="shared" si="13"/>
        <v>100</v>
      </c>
      <c r="V36" s="773" t="s">
        <v>17</v>
      </c>
      <c r="W36" s="774">
        <f t="shared" si="14"/>
        <v>100</v>
      </c>
      <c r="X36" s="1814"/>
      <c r="Y36" s="3236"/>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238" t="str">
        <f>A37</f>
        <v>成交单价</v>
      </c>
      <c r="Q37" s="3238"/>
      <c r="R37" s="3239">
        <f>E37</f>
        <v>350000</v>
      </c>
      <c r="S37" s="3239"/>
      <c r="T37" s="3239">
        <f>G37</f>
        <v>350000</v>
      </c>
      <c r="U37" s="3239"/>
      <c r="V37" s="3239">
        <f>I37</f>
        <v>350000</v>
      </c>
      <c r="W37" s="3239"/>
      <c r="X37" s="758"/>
      <c r="Y37" s="780"/>
      <c r="Z37" s="758"/>
      <c r="AA37" s="758"/>
      <c r="AB37" s="758"/>
      <c r="AC37" s="758"/>
    </row>
    <row r="38" spans="1:29" ht="15.75" thickBot="1">
      <c r="A38" s="485" t="s">
        <v>2723</v>
      </c>
      <c r="B38" s="486" t="str">
        <f>B37</f>
        <v>元/车位</v>
      </c>
      <c r="C38" s="1414">
        <f>R39</f>
        <v>323562</v>
      </c>
      <c r="D38" s="1415"/>
      <c r="E38" s="1416">
        <f>R38</f>
        <v>323562</v>
      </c>
      <c r="F38" s="1416"/>
      <c r="G38" s="1414">
        <f>T38</f>
        <v>323562</v>
      </c>
      <c r="H38" s="1415"/>
      <c r="I38" s="1416">
        <f>V38</f>
        <v>323562</v>
      </c>
      <c r="J38" s="1415"/>
      <c r="K38" s="619"/>
      <c r="L38" s="1145"/>
      <c r="M38" s="1146"/>
      <c r="N38" s="1146"/>
      <c r="O38" s="1146"/>
      <c r="P38" s="3238" t="str">
        <f>A38</f>
        <v>比较价值（元/平方米）</v>
      </c>
      <c r="Q38" s="3238"/>
      <c r="R38" s="3239">
        <f>IF(F1="售价",ROUND(PRODUCT(R37,AA7:AA36),0),ROUND(PRODUCT(R37,AA7:AA36),1))</f>
        <v>323562</v>
      </c>
      <c r="S38" s="3239"/>
      <c r="T38" s="3239">
        <f>IF(F1="售价",ROUND(PRODUCT(T37,AB7:AB36),0),ROUND(PRODUCT(T37,AB7:AB36),1))</f>
        <v>323562</v>
      </c>
      <c r="U38" s="3239"/>
      <c r="V38" s="3239">
        <f>IF(F1="售价",ROUND(PRODUCT(V37,AC7:AC36),0),ROUND(PRODUCT(V37,AC7:AC36),1))</f>
        <v>323562</v>
      </c>
      <c r="W38" s="3239"/>
      <c r="X38" s="758"/>
      <c r="Y38" s="758"/>
      <c r="Z38" s="758"/>
      <c r="AA38" s="758"/>
      <c r="AB38" s="758"/>
      <c r="AC38" s="758"/>
    </row>
    <row r="39" spans="1:29" ht="15.75" thickBot="1">
      <c r="A39" s="491" t="s">
        <v>2724</v>
      </c>
      <c r="B39" s="492"/>
      <c r="C39" s="1418">
        <f>R39</f>
        <v>323562</v>
      </c>
      <c r="D39" s="1418"/>
      <c r="E39" s="1418"/>
      <c r="F39" s="1418"/>
      <c r="G39" s="1418"/>
      <c r="H39" s="1418"/>
      <c r="I39" s="1418"/>
      <c r="J39" s="1418"/>
      <c r="K39" s="620"/>
      <c r="L39" s="1145"/>
      <c r="M39" s="1146"/>
      <c r="N39" s="1146"/>
      <c r="O39" s="1146"/>
      <c r="P39" s="3265" t="str">
        <f>A39</f>
        <v>估价对象XX用房的比较价值（楼面单价，元/平方米）</v>
      </c>
      <c r="Q39" s="3266"/>
      <c r="R39" s="3267">
        <f>IF(F1="售价",ROUND(AVERAGE(R38:V38),0),ROUND(AVERAGE(R38:V38),1))</f>
        <v>323562</v>
      </c>
      <c r="S39" s="3267"/>
      <c r="T39" s="3267"/>
      <c r="U39" s="3267"/>
      <c r="V39" s="3267"/>
      <c r="W39" s="326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8.1709224198144303E-2</v>
      </c>
      <c r="F42" s="499" t="str">
        <f>IF(OR(E42&gt;=0.3,E42&lt;=-0.3),"超过30%","")</f>
        <v/>
      </c>
      <c r="G42" s="498">
        <f>IF(G37&lt;G38,G38/G37-1,G37/G38-1)</f>
        <v>8.1709224198144303E-2</v>
      </c>
      <c r="H42" s="499" t="str">
        <f>IF(OR(G42&gt;=0.3,G42&lt;=-0.3),"超过30%","")</f>
        <v/>
      </c>
      <c r="I42" s="498">
        <f>IF(I37&lt;I38,I38/I37-1,I37/I38-1)</f>
        <v>8.1709224198144303E-2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98</v>
      </c>
      <c r="E70" s="543">
        <f>D70-$K20</f>
        <v>96</v>
      </c>
      <c r="F70" s="543">
        <f>E70-$K20</f>
        <v>94</v>
      </c>
      <c r="G70" s="543">
        <f>F70-$K20</f>
        <v>92</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100</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1</v>
      </c>
      <c r="D6" s="163" t="s">
        <v>3034</v>
      </c>
      <c r="E6" s="346" t="s">
        <v>1403</v>
      </c>
      <c r="F6" s="347">
        <f ca="1">INDIRECT("'数据-取费表'!u"&amp;$G$1)</f>
        <v>1111.0999999999999</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2965"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17</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22</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22</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-27</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22</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-22</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17</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22</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1.85</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-22</v>
      </c>
      <c r="R67" s="1887" t="s">
        <v>1580</v>
      </c>
    </row>
    <row r="68" spans="1:18" s="1843" customFormat="1" ht="16.5" thickBot="1">
      <c r="A68" s="1168" t="s">
        <v>1032</v>
      </c>
      <c r="B68" s="1169" t="s">
        <v>1483</v>
      </c>
      <c r="C68" s="345">
        <f ca="1">ROUND(C67*(1-((1+F70)/(1+F68))^F69)/(F68-F70),0)</f>
        <v>-27</v>
      </c>
      <c r="D68" s="1186" t="s">
        <v>1467</v>
      </c>
      <c r="E68" s="1171" t="s">
        <v>1468</v>
      </c>
      <c r="F68" s="356">
        <f ca="1">F40</f>
        <v>5.5E-2</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17</v>
      </c>
      <c r="R70" s="1887" t="s">
        <v>1527</v>
      </c>
    </row>
    <row r="71" spans="1:18" s="1843" customFormat="1" ht="13.5" thickBot="1">
      <c r="A71" s="1192" t="s">
        <v>1033</v>
      </c>
      <c r="B71" s="1193" t="s">
        <v>1485</v>
      </c>
      <c r="C71" s="381">
        <f ca="1">ROUND(C68*10000/F71,0)</f>
        <v>-4334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12</v>
      </c>
      <c r="C2" s="1846" t="s">
        <v>1589</v>
      </c>
      <c r="D2" s="1939">
        <f ca="1">C40+J29+L46</f>
        <v>120604</v>
      </c>
      <c r="E2" s="1847" t="s">
        <v>1590</v>
      </c>
      <c r="F2" s="1848"/>
      <c r="G2" s="1849"/>
      <c r="H2" s="1841"/>
      <c r="I2" s="1841"/>
      <c r="J2" s="1841"/>
      <c r="K2" s="1842"/>
      <c r="L2" s="1841"/>
      <c r="M2" s="1841"/>
    </row>
    <row r="3" spans="1:37" ht="18" customHeight="1" thickBot="1">
      <c r="A3" s="1850" t="s">
        <v>1591</v>
      </c>
      <c r="B3" s="1851">
        <f ca="1">IF(ISERROR(D2/F43),0,ROUND(D2/F43,0))</f>
        <v>1936</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12000</v>
      </c>
      <c r="D5" s="1823" t="s">
        <v>1599</v>
      </c>
      <c r="E5" s="1294"/>
      <c r="F5" s="1295"/>
      <c r="G5" s="1852"/>
      <c r="H5" s="343">
        <v>1</v>
      </c>
      <c r="I5" s="344" t="s">
        <v>1598</v>
      </c>
      <c r="J5" s="1293">
        <f ca="1">J6+J10+J12</f>
        <v>0</v>
      </c>
      <c r="K5" s="1823" t="s">
        <v>1599</v>
      </c>
      <c r="L5" s="1294"/>
      <c r="M5" s="1295"/>
    </row>
    <row r="6" spans="1:37" ht="18" customHeight="1">
      <c r="A6" s="1292" t="s">
        <v>1035</v>
      </c>
      <c r="B6" s="3243" t="s">
        <v>1401</v>
      </c>
      <c r="C6" s="1297">
        <f ca="1">ROUND(F6*F8*F7*(1-F9),0)</f>
        <v>12000</v>
      </c>
      <c r="D6" s="163" t="s">
        <v>3031</v>
      </c>
      <c r="E6" s="346" t="s">
        <v>1403</v>
      </c>
      <c r="F6" s="2999">
        <f ca="1">INDIRECT("'数据-取费表'!u"&amp;$G$1)</f>
        <v>1111.0999999999999</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169211</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161980</v>
      </c>
      <c r="D14" s="1801" t="s">
        <v>1416</v>
      </c>
      <c r="E14" s="1795"/>
      <c r="F14" s="363"/>
      <c r="G14" s="1852"/>
      <c r="H14" s="1203" t="s">
        <v>1035</v>
      </c>
      <c r="I14" s="346" t="s">
        <v>1417</v>
      </c>
      <c r="J14" s="23">
        <f ca="1">C29</f>
        <v>219755</v>
      </c>
      <c r="K14" s="14"/>
      <c r="L14" s="981"/>
      <c r="M14" s="982"/>
    </row>
    <row r="15" spans="1:37" s="1859" customFormat="1" ht="18" customHeight="1" thickBot="1">
      <c r="A15" s="1203" t="s">
        <v>1036</v>
      </c>
      <c r="B15" s="346" t="s">
        <v>1418</v>
      </c>
      <c r="C15" s="23">
        <f ca="1">ROUND(C14*F15,0)</f>
        <v>8099</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5142</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1846</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2430</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184969</v>
      </c>
      <c r="D19" s="139" t="s">
        <v>1434</v>
      </c>
      <c r="E19" s="1819"/>
      <c r="F19" s="25"/>
      <c r="G19" s="1852"/>
      <c r="H19" s="1203" t="s">
        <v>1036</v>
      </c>
      <c r="I19" s="346" t="s">
        <v>1435</v>
      </c>
      <c r="J19" s="23">
        <f ca="1">IF(K19="按租金收入计税",ROUND(J5*M19,0),ROUND(C29*M19*0.7,0))</f>
        <v>1846</v>
      </c>
      <c r="K19" s="1829" t="s">
        <v>1436</v>
      </c>
      <c r="L19" s="346" t="s">
        <v>1420</v>
      </c>
      <c r="M19" s="366">
        <f>IF(K19="按租金收入计税",'数据-取费表'!B51,'数据-取费表'!B50)</f>
        <v>1.2E-2</v>
      </c>
    </row>
    <row r="20" spans="1:37" s="1859" customFormat="1" ht="18" customHeight="1">
      <c r="A20" s="1203" t="s">
        <v>1039</v>
      </c>
      <c r="B20" s="346" t="s">
        <v>1437</v>
      </c>
      <c r="C20" s="23">
        <f ca="1">ROUND(C19*F20,0)</f>
        <v>3699</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ROUND(J14*M22,0)</f>
        <v>3296</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6682</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-5142</v>
      </c>
      <c r="K25" s="1346" t="s">
        <v>1462</v>
      </c>
      <c r="L25" s="1347"/>
      <c r="M25" s="1348"/>
    </row>
    <row r="26" spans="1:37" ht="18" customHeight="1">
      <c r="A26" s="1203" t="s">
        <v>1034</v>
      </c>
      <c r="B26" s="346" t="s">
        <v>1463</v>
      </c>
      <c r="C26" s="23">
        <f ca="1">ROUND((C19+C20)*F26,0)</f>
        <v>5660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219755</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5915</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2245</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640</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1440</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3296</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254</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120</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6085</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110653</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1776</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-510878</v>
      </c>
      <c r="D45" s="1941" t="s">
        <v>1602</v>
      </c>
      <c r="E45" s="1867"/>
      <c r="F45" s="1867"/>
      <c r="O45" s="1870" t="s">
        <v>1517</v>
      </c>
      <c r="P45" s="1840"/>
      <c r="Q45" s="1840"/>
      <c r="R45" s="1840"/>
    </row>
    <row r="46" spans="1:18" s="1843" customFormat="1" ht="13.5" thickBot="1">
      <c r="A46" s="1871" t="s">
        <v>1518</v>
      </c>
      <c r="C46" s="1872">
        <f ca="1">ROUND(C45/10000,0)</f>
        <v>-51</v>
      </c>
      <c r="D46" s="1873" t="str">
        <f>C2</f>
        <v>万元</v>
      </c>
      <c r="I46" s="1874" t="s">
        <v>1519</v>
      </c>
      <c r="J46" s="1875"/>
      <c r="K46" s="1876"/>
      <c r="L46" s="1877">
        <f ca="1">IF(M47="住宅",0,IF(L48&gt;J51,L60,J60))</f>
        <v>9951</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110653</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9951</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219755</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-123795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120604</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169211</v>
      </c>
      <c r="D56" s="1915"/>
      <c r="E56" s="1916"/>
      <c r="F56" s="1908"/>
      <c r="I56" s="1917" t="s">
        <v>1552</v>
      </c>
      <c r="J56" s="1918" t="s">
        <v>3067</v>
      </c>
      <c r="K56" s="1888" t="s">
        <v>1553</v>
      </c>
      <c r="L56" s="1891" t="str">
        <f ca="1">IF(L48&lt;J51,"——",L48-J51)</f>
        <v>——</v>
      </c>
      <c r="O56" s="1885" t="s">
        <v>1040</v>
      </c>
      <c r="P56" s="1886" t="s">
        <v>1526</v>
      </c>
      <c r="Q56" s="1887">
        <f ca="1">C40+J29</f>
        <v>110653</v>
      </c>
      <c r="R56" s="1887" t="s">
        <v>1527</v>
      </c>
    </row>
    <row r="57" spans="1:18" s="1843" customFormat="1" ht="24.75" thickBot="1">
      <c r="A57" s="1919"/>
      <c r="B57" s="1171" t="s">
        <v>1476</v>
      </c>
      <c r="C57" s="281">
        <f ca="1">C29</f>
        <v>219755</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22009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18459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87902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9951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18459</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110653</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3296</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254</v>
      </c>
      <c r="D65" s="1185" t="s">
        <v>1452</v>
      </c>
      <c r="E65" s="1171" t="s">
        <v>1453</v>
      </c>
      <c r="F65" s="375">
        <f t="shared" ca="1" si="0"/>
        <v>1.5E-3</v>
      </c>
      <c r="I65" s="1930" t="s">
        <v>1577</v>
      </c>
      <c r="J65" s="1931">
        <v>40</v>
      </c>
      <c r="K65" s="1931">
        <v>30</v>
      </c>
      <c r="L65" s="1931">
        <v>50</v>
      </c>
      <c r="M65" s="1933">
        <v>0.02</v>
      </c>
      <c r="O65" s="1885" t="s">
        <v>1040</v>
      </c>
      <c r="P65" s="1886" t="s">
        <v>1578</v>
      </c>
      <c r="Q65" s="1887">
        <f ca="1">C40+J29</f>
        <v>110653</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-22009</v>
      </c>
      <c r="D67" s="1184" t="s">
        <v>1462</v>
      </c>
      <c r="E67" s="1189"/>
      <c r="F67" s="1190"/>
      <c r="O67" s="1895" t="s">
        <v>1042</v>
      </c>
      <c r="P67" s="1886" t="s">
        <v>1560</v>
      </c>
      <c r="Q67" s="1934">
        <f ca="1">L51</f>
        <v>-123795</v>
      </c>
      <c r="R67" s="1887" t="s">
        <v>1580</v>
      </c>
    </row>
    <row r="68" spans="1:18" s="1843" customFormat="1" ht="16.5" thickBot="1">
      <c r="A68" s="1168" t="s">
        <v>1032</v>
      </c>
      <c r="B68" s="1169" t="s">
        <v>1483</v>
      </c>
      <c r="C68" s="345">
        <f ca="1">ROUND(C67*(1-((1+F70)/(1+F68))^F69)/(F68-F70),0)</f>
        <v>-400225</v>
      </c>
      <c r="D68" s="1186" t="s">
        <v>1467</v>
      </c>
      <c r="E68" s="1171" t="s">
        <v>1468</v>
      </c>
      <c r="F68" s="356">
        <f ca="1">F40</f>
        <v>5.5E-2</v>
      </c>
      <c r="O68" s="1895" t="s">
        <v>1043</v>
      </c>
      <c r="P68" s="1935" t="s">
        <v>1581</v>
      </c>
      <c r="Q68" s="1887">
        <f ca="1">ROUND(Q69-Q70*Q71,0)</f>
        <v>-8298</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6085</v>
      </c>
      <c r="R69" s="1887" t="s">
        <v>1527</v>
      </c>
    </row>
    <row r="70" spans="1:18" s="1843" customFormat="1" ht="13.5" thickBot="1">
      <c r="A70" s="1175"/>
      <c r="B70" s="1176"/>
      <c r="C70" s="354"/>
      <c r="D70" s="1187"/>
      <c r="E70" s="1171" t="s">
        <v>1475</v>
      </c>
      <c r="F70" s="1276">
        <f ca="1">F42</f>
        <v>0.03</v>
      </c>
      <c r="O70" s="1895" t="s">
        <v>1049</v>
      </c>
      <c r="P70" s="1935" t="s">
        <v>1583</v>
      </c>
      <c r="Q70" s="1887">
        <f ca="1">C13</f>
        <v>169211</v>
      </c>
      <c r="R70" s="1887" t="s">
        <v>1527</v>
      </c>
    </row>
    <row r="71" spans="1:18" s="1843" customFormat="1" ht="13.5" thickBot="1">
      <c r="A71" s="1192" t="s">
        <v>1033</v>
      </c>
      <c r="B71" s="1193" t="s">
        <v>1485</v>
      </c>
      <c r="C71" s="381">
        <f ca="1">ROUND(C68/F71,0)</f>
        <v>-6424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14383</v>
      </c>
      <c r="D75" s="1843"/>
      <c r="E75" s="1843"/>
      <c r="F75" s="1843"/>
      <c r="K75" s="1869"/>
      <c r="L75" s="1843"/>
      <c r="O75" s="1885" t="s">
        <v>1046</v>
      </c>
      <c r="P75" s="1886" t="s">
        <v>1547</v>
      </c>
      <c r="Q75" s="1887">
        <f ca="1">Q65+Q66</f>
        <v>110653</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-1.3639999999999999</v>
      </c>
    </row>
    <row r="80" spans="1:18">
      <c r="B80" s="385" t="s">
        <v>1509</v>
      </c>
      <c r="C80" s="317">
        <f ca="1">ROUND(C75/C39,3)</f>
        <v>2.3639999999999999</v>
      </c>
    </row>
    <row r="81" spans="2:3">
      <c r="B81" s="313" t="s">
        <v>1510</v>
      </c>
      <c r="C81" s="281"/>
    </row>
    <row r="82" spans="2:3">
      <c r="B82" s="316" t="s">
        <v>1511</v>
      </c>
      <c r="C82" s="318">
        <f ca="1">1-C83</f>
        <v>-0.52899999999999991</v>
      </c>
    </row>
    <row r="83" spans="2:3">
      <c r="B83" s="316" t="s">
        <v>1512</v>
      </c>
      <c r="C83" s="317">
        <f ca="1">ROUND(C13/C40,3)</f>
        <v>1.5289999999999999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546</v>
      </c>
      <c r="C2" s="2570" t="s">
        <v>2520</v>
      </c>
      <c r="D2" s="2571" t="s">
        <v>2521</v>
      </c>
      <c r="E2" s="2572">
        <f>SUM(E6:E13)</f>
        <v>270.51</v>
      </c>
    </row>
    <row r="3" spans="1:6" ht="15.75">
      <c r="A3" s="2568" t="s">
        <v>1393</v>
      </c>
      <c r="B3" s="2569">
        <f ca="1">ROUND(B2*10000/E2,0)</f>
        <v>20184</v>
      </c>
      <c r="C3" s="2570" t="s">
        <v>2528</v>
      </c>
      <c r="D3" s="2573"/>
      <c r="E3" s="2574"/>
    </row>
    <row r="4" spans="1:6" ht="15.75">
      <c r="A4" s="2575"/>
      <c r="B4" s="2573"/>
      <c r="C4" s="2573"/>
      <c r="D4" s="2573"/>
      <c r="E4" s="2574"/>
    </row>
    <row r="5" spans="1:6" ht="15">
      <c r="A5" s="2576" t="s">
        <v>2522</v>
      </c>
      <c r="B5" s="3268" t="s">
        <v>2523</v>
      </c>
      <c r="C5" s="3268"/>
      <c r="D5" s="2577"/>
      <c r="E5" s="2578" t="s">
        <v>2524</v>
      </c>
      <c r="F5" s="2579" t="s">
        <v>2525</v>
      </c>
    </row>
    <row r="6" spans="1:6">
      <c r="A6" s="2580" t="str">
        <f>'数据-取费表'!AN6</f>
        <v>收益法 (元)-办公</v>
      </c>
      <c r="B6" s="2579">
        <f ca="1">IF(F6="是",'数据-取费表'!AO6,0)</f>
        <v>534</v>
      </c>
      <c r="C6" s="2570" t="s">
        <v>2520</v>
      </c>
      <c r="D6" s="2573"/>
      <c r="E6" s="2581">
        <f>IF(OR(A6=0,F6="否"),0,'数据-取费表'!K6+'数据-取费表'!S6)</f>
        <v>208.21</v>
      </c>
      <c r="F6" s="2582" t="s">
        <v>2526</v>
      </c>
    </row>
    <row r="7" spans="1:6">
      <c r="A7" s="2580" t="str">
        <f>'数据-取费表'!AN7</f>
        <v>收益法 (元)-车位</v>
      </c>
      <c r="B7" s="2579">
        <f ca="1">IF(F7="是",'数据-取费表'!AO7,0)</f>
        <v>12</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9" t="s">
        <v>1076</v>
      </c>
      <c r="B1" s="3270"/>
      <c r="C1" s="3271"/>
      <c r="D1" s="3272">
        <f>SUM(I10,I15,I20,I21,I23)</f>
        <v>0</v>
      </c>
      <c r="E1" s="3272"/>
      <c r="F1" s="3272"/>
      <c r="G1" s="3272"/>
      <c r="H1" s="3272"/>
      <c r="I1" s="3273"/>
    </row>
    <row r="2" spans="1:9">
      <c r="A2" s="3274" t="s">
        <v>1077</v>
      </c>
      <c r="B2" s="3275" t="s">
        <v>1078</v>
      </c>
      <c r="C2" s="3275"/>
      <c r="D2" s="1302" t="s">
        <v>1079</v>
      </c>
      <c r="E2" s="1302" t="s">
        <v>1080</v>
      </c>
      <c r="F2" s="1302" t="s">
        <v>1081</v>
      </c>
      <c r="G2" s="1302" t="s">
        <v>1082</v>
      </c>
      <c r="H2" s="1302" t="s">
        <v>1083</v>
      </c>
      <c r="I2" s="1303" t="s">
        <v>1084</v>
      </c>
    </row>
    <row r="3" spans="1:9">
      <c r="A3" s="3274"/>
      <c r="B3" s="3275" t="s">
        <v>1085</v>
      </c>
      <c r="C3" s="3275"/>
      <c r="D3" s="1304"/>
      <c r="E3" s="1302"/>
      <c r="F3" s="1305"/>
      <c r="G3" s="1305"/>
      <c r="H3" s="1306"/>
      <c r="I3" s="1307">
        <f>ROUND(D3*E3*F3*G3*H3/10000,0)</f>
        <v>0</v>
      </c>
    </row>
    <row r="4" spans="1:9">
      <c r="A4" s="3274"/>
      <c r="B4" s="3275" t="s">
        <v>1086</v>
      </c>
      <c r="C4" s="3275"/>
      <c r="D4" s="1304"/>
      <c r="E4" s="1302"/>
      <c r="F4" s="1305"/>
      <c r="G4" s="1305"/>
      <c r="H4" s="1306"/>
      <c r="I4" s="1307">
        <f t="shared" ref="I4:I9" si="0">ROUND(D4*E4*F4*G4*H4/10000,0)</f>
        <v>0</v>
      </c>
    </row>
    <row r="5" spans="1:9">
      <c r="A5" s="3274"/>
      <c r="B5" s="3275" t="s">
        <v>1087</v>
      </c>
      <c r="C5" s="3275"/>
      <c r="D5" s="1304"/>
      <c r="E5" s="1302"/>
      <c r="F5" s="1305"/>
      <c r="G5" s="1305"/>
      <c r="H5" s="1306"/>
      <c r="I5" s="1307">
        <f t="shared" si="0"/>
        <v>0</v>
      </c>
    </row>
    <row r="6" spans="1:9">
      <c r="A6" s="3274"/>
      <c r="B6" s="3275" t="s">
        <v>1088</v>
      </c>
      <c r="C6" s="3275"/>
      <c r="D6" s="1304"/>
      <c r="E6" s="1302"/>
      <c r="F6" s="1305"/>
      <c r="G6" s="1305"/>
      <c r="H6" s="1306"/>
      <c r="I6" s="1307">
        <f t="shared" si="0"/>
        <v>0</v>
      </c>
    </row>
    <row r="7" spans="1:9">
      <c r="A7" s="3274"/>
      <c r="B7" s="3275" t="s">
        <v>1089</v>
      </c>
      <c r="C7" s="3275"/>
      <c r="D7" s="1304"/>
      <c r="E7" s="1302"/>
      <c r="F7" s="1305"/>
      <c r="G7" s="1305"/>
      <c r="H7" s="1306"/>
      <c r="I7" s="1307">
        <f t="shared" si="0"/>
        <v>0</v>
      </c>
    </row>
    <row r="8" spans="1:9">
      <c r="A8" s="3274"/>
      <c r="B8" s="3275" t="s">
        <v>1090</v>
      </c>
      <c r="C8" s="3275"/>
      <c r="D8" s="1304"/>
      <c r="E8" s="1302"/>
      <c r="F8" s="1305"/>
      <c r="G8" s="1305"/>
      <c r="H8" s="1306"/>
      <c r="I8" s="1307">
        <f t="shared" si="0"/>
        <v>0</v>
      </c>
    </row>
    <row r="9" spans="1:9">
      <c r="A9" s="3274"/>
      <c r="B9" s="3275" t="s">
        <v>1091</v>
      </c>
      <c r="C9" s="3275"/>
      <c r="D9" s="1304"/>
      <c r="E9" s="1302"/>
      <c r="F9" s="1305"/>
      <c r="G9" s="1305"/>
      <c r="H9" s="1306"/>
      <c r="I9" s="1307">
        <f t="shared" si="0"/>
        <v>0</v>
      </c>
    </row>
    <row r="10" spans="1:9">
      <c r="A10" s="3274"/>
      <c r="B10" s="3276" t="s">
        <v>1092</v>
      </c>
      <c r="C10" s="3276"/>
      <c r="D10" s="1308"/>
      <c r="E10" s="1308" t="e">
        <f>ROUND(D1*10000/D10/H9,0)</f>
        <v>#DIV/0!</v>
      </c>
      <c r="F10" s="1309"/>
      <c r="G10" s="1309"/>
      <c r="H10" s="1310"/>
      <c r="I10" s="1311">
        <f>SUM(I3:I9)</f>
        <v>0</v>
      </c>
    </row>
    <row r="11" spans="1:9" ht="14.25">
      <c r="A11" s="3274" t="s">
        <v>1093</v>
      </c>
      <c r="B11" s="3275" t="s">
        <v>1094</v>
      </c>
      <c r="C11" s="3275"/>
      <c r="D11" s="1304" t="s">
        <v>1095</v>
      </c>
      <c r="E11" s="1304" t="s">
        <v>1096</v>
      </c>
      <c r="F11" s="1305" t="s">
        <v>1097</v>
      </c>
      <c r="G11" s="1305" t="s">
        <v>1083</v>
      </c>
      <c r="H11" s="1312" t="s">
        <v>1098</v>
      </c>
      <c r="I11" s="1303" t="s">
        <v>1084</v>
      </c>
    </row>
    <row r="12" spans="1:9">
      <c r="A12" s="3274"/>
      <c r="B12" s="3275" t="s">
        <v>1099</v>
      </c>
      <c r="C12" s="3275"/>
      <c r="D12" s="1304"/>
      <c r="E12" s="1304"/>
      <c r="F12" s="1305"/>
      <c r="G12" s="1306"/>
      <c r="H12" s="1313"/>
      <c r="I12" s="1303">
        <f>ROUND(D12*E12*F12*G12/10000,0)</f>
        <v>0</v>
      </c>
    </row>
    <row r="13" spans="1:9">
      <c r="A13" s="3274"/>
      <c r="B13" s="3275" t="s">
        <v>1100</v>
      </c>
      <c r="C13" s="3275"/>
      <c r="D13" s="1304"/>
      <c r="E13" s="1304"/>
      <c r="F13" s="1305"/>
      <c r="G13" s="1306"/>
      <c r="H13" s="1313"/>
      <c r="I13" s="1303">
        <f>ROUND(D13*E13*F13*G13/10000,0)</f>
        <v>0</v>
      </c>
    </row>
    <row r="14" spans="1:9">
      <c r="A14" s="3274"/>
      <c r="B14" s="3275" t="s">
        <v>1101</v>
      </c>
      <c r="C14" s="3275"/>
      <c r="D14" s="1304"/>
      <c r="E14" s="1304"/>
      <c r="F14" s="1305"/>
      <c r="G14" s="1306"/>
      <c r="H14" s="1313"/>
      <c r="I14" s="1303">
        <f>ROUND(D14*E14*F14*G14/10000,0)</f>
        <v>0</v>
      </c>
    </row>
    <row r="15" spans="1:9">
      <c r="A15" s="3274"/>
      <c r="B15" s="3276" t="s">
        <v>1092</v>
      </c>
      <c r="C15" s="3276"/>
      <c r="D15" s="1308"/>
      <c r="E15" s="1308">
        <f>SUM(E12:E14)</f>
        <v>0</v>
      </c>
      <c r="F15" s="1309"/>
      <c r="G15" s="1306"/>
      <c r="H15" s="1313"/>
      <c r="I15" s="1314">
        <f>SUM(I12:I14)</f>
        <v>0</v>
      </c>
    </row>
    <row r="16" spans="1:9" ht="24">
      <c r="A16" s="3274" t="s">
        <v>1102</v>
      </c>
      <c r="B16" s="3275" t="s">
        <v>1103</v>
      </c>
      <c r="C16" s="3275"/>
      <c r="D16" s="1304" t="s">
        <v>1079</v>
      </c>
      <c r="E16" s="1315" t="s">
        <v>1104</v>
      </c>
      <c r="F16" s="1305" t="s">
        <v>1105</v>
      </c>
      <c r="G16" s="1306" t="s">
        <v>1083</v>
      </c>
      <c r="H16" s="1312" t="s">
        <v>1098</v>
      </c>
      <c r="I16" s="1303" t="s">
        <v>1084</v>
      </c>
    </row>
    <row r="17" spans="1:9" ht="14.25">
      <c r="A17" s="3274"/>
      <c r="B17" s="3275" t="s">
        <v>1106</v>
      </c>
      <c r="C17" s="3275"/>
      <c r="D17" s="1304"/>
      <c r="E17" s="1304"/>
      <c r="F17" s="1305"/>
      <c r="G17" s="1306"/>
      <c r="H17" s="1316"/>
      <c r="I17" s="1317">
        <f>ROUND(D17*E17*F17*G17/10000,0)</f>
        <v>0</v>
      </c>
    </row>
    <row r="18" spans="1:9" ht="14.25">
      <c r="A18" s="3274"/>
      <c r="B18" s="3275" t="s">
        <v>1107</v>
      </c>
      <c r="C18" s="3275"/>
      <c r="D18" s="1304"/>
      <c r="E18" s="1304"/>
      <c r="F18" s="1305"/>
      <c r="G18" s="1306"/>
      <c r="H18" s="1316"/>
      <c r="I18" s="1317">
        <f>ROUND(D18*E18*F18*G18/10000,0)</f>
        <v>0</v>
      </c>
    </row>
    <row r="19" spans="1:9" ht="14.25">
      <c r="A19" s="3274"/>
      <c r="B19" s="3275" t="s">
        <v>1108</v>
      </c>
      <c r="C19" s="3275"/>
      <c r="D19" s="1304"/>
      <c r="E19" s="1304"/>
      <c r="F19" s="1305"/>
      <c r="G19" s="1306"/>
      <c r="H19" s="1316"/>
      <c r="I19" s="1317">
        <f>ROUND(D19*E19*F19*G19/10000,0)</f>
        <v>0</v>
      </c>
    </row>
    <row r="20" spans="1:9">
      <c r="A20" s="3274"/>
      <c r="B20" s="3276" t="s">
        <v>1092</v>
      </c>
      <c r="C20" s="3276"/>
      <c r="D20" s="1308">
        <f>SUM(D17:D19)</f>
        <v>0</v>
      </c>
      <c r="E20" s="1308"/>
      <c r="F20" s="1309"/>
      <c r="G20" s="1306"/>
      <c r="H20" s="1313"/>
      <c r="I20" s="1314">
        <f>SUM(I17:I19)</f>
        <v>0</v>
      </c>
    </row>
    <row r="21" spans="1:9">
      <c r="A21" s="3274" t="s">
        <v>1109</v>
      </c>
      <c r="B21" s="3278"/>
      <c r="C21" s="3278"/>
      <c r="D21" s="3278"/>
      <c r="E21" s="3278"/>
      <c r="F21" s="3278"/>
      <c r="G21" s="3278"/>
      <c r="H21" s="1766">
        <v>0.1</v>
      </c>
      <c r="I21" s="1311">
        <f>ROUND(I10*H21,0)</f>
        <v>0</v>
      </c>
    </row>
    <row r="22" spans="1:9" ht="14.25">
      <c r="A22" s="3279" t="s">
        <v>1110</v>
      </c>
      <c r="B22" s="3280"/>
      <c r="C22" s="3281"/>
      <c r="D22" s="1318" t="s">
        <v>1111</v>
      </c>
      <c r="E22" s="1318" t="s">
        <v>1112</v>
      </c>
      <c r="F22" s="1319" t="s">
        <v>1113</v>
      </c>
      <c r="G22" s="1319" t="s">
        <v>1114</v>
      </c>
      <c r="H22" s="1312" t="s">
        <v>1115</v>
      </c>
      <c r="I22" s="1303" t="s">
        <v>1116</v>
      </c>
    </row>
    <row r="23" spans="1:9" ht="14.25" thickBot="1">
      <c r="A23" s="3282"/>
      <c r="B23" s="3283"/>
      <c r="C23" s="3284"/>
      <c r="D23" s="1320"/>
      <c r="E23" s="1320"/>
      <c r="F23" s="1320"/>
      <c r="G23" s="1321"/>
      <c r="H23" s="1322"/>
      <c r="I23" s="1323">
        <f>ROUND(E23*D23*F23*(1-G23)/10000,0)</f>
        <v>0</v>
      </c>
    </row>
    <row r="26" spans="1:9">
      <c r="A26" s="1324" t="s">
        <v>1117</v>
      </c>
      <c r="B26" s="1324"/>
      <c r="C26" s="1324"/>
      <c r="D26" s="1324"/>
      <c r="E26" s="3285">
        <f>C27-C30-C31-C32</f>
        <v>0</v>
      </c>
      <c r="F26" s="3285"/>
      <c r="G26" s="3285"/>
      <c r="H26" s="1738" t="s">
        <v>1340</v>
      </c>
    </row>
    <row r="27" spans="1:9">
      <c r="A27" s="1325">
        <v>1</v>
      </c>
      <c r="B27" s="1326" t="s">
        <v>1118</v>
      </c>
      <c r="C27" s="1326">
        <f>C28+C29</f>
        <v>0</v>
      </c>
      <c r="D27" s="1326"/>
      <c r="E27" s="3286"/>
      <c r="F27" s="3286"/>
      <c r="G27" s="3286"/>
    </row>
    <row r="28" spans="1:9">
      <c r="A28" s="1327" t="s">
        <v>1119</v>
      </c>
      <c r="B28" s="1326" t="s">
        <v>1120</v>
      </c>
      <c r="C28" s="1326"/>
      <c r="D28" s="1326"/>
      <c r="E28" s="3286"/>
      <c r="F28" s="3286"/>
      <c r="G28" s="3286"/>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7"/>
      <c r="F32" s="3277"/>
      <c r="G32" s="3277"/>
    </row>
    <row r="33" spans="1:7" hidden="1">
      <c r="A33" s="3287" t="s">
        <v>1129</v>
      </c>
      <c r="B33" s="3288"/>
      <c r="C33" s="3288"/>
      <c r="D33" s="3289"/>
      <c r="E33" s="3285"/>
      <c r="F33" s="3285"/>
      <c r="G33" s="3285"/>
    </row>
    <row r="34" spans="1:7" hidden="1">
      <c r="A34" s="1329">
        <v>1</v>
      </c>
      <c r="B34" s="1326" t="s">
        <v>1130</v>
      </c>
      <c r="C34" s="1326"/>
      <c r="D34" s="1326"/>
      <c r="E34" s="3286"/>
      <c r="F34" s="3286"/>
      <c r="G34" s="3286"/>
    </row>
    <row r="35" spans="1:7" hidden="1">
      <c r="A35" s="1329">
        <v>2</v>
      </c>
      <c r="B35" s="1326" t="s">
        <v>1131</v>
      </c>
      <c r="C35" s="1326"/>
      <c r="D35" s="1326"/>
      <c r="E35" s="3286"/>
      <c r="F35" s="3286"/>
      <c r="G35" s="3286"/>
    </row>
    <row r="36" spans="1:7" hidden="1">
      <c r="A36" s="1329">
        <v>3</v>
      </c>
      <c r="B36" s="1326" t="s">
        <v>1132</v>
      </c>
      <c r="C36" s="1326"/>
      <c r="D36" s="1326"/>
      <c r="E36" s="3286"/>
      <c r="F36" s="3286"/>
      <c r="G36" s="3286"/>
    </row>
    <row r="37" spans="1:7" hidden="1">
      <c r="A37" s="1329">
        <v>4</v>
      </c>
      <c r="B37" s="1326" t="s">
        <v>1133</v>
      </c>
      <c r="C37" s="1326"/>
      <c r="D37" s="1326"/>
      <c r="E37" s="3286"/>
      <c r="F37" s="3286"/>
      <c r="G37" s="3286"/>
    </row>
    <row r="38" spans="1:7" hidden="1">
      <c r="A38" s="3287" t="s">
        <v>1134</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13" t="s">
        <v>2537</v>
      </c>
      <c r="D4" s="3214"/>
      <c r="E4" s="3215" t="s">
        <v>2538</v>
      </c>
      <c r="F4" s="3216"/>
      <c r="G4" s="3213" t="s">
        <v>2539</v>
      </c>
      <c r="H4" s="3214"/>
      <c r="I4" s="3213" t="s">
        <v>2540</v>
      </c>
      <c r="J4" s="3214"/>
      <c r="K4" s="2600" t="s">
        <v>2541</v>
      </c>
      <c r="L4" s="1132"/>
      <c r="M4" s="1133"/>
      <c r="N4" s="1133"/>
      <c r="O4" s="1133"/>
      <c r="P4" s="3260" t="s">
        <v>2542</v>
      </c>
      <c r="Q4" s="3261"/>
      <c r="R4" s="3253" t="s">
        <v>2538</v>
      </c>
      <c r="S4" s="3254"/>
      <c r="T4" s="3253" t="s">
        <v>2539</v>
      </c>
      <c r="U4" s="3254"/>
      <c r="V4" s="3226" t="s">
        <v>2540</v>
      </c>
      <c r="W4" s="3226"/>
      <c r="X4" s="1814"/>
      <c r="Y4" s="3253" t="s">
        <v>2542</v>
      </c>
      <c r="Z4" s="3254"/>
      <c r="AA4" s="3252" t="s">
        <v>2538</v>
      </c>
      <c r="AB4" s="3252" t="s">
        <v>2539</v>
      </c>
      <c r="AC4" s="3252" t="s">
        <v>2540</v>
      </c>
    </row>
    <row r="5" spans="1:29" ht="15">
      <c r="A5" s="403"/>
      <c r="B5" s="404"/>
      <c r="C5" s="3203" t="s">
        <v>2543</v>
      </c>
      <c r="D5" s="3204"/>
      <c r="E5" s="3290" t="s">
        <v>2544</v>
      </c>
      <c r="F5" s="3202"/>
      <c r="G5" s="3203" t="s">
        <v>2545</v>
      </c>
      <c r="H5" s="3204"/>
      <c r="I5" s="3203" t="s">
        <v>2546</v>
      </c>
      <c r="J5" s="3204"/>
      <c r="K5" s="2601"/>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2601"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95" t="s">
        <v>2550</v>
      </c>
      <c r="Q7" s="3228"/>
      <c r="R7" s="769" t="s">
        <v>23</v>
      </c>
      <c r="S7" s="770">
        <f t="shared" ref="S7:S15" si="0">F7</f>
        <v>0</v>
      </c>
      <c r="T7" s="769" t="s">
        <v>23</v>
      </c>
      <c r="U7" s="770">
        <f t="shared" ref="U7:U15" si="1">H7</f>
        <v>0</v>
      </c>
      <c r="V7" s="769" t="s">
        <v>23</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95" t="s">
        <v>2553</v>
      </c>
      <c r="Q8" s="3196"/>
      <c r="R8" s="769" t="s">
        <v>23</v>
      </c>
      <c r="S8" s="770">
        <f t="shared" si="0"/>
        <v>0</v>
      </c>
      <c r="T8" s="769" t="s">
        <v>23</v>
      </c>
      <c r="U8" s="770">
        <f t="shared" si="1"/>
        <v>0</v>
      </c>
      <c r="V8" s="769" t="s">
        <v>23</v>
      </c>
      <c r="W8" s="770">
        <f t="shared" si="2"/>
        <v>0</v>
      </c>
      <c r="X8" s="771"/>
      <c r="Y8" s="3195" t="s">
        <v>2553</v>
      </c>
      <c r="Z8" s="3196"/>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9"/>
      <c r="Q11" s="1796" t="str">
        <f t="shared" si="6"/>
        <v>容积率</v>
      </c>
      <c r="R11" s="769" t="s">
        <v>21</v>
      </c>
      <c r="S11" s="770" t="e">
        <f t="shared" si="0"/>
        <v>#N/A</v>
      </c>
      <c r="T11" s="769" t="s">
        <v>21</v>
      </c>
      <c r="U11" s="770" t="e">
        <f t="shared" si="1"/>
        <v>#N/A</v>
      </c>
      <c r="V11" s="769" t="s">
        <v>21</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9"/>
      <c r="Q12" s="1796">
        <f t="shared" si="6"/>
        <v>111</v>
      </c>
      <c r="R12" s="769" t="s">
        <v>21</v>
      </c>
      <c r="S12" s="770">
        <f t="shared" si="0"/>
        <v>100</v>
      </c>
      <c r="T12" s="769" t="s">
        <v>21</v>
      </c>
      <c r="U12" s="770">
        <f t="shared" si="1"/>
        <v>100</v>
      </c>
      <c r="V12" s="769" t="s">
        <v>21</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9"/>
      <c r="Q13" s="1796">
        <f t="shared" si="6"/>
        <v>111</v>
      </c>
      <c r="R13" s="769" t="s">
        <v>21</v>
      </c>
      <c r="S13" s="770">
        <f t="shared" si="0"/>
        <v>100</v>
      </c>
      <c r="T13" s="769" t="s">
        <v>21</v>
      </c>
      <c r="U13" s="770">
        <f t="shared" si="1"/>
        <v>100</v>
      </c>
      <c r="V13" s="769" t="s">
        <v>21</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9"/>
      <c r="Q14" s="1796">
        <f t="shared" si="6"/>
        <v>111</v>
      </c>
      <c r="R14" s="769" t="s">
        <v>21</v>
      </c>
      <c r="S14" s="770">
        <f t="shared" si="0"/>
        <v>100</v>
      </c>
      <c r="T14" s="769" t="s">
        <v>21</v>
      </c>
      <c r="U14" s="770">
        <f t="shared" si="1"/>
        <v>100</v>
      </c>
      <c r="V14" s="769" t="s">
        <v>21</v>
      </c>
      <c r="W14" s="770">
        <f t="shared" si="2"/>
        <v>100</v>
      </c>
      <c r="X14" s="771"/>
      <c r="Y14" s="3069"/>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2561</v>
      </c>
      <c r="Q15" s="1811" t="str">
        <f t="shared" si="6"/>
        <v>居住社区成熟度</v>
      </c>
      <c r="R15" s="773" t="s">
        <v>21</v>
      </c>
      <c r="S15" s="774">
        <f t="shared" si="0"/>
        <v>100</v>
      </c>
      <c r="T15" s="773" t="s">
        <v>21</v>
      </c>
      <c r="U15" s="774">
        <f t="shared" si="1"/>
        <v>100</v>
      </c>
      <c r="V15" s="773" t="s">
        <v>21</v>
      </c>
      <c r="W15" s="774">
        <f t="shared" si="2"/>
        <v>100</v>
      </c>
      <c r="X15" s="1814"/>
      <c r="Y15" s="3231"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30"/>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30"/>
      <c r="Q18" s="1811"/>
      <c r="R18" s="773"/>
      <c r="S18" s="774"/>
      <c r="T18" s="773"/>
      <c r="U18" s="774"/>
      <c r="V18" s="773"/>
      <c r="W18" s="774"/>
      <c r="X18" s="1814"/>
      <c r="Y18" s="3232"/>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30"/>
      <c r="Q20" s="1811"/>
      <c r="R20" s="773"/>
      <c r="S20" s="774"/>
      <c r="T20" s="773"/>
      <c r="U20" s="774"/>
      <c r="V20" s="773"/>
      <c r="W20" s="774"/>
      <c r="X20" s="1814"/>
      <c r="Y20" s="3232"/>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230"/>
      <c r="Q22" s="1811"/>
      <c r="R22" s="773"/>
      <c r="S22" s="774"/>
      <c r="T22" s="773"/>
      <c r="U22" s="774"/>
      <c r="V22" s="773"/>
      <c r="W22" s="774"/>
      <c r="X22" s="1814"/>
      <c r="Y22" s="3232"/>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232"/>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30"/>
      <c r="Q24" s="1811"/>
      <c r="R24" s="773"/>
      <c r="S24" s="774"/>
      <c r="T24" s="773"/>
      <c r="U24" s="774"/>
      <c r="V24" s="773"/>
      <c r="W24" s="774"/>
      <c r="X24" s="1814"/>
      <c r="Y24" s="3232"/>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32"/>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23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232"/>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23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23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23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232"/>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3" t="s">
        <v>2566</v>
      </c>
      <c r="Q32" s="1811" t="str">
        <f t="shared" si="11"/>
        <v>建筑类型</v>
      </c>
      <c r="R32" s="773" t="s">
        <v>21</v>
      </c>
      <c r="S32" s="774">
        <f t="shared" si="12"/>
        <v>100</v>
      </c>
      <c r="T32" s="773" t="s">
        <v>21</v>
      </c>
      <c r="U32" s="774">
        <f t="shared" si="13"/>
        <v>100</v>
      </c>
      <c r="V32" s="773" t="s">
        <v>21</v>
      </c>
      <c r="W32" s="774">
        <f t="shared" si="14"/>
        <v>100</v>
      </c>
      <c r="X32" s="1814"/>
      <c r="Y32" s="3236"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4"/>
      <c r="Q33" s="775" t="str">
        <f t="shared" si="11"/>
        <v>项目建筑规模</v>
      </c>
      <c r="R33" s="776" t="s">
        <v>21</v>
      </c>
      <c r="S33" s="777" t="e">
        <f t="shared" si="12"/>
        <v>#N/A</v>
      </c>
      <c r="T33" s="776" t="s">
        <v>21</v>
      </c>
      <c r="U33" s="777" t="e">
        <f t="shared" si="13"/>
        <v>#N/A</v>
      </c>
      <c r="V33" s="776" t="s">
        <v>21</v>
      </c>
      <c r="W33" s="777" t="e">
        <f t="shared" si="14"/>
        <v>#N/A</v>
      </c>
      <c r="X33" s="778"/>
      <c r="Y33" s="3236"/>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4"/>
      <c r="Q34" s="1811" t="str">
        <f t="shared" si="11"/>
        <v>建筑结构</v>
      </c>
      <c r="R34" s="773" t="s">
        <v>21</v>
      </c>
      <c r="S34" s="774">
        <f t="shared" si="12"/>
        <v>100</v>
      </c>
      <c r="T34" s="773" t="s">
        <v>21</v>
      </c>
      <c r="U34" s="774">
        <f t="shared" si="13"/>
        <v>100</v>
      </c>
      <c r="V34" s="773" t="s">
        <v>21</v>
      </c>
      <c r="W34" s="774">
        <f t="shared" si="14"/>
        <v>100</v>
      </c>
      <c r="X34" s="1814"/>
      <c r="Y34" s="3236"/>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4"/>
      <c r="Q35" s="1811" t="str">
        <f t="shared" si="11"/>
        <v>建筑品质</v>
      </c>
      <c r="R35" s="773" t="s">
        <v>21</v>
      </c>
      <c r="S35" s="774">
        <f t="shared" si="12"/>
        <v>100</v>
      </c>
      <c r="T35" s="773" t="s">
        <v>21</v>
      </c>
      <c r="U35" s="774">
        <f t="shared" si="13"/>
        <v>100</v>
      </c>
      <c r="V35" s="773" t="s">
        <v>21</v>
      </c>
      <c r="W35" s="774">
        <f t="shared" si="14"/>
        <v>100</v>
      </c>
      <c r="X35" s="1814"/>
      <c r="Y35" s="3236"/>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4"/>
      <c r="Q36" s="1811" t="str">
        <f t="shared" si="11"/>
        <v>公共部分装修</v>
      </c>
      <c r="R36" s="773" t="s">
        <v>21</v>
      </c>
      <c r="S36" s="774">
        <f t="shared" si="12"/>
        <v>100</v>
      </c>
      <c r="T36" s="773" t="s">
        <v>21</v>
      </c>
      <c r="U36" s="774">
        <f t="shared" si="13"/>
        <v>100</v>
      </c>
      <c r="V36" s="773" t="s">
        <v>21</v>
      </c>
      <c r="W36" s="774">
        <f t="shared" si="14"/>
        <v>100</v>
      </c>
      <c r="X36" s="1814"/>
      <c r="Y36" s="3236"/>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4"/>
      <c r="Q37" s="1796" t="str">
        <f t="shared" si="11"/>
        <v>成新度</v>
      </c>
      <c r="R37" s="769" t="s">
        <v>21</v>
      </c>
      <c r="S37" s="770" t="e">
        <f t="shared" si="12"/>
        <v>#N/A</v>
      </c>
      <c r="T37" s="769" t="s">
        <v>21</v>
      </c>
      <c r="U37" s="770" t="e">
        <f t="shared" si="13"/>
        <v>#N/A</v>
      </c>
      <c r="V37" s="769" t="s">
        <v>21</v>
      </c>
      <c r="W37" s="770" t="e">
        <f t="shared" si="14"/>
        <v>#N/A</v>
      </c>
      <c r="X37" s="771"/>
      <c r="Y37" s="3236"/>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4" t="s">
        <v>2566</v>
      </c>
      <c r="Q38" s="1811" t="str">
        <f t="shared" si="11"/>
        <v>物业管理</v>
      </c>
      <c r="R38" s="773" t="s">
        <v>21</v>
      </c>
      <c r="S38" s="774">
        <f t="shared" si="12"/>
        <v>100</v>
      </c>
      <c r="T38" s="773" t="s">
        <v>21</v>
      </c>
      <c r="U38" s="774">
        <f t="shared" si="13"/>
        <v>100</v>
      </c>
      <c r="V38" s="773" t="s">
        <v>21</v>
      </c>
      <c r="W38" s="774">
        <f t="shared" si="14"/>
        <v>100</v>
      </c>
      <c r="X38" s="1814"/>
      <c r="Y38" s="3236"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4"/>
      <c r="Q39" s="1811" t="str">
        <f t="shared" si="11"/>
        <v>市政基础设施</v>
      </c>
      <c r="R39" s="773" t="s">
        <v>21</v>
      </c>
      <c r="S39" s="774">
        <f t="shared" si="12"/>
        <v>100</v>
      </c>
      <c r="T39" s="773" t="s">
        <v>21</v>
      </c>
      <c r="U39" s="774">
        <f t="shared" si="13"/>
        <v>100</v>
      </c>
      <c r="V39" s="773" t="s">
        <v>21</v>
      </c>
      <c r="W39" s="774">
        <f t="shared" si="14"/>
        <v>100</v>
      </c>
      <c r="X39" s="1814"/>
      <c r="Y39" s="3236"/>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4"/>
      <c r="Q40" s="1811" t="str">
        <f t="shared" si="11"/>
        <v>房型</v>
      </c>
      <c r="R40" s="773" t="s">
        <v>21</v>
      </c>
      <c r="S40" s="774">
        <f t="shared" si="12"/>
        <v>100</v>
      </c>
      <c r="T40" s="773" t="s">
        <v>21</v>
      </c>
      <c r="U40" s="774">
        <f t="shared" si="13"/>
        <v>100</v>
      </c>
      <c r="V40" s="773" t="s">
        <v>21</v>
      </c>
      <c r="W40" s="774">
        <f t="shared" si="14"/>
        <v>100</v>
      </c>
      <c r="X40" s="1814"/>
      <c r="Y40" s="3236"/>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236"/>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4"/>
      <c r="Q42" s="1811" t="str">
        <f t="shared" si="11"/>
        <v>内部装修</v>
      </c>
      <c r="R42" s="773" t="s">
        <v>21</v>
      </c>
      <c r="S42" s="774">
        <f t="shared" si="12"/>
        <v>100</v>
      </c>
      <c r="T42" s="773" t="s">
        <v>21</v>
      </c>
      <c r="U42" s="774">
        <f t="shared" si="13"/>
        <v>100</v>
      </c>
      <c r="V42" s="773" t="s">
        <v>21</v>
      </c>
      <c r="W42" s="774">
        <f t="shared" si="14"/>
        <v>100</v>
      </c>
      <c r="X42" s="1814"/>
      <c r="Y42" s="3236"/>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4"/>
      <c r="Q43" s="1811" t="str">
        <f t="shared" si="11"/>
        <v>内部装修维护情况</v>
      </c>
      <c r="R43" s="773" t="s">
        <v>21</v>
      </c>
      <c r="S43" s="774">
        <f t="shared" si="12"/>
        <v>100</v>
      </c>
      <c r="T43" s="773" t="s">
        <v>21</v>
      </c>
      <c r="U43" s="774">
        <f t="shared" si="13"/>
        <v>100</v>
      </c>
      <c r="V43" s="773" t="s">
        <v>21</v>
      </c>
      <c r="W43" s="774">
        <f t="shared" si="14"/>
        <v>100</v>
      </c>
      <c r="X43" s="1814"/>
      <c r="Y43" s="323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4"/>
      <c r="Q44" s="1796">
        <f t="shared" si="11"/>
        <v>111</v>
      </c>
      <c r="R44" s="769" t="s">
        <v>21</v>
      </c>
      <c r="S44" s="770">
        <f t="shared" si="12"/>
        <v>100</v>
      </c>
      <c r="T44" s="769" t="s">
        <v>21</v>
      </c>
      <c r="U44" s="770">
        <f t="shared" si="13"/>
        <v>100</v>
      </c>
      <c r="V44" s="769" t="s">
        <v>21</v>
      </c>
      <c r="W44" s="770">
        <f t="shared" si="14"/>
        <v>100</v>
      </c>
      <c r="X44" s="771"/>
      <c r="Y44" s="3236"/>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4"/>
      <c r="Q45" s="1811">
        <f t="shared" si="11"/>
        <v>111</v>
      </c>
      <c r="R45" s="773" t="s">
        <v>21</v>
      </c>
      <c r="S45" s="774">
        <f t="shared" si="12"/>
        <v>100</v>
      </c>
      <c r="T45" s="773" t="s">
        <v>21</v>
      </c>
      <c r="U45" s="774">
        <f t="shared" si="13"/>
        <v>100</v>
      </c>
      <c r="V45" s="773" t="s">
        <v>21</v>
      </c>
      <c r="W45" s="774">
        <f t="shared" si="14"/>
        <v>100</v>
      </c>
      <c r="X45" s="1814"/>
      <c r="Y45" s="3236"/>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5"/>
      <c r="Q46" s="1811">
        <f t="shared" si="11"/>
        <v>111</v>
      </c>
      <c r="R46" s="773" t="s">
        <v>20</v>
      </c>
      <c r="S46" s="774">
        <f t="shared" si="12"/>
        <v>100</v>
      </c>
      <c r="T46" s="773" t="s">
        <v>20</v>
      </c>
      <c r="U46" s="774">
        <f t="shared" si="13"/>
        <v>100</v>
      </c>
      <c r="V46" s="773" t="s">
        <v>20</v>
      </c>
      <c r="W46" s="774">
        <f t="shared" si="14"/>
        <v>100</v>
      </c>
      <c r="X46" s="1814"/>
      <c r="Y46" s="3237"/>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238" t="str">
        <f>A47</f>
        <v>成交单价（元/平方米）</v>
      </c>
      <c r="Q47" s="3238"/>
      <c r="R47" s="3239">
        <f>E47</f>
        <v>0</v>
      </c>
      <c r="S47" s="3239"/>
      <c r="T47" s="3239">
        <f>G47</f>
        <v>0</v>
      </c>
      <c r="U47" s="3239"/>
      <c r="V47" s="3239">
        <f>I47</f>
        <v>0</v>
      </c>
      <c r="W47" s="3239"/>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65" t="str">
        <f>A49</f>
        <v>估价对象XX用房的比较价值（楼面单价，元/平方米）</v>
      </c>
      <c r="Q49" s="3266"/>
      <c r="R49" s="3267" t="e">
        <f>IF(F1="售价",ROUND(AVERAGE(R48:V48),0),ROUND(AVERAGE(R48:V48),1))</f>
        <v>#DIV/0!</v>
      </c>
      <c r="S49" s="3267"/>
      <c r="T49" s="3267"/>
      <c r="U49" s="3267"/>
      <c r="V49" s="3267"/>
      <c r="W49" s="326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226"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226"/>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226"/>
      <c r="AC6" s="3194"/>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9"/>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9"/>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9"/>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9"/>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2561</v>
      </c>
      <c r="Q15" s="1811" t="str">
        <f t="shared" si="6"/>
        <v>商业繁华度</v>
      </c>
      <c r="R15" s="773" t="s">
        <v>17</v>
      </c>
      <c r="S15" s="774">
        <f t="shared" si="0"/>
        <v>100</v>
      </c>
      <c r="T15" s="773" t="s">
        <v>17</v>
      </c>
      <c r="U15" s="774">
        <f t="shared" si="1"/>
        <v>100</v>
      </c>
      <c r="V15" s="773" t="s">
        <v>17</v>
      </c>
      <c r="W15" s="774">
        <f t="shared" si="2"/>
        <v>100</v>
      </c>
      <c r="X15" s="1814"/>
      <c r="Y15" s="3231"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30"/>
      <c r="Q18" s="1811"/>
      <c r="R18" s="773"/>
      <c r="S18" s="774"/>
      <c r="T18" s="773"/>
      <c r="U18" s="774"/>
      <c r="V18" s="773"/>
      <c r="W18" s="774"/>
      <c r="X18" s="1814"/>
      <c r="Y18" s="3232"/>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30"/>
      <c r="Q20" s="1811"/>
      <c r="R20" s="773"/>
      <c r="S20" s="774"/>
      <c r="T20" s="773"/>
      <c r="U20" s="774"/>
      <c r="V20" s="773"/>
      <c r="W20" s="774"/>
      <c r="X20" s="1814"/>
      <c r="Y20" s="3232"/>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230"/>
      <c r="Q22" s="1811"/>
      <c r="R22" s="773"/>
      <c r="S22" s="774"/>
      <c r="T22" s="773"/>
      <c r="U22" s="774"/>
      <c r="V22" s="773"/>
      <c r="W22" s="774"/>
      <c r="X22" s="1814"/>
      <c r="Y22" s="3232"/>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232"/>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30"/>
      <c r="Q24" s="1811"/>
      <c r="R24" s="773"/>
      <c r="S24" s="774"/>
      <c r="T24" s="773"/>
      <c r="U24" s="774"/>
      <c r="V24" s="773"/>
      <c r="W24" s="774"/>
      <c r="X24" s="1814"/>
      <c r="Y24" s="3232"/>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232"/>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232"/>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232"/>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32"/>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232"/>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232"/>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232"/>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3" t="s">
        <v>2566</v>
      </c>
      <c r="Q32" s="1811" t="str">
        <f t="shared" si="11"/>
        <v>商业类型</v>
      </c>
      <c r="R32" s="773" t="s">
        <v>17</v>
      </c>
      <c r="S32" s="774">
        <f t="shared" si="12"/>
        <v>100</v>
      </c>
      <c r="T32" s="773" t="s">
        <v>17</v>
      </c>
      <c r="U32" s="774">
        <f t="shared" si="13"/>
        <v>100</v>
      </c>
      <c r="V32" s="773" t="s">
        <v>17</v>
      </c>
      <c r="W32" s="774">
        <f t="shared" si="14"/>
        <v>100</v>
      </c>
      <c r="X32" s="1814"/>
      <c r="Y32" s="3236"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4"/>
      <c r="Q33" s="775" t="str">
        <f t="shared" si="11"/>
        <v>项目建筑规模</v>
      </c>
      <c r="R33" s="776" t="s">
        <v>17</v>
      </c>
      <c r="S33" s="777" t="e">
        <f t="shared" si="12"/>
        <v>#N/A</v>
      </c>
      <c r="T33" s="776" t="s">
        <v>17</v>
      </c>
      <c r="U33" s="777" t="e">
        <f t="shared" si="13"/>
        <v>#N/A</v>
      </c>
      <c r="V33" s="776" t="s">
        <v>17</v>
      </c>
      <c r="W33" s="777" t="e">
        <f t="shared" si="14"/>
        <v>#N/A</v>
      </c>
      <c r="X33" s="778"/>
      <c r="Y33" s="3236"/>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4"/>
      <c r="Q34" s="1811" t="str">
        <f t="shared" si="11"/>
        <v>建筑结构</v>
      </c>
      <c r="R34" s="773" t="s">
        <v>17</v>
      </c>
      <c r="S34" s="774">
        <f t="shared" si="12"/>
        <v>100</v>
      </c>
      <c r="T34" s="773" t="s">
        <v>17</v>
      </c>
      <c r="U34" s="774">
        <f t="shared" si="13"/>
        <v>100</v>
      </c>
      <c r="V34" s="773" t="s">
        <v>17</v>
      </c>
      <c r="W34" s="774">
        <f t="shared" si="14"/>
        <v>100</v>
      </c>
      <c r="X34" s="1814"/>
      <c r="Y34" s="3236"/>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4"/>
      <c r="Q35" s="1811" t="str">
        <f t="shared" si="11"/>
        <v>公共部分装修</v>
      </c>
      <c r="R35" s="773" t="s">
        <v>17</v>
      </c>
      <c r="S35" s="774">
        <f t="shared" si="12"/>
        <v>100</v>
      </c>
      <c r="T35" s="773" t="s">
        <v>17</v>
      </c>
      <c r="U35" s="774">
        <f t="shared" si="13"/>
        <v>100</v>
      </c>
      <c r="V35" s="773" t="s">
        <v>17</v>
      </c>
      <c r="W35" s="774">
        <f t="shared" si="14"/>
        <v>100</v>
      </c>
      <c r="X35" s="1814"/>
      <c r="Y35" s="3236"/>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4"/>
      <c r="Q36" s="1811" t="str">
        <f t="shared" si="11"/>
        <v>成新度</v>
      </c>
      <c r="R36" s="773" t="s">
        <v>17</v>
      </c>
      <c r="S36" s="774" t="e">
        <f t="shared" si="12"/>
        <v>#N/A</v>
      </c>
      <c r="T36" s="773" t="s">
        <v>17</v>
      </c>
      <c r="U36" s="774" t="e">
        <f t="shared" si="13"/>
        <v>#N/A</v>
      </c>
      <c r="V36" s="773" t="s">
        <v>17</v>
      </c>
      <c r="W36" s="774" t="e">
        <f t="shared" si="14"/>
        <v>#N/A</v>
      </c>
      <c r="X36" s="1814"/>
      <c r="Y36" s="3236"/>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4"/>
      <c r="Q37" s="1796" t="str">
        <f t="shared" si="11"/>
        <v>市政基础设施</v>
      </c>
      <c r="R37" s="769" t="s">
        <v>17</v>
      </c>
      <c r="S37" s="770">
        <f t="shared" si="12"/>
        <v>100</v>
      </c>
      <c r="T37" s="769" t="s">
        <v>17</v>
      </c>
      <c r="U37" s="770">
        <f t="shared" si="13"/>
        <v>100</v>
      </c>
      <c r="V37" s="769" t="s">
        <v>17</v>
      </c>
      <c r="W37" s="770">
        <f t="shared" si="14"/>
        <v>100</v>
      </c>
      <c r="X37" s="771"/>
      <c r="Y37" s="3236"/>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4" t="s">
        <v>2566</v>
      </c>
      <c r="Q38" s="1811" t="str">
        <f t="shared" si="11"/>
        <v>业态</v>
      </c>
      <c r="R38" s="773" t="s">
        <v>17</v>
      </c>
      <c r="S38" s="774">
        <f t="shared" si="12"/>
        <v>100</v>
      </c>
      <c r="T38" s="773" t="s">
        <v>17</v>
      </c>
      <c r="U38" s="774">
        <f t="shared" si="13"/>
        <v>100</v>
      </c>
      <c r="V38" s="773" t="s">
        <v>17</v>
      </c>
      <c r="W38" s="774">
        <f t="shared" si="14"/>
        <v>100</v>
      </c>
      <c r="X38" s="1814"/>
      <c r="Y38" s="3236"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4"/>
      <c r="Q39" s="1811" t="str">
        <f t="shared" si="11"/>
        <v>层高</v>
      </c>
      <c r="R39" s="773" t="s">
        <v>17</v>
      </c>
      <c r="S39" s="774">
        <f t="shared" si="12"/>
        <v>100</v>
      </c>
      <c r="T39" s="773" t="s">
        <v>17</v>
      </c>
      <c r="U39" s="774">
        <f t="shared" si="13"/>
        <v>100</v>
      </c>
      <c r="V39" s="773" t="s">
        <v>17</v>
      </c>
      <c r="W39" s="774">
        <f t="shared" si="14"/>
        <v>100</v>
      </c>
      <c r="X39" s="1814"/>
      <c r="Y39" s="3236"/>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4"/>
      <c r="Q40" s="1811" t="str">
        <f t="shared" si="11"/>
        <v>单套建筑面积</v>
      </c>
      <c r="R40" s="773" t="s">
        <v>17</v>
      </c>
      <c r="S40" s="774">
        <f t="shared" si="12"/>
        <v>100</v>
      </c>
      <c r="T40" s="773" t="s">
        <v>17</v>
      </c>
      <c r="U40" s="774">
        <f t="shared" si="13"/>
        <v>100</v>
      </c>
      <c r="V40" s="773" t="s">
        <v>17</v>
      </c>
      <c r="W40" s="774">
        <f t="shared" si="14"/>
        <v>100</v>
      </c>
      <c r="X40" s="1814"/>
      <c r="Y40" s="3236"/>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4"/>
      <c r="Q42" s="1811" t="str">
        <f t="shared" si="11"/>
        <v>内部装修</v>
      </c>
      <c r="R42" s="773" t="s">
        <v>17</v>
      </c>
      <c r="S42" s="774">
        <f t="shared" si="12"/>
        <v>100</v>
      </c>
      <c r="T42" s="773" t="s">
        <v>17</v>
      </c>
      <c r="U42" s="774">
        <f t="shared" si="13"/>
        <v>100</v>
      </c>
      <c r="V42" s="773" t="s">
        <v>17</v>
      </c>
      <c r="W42" s="774">
        <f t="shared" si="14"/>
        <v>100</v>
      </c>
      <c r="X42" s="1814"/>
      <c r="Y42" s="3236"/>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4"/>
      <c r="Q43" s="1811" t="str">
        <f t="shared" si="11"/>
        <v>内部装修维护情况</v>
      </c>
      <c r="R43" s="773" t="s">
        <v>17</v>
      </c>
      <c r="S43" s="774">
        <f t="shared" si="12"/>
        <v>100</v>
      </c>
      <c r="T43" s="773" t="s">
        <v>17</v>
      </c>
      <c r="U43" s="774">
        <f t="shared" si="13"/>
        <v>100</v>
      </c>
      <c r="V43" s="773" t="s">
        <v>17</v>
      </c>
      <c r="W43" s="774">
        <f t="shared" si="14"/>
        <v>100</v>
      </c>
      <c r="X43" s="1814"/>
      <c r="Y43" s="3236"/>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4"/>
      <c r="Q44" s="1796">
        <f t="shared" si="11"/>
        <v>111</v>
      </c>
      <c r="R44" s="769" t="s">
        <v>17</v>
      </c>
      <c r="S44" s="770">
        <f t="shared" si="12"/>
        <v>100</v>
      </c>
      <c r="T44" s="769" t="s">
        <v>17</v>
      </c>
      <c r="U44" s="770">
        <f t="shared" si="13"/>
        <v>100</v>
      </c>
      <c r="V44" s="769" t="s">
        <v>17</v>
      </c>
      <c r="W44" s="770">
        <f t="shared" si="14"/>
        <v>100</v>
      </c>
      <c r="X44" s="771"/>
      <c r="Y44" s="3236"/>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4"/>
      <c r="Q45" s="1811">
        <f t="shared" si="11"/>
        <v>111</v>
      </c>
      <c r="R45" s="773" t="s">
        <v>17</v>
      </c>
      <c r="S45" s="774">
        <f t="shared" si="12"/>
        <v>100</v>
      </c>
      <c r="T45" s="773" t="s">
        <v>17</v>
      </c>
      <c r="U45" s="774">
        <f t="shared" si="13"/>
        <v>100</v>
      </c>
      <c r="V45" s="773" t="s">
        <v>17</v>
      </c>
      <c r="W45" s="774">
        <f t="shared" si="14"/>
        <v>100</v>
      </c>
      <c r="X45" s="1814"/>
      <c r="Y45" s="3236"/>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5"/>
      <c r="Q46" s="1811">
        <f t="shared" si="11"/>
        <v>111</v>
      </c>
      <c r="R46" s="773" t="s">
        <v>17</v>
      </c>
      <c r="S46" s="774">
        <f t="shared" si="12"/>
        <v>100</v>
      </c>
      <c r="T46" s="773" t="s">
        <v>17</v>
      </c>
      <c r="U46" s="774">
        <f t="shared" si="13"/>
        <v>100</v>
      </c>
      <c r="V46" s="773" t="s">
        <v>17</v>
      </c>
      <c r="W46" s="774">
        <f t="shared" si="14"/>
        <v>100</v>
      </c>
      <c r="X46" s="1814"/>
      <c r="Y46" s="3237"/>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238" t="str">
        <f>A47</f>
        <v>成交单价（元/平方米）</v>
      </c>
      <c r="Q47" s="3238"/>
      <c r="R47" s="3226">
        <f>E47</f>
        <v>0</v>
      </c>
      <c r="S47" s="3226"/>
      <c r="T47" s="3226">
        <f>G47</f>
        <v>0</v>
      </c>
      <c r="U47" s="3226"/>
      <c r="V47" s="3226">
        <f>I47</f>
        <v>0</v>
      </c>
      <c r="W47" s="3226"/>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65" t="str">
        <f>A49</f>
        <v>估价对象XX用房的比较价值（楼面单价，元/平方米）</v>
      </c>
      <c r="Q49" s="3266"/>
      <c r="R49" s="3267" t="e">
        <f>IF(F1="售价",ROUND(AVERAGE(R48:V48),0),ROUND(AVERAGE(R48:V48),1))</f>
        <v>#DIV/0!</v>
      </c>
      <c r="S49" s="3267"/>
      <c r="T49" s="3267"/>
      <c r="U49" s="3267"/>
      <c r="V49" s="3267"/>
      <c r="W49" s="326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8"/>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1" t="s">
        <v>2561</v>
      </c>
      <c r="Q15" s="1811" t="str">
        <f t="shared" si="6"/>
        <v>产业集聚程度</v>
      </c>
      <c r="R15" s="773" t="s">
        <v>17</v>
      </c>
      <c r="S15" s="774">
        <f t="shared" si="0"/>
        <v>100</v>
      </c>
      <c r="T15" s="773" t="s">
        <v>17</v>
      </c>
      <c r="U15" s="774">
        <f t="shared" si="1"/>
        <v>100</v>
      </c>
      <c r="V15" s="773" t="s">
        <v>17</v>
      </c>
      <c r="W15" s="774">
        <f t="shared" si="2"/>
        <v>100</v>
      </c>
      <c r="X15" s="1814"/>
      <c r="Y15" s="3231"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32"/>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2"/>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32"/>
      <c r="Q18" s="1811"/>
      <c r="R18" s="773"/>
      <c r="S18" s="774"/>
      <c r="T18" s="773"/>
      <c r="U18" s="774"/>
      <c r="V18" s="773"/>
      <c r="W18" s="774"/>
      <c r="X18" s="1814"/>
      <c r="Y18" s="3232"/>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2"/>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32"/>
      <c r="Q20" s="1811"/>
      <c r="R20" s="773"/>
      <c r="S20" s="774"/>
      <c r="T20" s="773"/>
      <c r="U20" s="774"/>
      <c r="V20" s="773"/>
      <c r="W20" s="774"/>
      <c r="X20" s="1814"/>
      <c r="Y20" s="3232"/>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2"/>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32"/>
      <c r="Q22" s="1811"/>
      <c r="R22" s="773"/>
      <c r="S22" s="774"/>
      <c r="T22" s="773"/>
      <c r="U22" s="774"/>
      <c r="V22" s="773"/>
      <c r="W22" s="774"/>
      <c r="X22" s="1814"/>
      <c r="Y22" s="3232"/>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2"/>
      <c r="Q23" s="1811" t="str">
        <f>B23</f>
        <v>环境质量</v>
      </c>
      <c r="R23" s="773" t="s">
        <v>17</v>
      </c>
      <c r="S23" s="774">
        <f>F23</f>
        <v>100</v>
      </c>
      <c r="T23" s="773" t="s">
        <v>17</v>
      </c>
      <c r="U23" s="774">
        <f>H23</f>
        <v>100</v>
      </c>
      <c r="V23" s="773" t="s">
        <v>17</v>
      </c>
      <c r="W23" s="774">
        <f>J23</f>
        <v>100</v>
      </c>
      <c r="X23" s="1814"/>
      <c r="Y23" s="3232"/>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32"/>
      <c r="Q24" s="1811"/>
      <c r="R24" s="773"/>
      <c r="S24" s="774"/>
      <c r="T24" s="773"/>
      <c r="U24" s="774"/>
      <c r="V24" s="773"/>
      <c r="W24" s="774"/>
      <c r="X24" s="1814"/>
      <c r="Y24" s="323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2"/>
      <c r="Q25" s="1811">
        <f>B25</f>
        <v>111</v>
      </c>
      <c r="R25" s="773" t="s">
        <v>17</v>
      </c>
      <c r="S25" s="774">
        <f>F25</f>
        <v>100</v>
      </c>
      <c r="T25" s="773" t="s">
        <v>17</v>
      </c>
      <c r="U25" s="774">
        <f>H25</f>
        <v>100</v>
      </c>
      <c r="V25" s="773" t="s">
        <v>17</v>
      </c>
      <c r="W25" s="774">
        <f>J25</f>
        <v>100</v>
      </c>
      <c r="X25" s="1814"/>
      <c r="Y25" s="323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2"/>
      <c r="Q26" s="1811">
        <f t="shared" ref="Q26:Q40" si="11">B26</f>
        <v>111</v>
      </c>
      <c r="R26" s="773" t="s">
        <v>17</v>
      </c>
      <c r="S26" s="774">
        <f>F26</f>
        <v>100</v>
      </c>
      <c r="T26" s="773" t="s">
        <v>17</v>
      </c>
      <c r="U26" s="774">
        <f>H26</f>
        <v>100</v>
      </c>
      <c r="V26" s="773" t="s">
        <v>17</v>
      </c>
      <c r="W26" s="774">
        <f>J26</f>
        <v>100</v>
      </c>
      <c r="X26" s="1814"/>
      <c r="Y26" s="323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2"/>
      <c r="Q27" s="1796">
        <f t="shared" si="11"/>
        <v>111</v>
      </c>
      <c r="R27" s="769" t="s">
        <v>17</v>
      </c>
      <c r="S27" s="770">
        <f>F27</f>
        <v>100</v>
      </c>
      <c r="T27" s="769" t="s">
        <v>17</v>
      </c>
      <c r="U27" s="770">
        <f>H27</f>
        <v>100</v>
      </c>
      <c r="V27" s="769" t="s">
        <v>17</v>
      </c>
      <c r="W27" s="770">
        <f>J27</f>
        <v>100</v>
      </c>
      <c r="X27" s="771"/>
      <c r="Y27" s="3232"/>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2"/>
      <c r="Q28" s="1811">
        <f t="shared" si="11"/>
        <v>111</v>
      </c>
      <c r="R28" s="773" t="s">
        <v>17</v>
      </c>
      <c r="S28" s="774">
        <f t="shared" ref="S28:S40" si="12">F28</f>
        <v>100</v>
      </c>
      <c r="T28" s="773" t="s">
        <v>17</v>
      </c>
      <c r="U28" s="774">
        <f t="shared" ref="U28:U40" si="13">H28</f>
        <v>100</v>
      </c>
      <c r="V28" s="773" t="s">
        <v>17</v>
      </c>
      <c r="W28" s="774">
        <f t="shared" ref="W28:W40" si="14">J28</f>
        <v>100</v>
      </c>
      <c r="X28" s="1814"/>
      <c r="Y28" s="3232"/>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64" t="s">
        <v>2566</v>
      </c>
      <c r="Q29" s="1811" t="str">
        <f t="shared" si="11"/>
        <v>建筑类型</v>
      </c>
      <c r="R29" s="773" t="s">
        <v>17</v>
      </c>
      <c r="S29" s="774">
        <f t="shared" si="12"/>
        <v>100</v>
      </c>
      <c r="T29" s="773" t="s">
        <v>17</v>
      </c>
      <c r="U29" s="774">
        <f t="shared" si="13"/>
        <v>100</v>
      </c>
      <c r="V29" s="773" t="s">
        <v>17</v>
      </c>
      <c r="W29" s="774">
        <f t="shared" si="14"/>
        <v>100</v>
      </c>
      <c r="X29" s="1814"/>
      <c r="Y29" s="3236"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36"/>
      <c r="Q30" s="775" t="str">
        <f t="shared" si="11"/>
        <v>项目建筑规模</v>
      </c>
      <c r="R30" s="776" t="s">
        <v>17</v>
      </c>
      <c r="S30" s="777" t="e">
        <f t="shared" si="12"/>
        <v>#N/A</v>
      </c>
      <c r="T30" s="776" t="s">
        <v>17</v>
      </c>
      <c r="U30" s="777" t="e">
        <f t="shared" si="13"/>
        <v>#N/A</v>
      </c>
      <c r="V30" s="776" t="s">
        <v>17</v>
      </c>
      <c r="W30" s="777" t="e">
        <f t="shared" si="14"/>
        <v>#N/A</v>
      </c>
      <c r="X30" s="778"/>
      <c r="Y30" s="3236"/>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36"/>
      <c r="Q31" s="1811" t="str">
        <f t="shared" si="11"/>
        <v>建筑结构</v>
      </c>
      <c r="R31" s="773" t="s">
        <v>17</v>
      </c>
      <c r="S31" s="774">
        <f t="shared" si="12"/>
        <v>100</v>
      </c>
      <c r="T31" s="773" t="s">
        <v>17</v>
      </c>
      <c r="U31" s="774">
        <f t="shared" si="13"/>
        <v>100</v>
      </c>
      <c r="V31" s="773" t="s">
        <v>17</v>
      </c>
      <c r="W31" s="774">
        <f t="shared" si="14"/>
        <v>100</v>
      </c>
      <c r="X31" s="1814"/>
      <c r="Y31" s="323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36"/>
      <c r="Q32" s="1811" t="str">
        <f t="shared" si="11"/>
        <v>公共部分装修</v>
      </c>
      <c r="R32" s="773" t="s">
        <v>17</v>
      </c>
      <c r="S32" s="774">
        <f t="shared" si="12"/>
        <v>100</v>
      </c>
      <c r="T32" s="773" t="s">
        <v>17</v>
      </c>
      <c r="U32" s="774">
        <f t="shared" si="13"/>
        <v>100</v>
      </c>
      <c r="V32" s="773" t="s">
        <v>17</v>
      </c>
      <c r="W32" s="774">
        <f t="shared" si="14"/>
        <v>100</v>
      </c>
      <c r="X32" s="1814"/>
      <c r="Y32" s="323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36"/>
      <c r="Q33" s="1811" t="str">
        <f t="shared" si="11"/>
        <v>成新度</v>
      </c>
      <c r="R33" s="773" t="s">
        <v>17</v>
      </c>
      <c r="S33" s="774" t="e">
        <f t="shared" si="12"/>
        <v>#N/A</v>
      </c>
      <c r="T33" s="773" t="s">
        <v>17</v>
      </c>
      <c r="U33" s="774" t="e">
        <f t="shared" si="13"/>
        <v>#N/A</v>
      </c>
      <c r="V33" s="773" t="s">
        <v>17</v>
      </c>
      <c r="W33" s="774" t="e">
        <f t="shared" si="14"/>
        <v>#N/A</v>
      </c>
      <c r="X33" s="1814"/>
      <c r="Y33" s="3236"/>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36"/>
      <c r="Q34" s="1796" t="str">
        <f t="shared" si="11"/>
        <v>物业管理</v>
      </c>
      <c r="R34" s="769" t="s">
        <v>17</v>
      </c>
      <c r="S34" s="770">
        <f t="shared" si="12"/>
        <v>100</v>
      </c>
      <c r="T34" s="769" t="s">
        <v>17</v>
      </c>
      <c r="U34" s="770">
        <f t="shared" si="13"/>
        <v>100</v>
      </c>
      <c r="V34" s="769" t="s">
        <v>17</v>
      </c>
      <c r="W34" s="770">
        <f t="shared" si="14"/>
        <v>100</v>
      </c>
      <c r="X34" s="771"/>
      <c r="Y34" s="3236"/>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36" t="s">
        <v>2566</v>
      </c>
      <c r="Q35" s="1811" t="str">
        <f t="shared" si="11"/>
        <v>市政基础设施</v>
      </c>
      <c r="R35" s="773" t="s">
        <v>17</v>
      </c>
      <c r="S35" s="774">
        <f t="shared" si="12"/>
        <v>100</v>
      </c>
      <c r="T35" s="773" t="s">
        <v>17</v>
      </c>
      <c r="U35" s="774">
        <f t="shared" si="13"/>
        <v>100</v>
      </c>
      <c r="V35" s="773" t="s">
        <v>17</v>
      </c>
      <c r="W35" s="774">
        <f t="shared" si="14"/>
        <v>100</v>
      </c>
      <c r="X35" s="1814"/>
      <c r="Y35" s="323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36"/>
      <c r="Q36" s="1811" t="str">
        <f t="shared" si="11"/>
        <v>内部装修</v>
      </c>
      <c r="R36" s="773" t="s">
        <v>17</v>
      </c>
      <c r="S36" s="774">
        <f t="shared" si="12"/>
        <v>100</v>
      </c>
      <c r="T36" s="773" t="s">
        <v>17</v>
      </c>
      <c r="U36" s="774">
        <f t="shared" si="13"/>
        <v>100</v>
      </c>
      <c r="V36" s="773" t="s">
        <v>17</v>
      </c>
      <c r="W36" s="774">
        <f t="shared" si="14"/>
        <v>100</v>
      </c>
      <c r="X36" s="1814"/>
      <c r="Y36" s="323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36"/>
      <c r="Q37" s="1811" t="str">
        <f t="shared" si="11"/>
        <v>内部装修状况</v>
      </c>
      <c r="R37" s="773" t="s">
        <v>17</v>
      </c>
      <c r="S37" s="774">
        <f t="shared" si="12"/>
        <v>100</v>
      </c>
      <c r="T37" s="773" t="s">
        <v>17</v>
      </c>
      <c r="U37" s="774">
        <f t="shared" si="13"/>
        <v>100</v>
      </c>
      <c r="V37" s="773" t="s">
        <v>17</v>
      </c>
      <c r="W37" s="774">
        <f t="shared" si="14"/>
        <v>100</v>
      </c>
      <c r="X37" s="1814"/>
      <c r="Y37" s="323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36"/>
      <c r="Q38" s="775">
        <f t="shared" si="11"/>
        <v>111</v>
      </c>
      <c r="R38" s="776" t="s">
        <v>17</v>
      </c>
      <c r="S38" s="777">
        <f t="shared" si="12"/>
        <v>100</v>
      </c>
      <c r="T38" s="776" t="s">
        <v>17</v>
      </c>
      <c r="U38" s="777">
        <f t="shared" si="13"/>
        <v>100</v>
      </c>
      <c r="V38" s="776" t="s">
        <v>17</v>
      </c>
      <c r="W38" s="777">
        <f t="shared" si="14"/>
        <v>100</v>
      </c>
      <c r="X38" s="778"/>
      <c r="Y38" s="323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36"/>
      <c r="Q39" s="1811">
        <f t="shared" si="11"/>
        <v>111</v>
      </c>
      <c r="R39" s="773" t="s">
        <v>17</v>
      </c>
      <c r="S39" s="774">
        <f t="shared" si="12"/>
        <v>100</v>
      </c>
      <c r="T39" s="773" t="s">
        <v>17</v>
      </c>
      <c r="U39" s="774">
        <f t="shared" si="13"/>
        <v>100</v>
      </c>
      <c r="V39" s="773" t="s">
        <v>17</v>
      </c>
      <c r="W39" s="774">
        <f t="shared" si="14"/>
        <v>100</v>
      </c>
      <c r="X39" s="1814"/>
      <c r="Y39" s="3236"/>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7"/>
      <c r="Q40" s="1811">
        <f t="shared" si="11"/>
        <v>111</v>
      </c>
      <c r="R40" s="773" t="s">
        <v>17</v>
      </c>
      <c r="S40" s="774">
        <f t="shared" si="12"/>
        <v>100</v>
      </c>
      <c r="T40" s="773" t="s">
        <v>17</v>
      </c>
      <c r="U40" s="774">
        <f t="shared" si="13"/>
        <v>100</v>
      </c>
      <c r="V40" s="773" t="s">
        <v>17</v>
      </c>
      <c r="W40" s="774">
        <f t="shared" si="14"/>
        <v>100</v>
      </c>
      <c r="X40" s="1814"/>
      <c r="Y40" s="3237"/>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238" t="str">
        <f>A41</f>
        <v>成交单价（元/平方米）</v>
      </c>
      <c r="Q41" s="3238"/>
      <c r="R41" s="3239">
        <f>E41</f>
        <v>0</v>
      </c>
      <c r="S41" s="3239"/>
      <c r="T41" s="3239">
        <f>G41</f>
        <v>0</v>
      </c>
      <c r="U41" s="3239"/>
      <c r="V41" s="3239">
        <f>I41</f>
        <v>0</v>
      </c>
      <c r="W41" s="3239"/>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65" t="str">
        <f>A43</f>
        <v>估价对象XX用房的比较价值（楼面单价，元/平方米）</v>
      </c>
      <c r="Q43" s="3266"/>
      <c r="R43" s="3267" t="e">
        <f>IF(F1="售价",ROUND(AVERAGE(R42:V42),0),ROUND(AVERAGE(R42:V42),1))</f>
        <v>#DIV/0!</v>
      </c>
      <c r="S43" s="3267"/>
      <c r="T43" s="3267"/>
      <c r="U43" s="3267"/>
      <c r="V43" s="3267"/>
      <c r="W43" s="326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7" zoomScale="93" zoomScaleNormal="93" workbookViewId="0">
      <selection activeCell="J46" sqref="J4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13" t="s">
        <v>2647</v>
      </c>
      <c r="D4" s="3214"/>
      <c r="E4" s="3256" t="s">
        <v>2648</v>
      </c>
      <c r="F4" s="3257"/>
      <c r="G4" s="3258" t="s">
        <v>2649</v>
      </c>
      <c r="H4" s="3259"/>
      <c r="I4" s="3258" t="s">
        <v>2650</v>
      </c>
      <c r="J4" s="3259"/>
      <c r="K4" s="609" t="s">
        <v>2541</v>
      </c>
      <c r="L4" s="1132"/>
      <c r="M4" s="1133"/>
      <c r="N4" s="1133"/>
      <c r="O4" s="1133"/>
      <c r="P4" s="3260" t="s">
        <v>2652</v>
      </c>
      <c r="Q4" s="3261"/>
      <c r="R4" s="3253" t="s">
        <v>2648</v>
      </c>
      <c r="S4" s="3254"/>
      <c r="T4" s="3253" t="s">
        <v>2649</v>
      </c>
      <c r="U4" s="3254"/>
      <c r="V4" s="3226" t="s">
        <v>2650</v>
      </c>
      <c r="W4" s="3226"/>
      <c r="X4" s="2994"/>
      <c r="Y4" s="3253" t="s">
        <v>2652</v>
      </c>
      <c r="Z4" s="3254"/>
      <c r="AA4" s="3252" t="s">
        <v>2648</v>
      </c>
      <c r="AB4" s="3193" t="s">
        <v>2649</v>
      </c>
      <c r="AC4" s="3252" t="s">
        <v>2650</v>
      </c>
    </row>
    <row r="5" spans="1:29" ht="15">
      <c r="A5" s="403"/>
      <c r="B5" s="404"/>
      <c r="C5" s="3203" t="s">
        <v>2543</v>
      </c>
      <c r="D5" s="3204"/>
      <c r="E5" s="3201"/>
      <c r="F5" s="3202"/>
      <c r="G5" s="3255"/>
      <c r="H5" s="3204"/>
      <c r="I5" s="3255"/>
      <c r="J5" s="3204"/>
      <c r="K5" s="609"/>
      <c r="L5" s="1132"/>
      <c r="M5" s="1133"/>
      <c r="N5" s="1133"/>
      <c r="O5" s="1133"/>
      <c r="P5" s="3262"/>
      <c r="Q5" s="3220"/>
      <c r="R5" s="3199"/>
      <c r="S5" s="3200"/>
      <c r="T5" s="3199"/>
      <c r="U5" s="3200"/>
      <c r="V5" s="3226"/>
      <c r="W5" s="3226"/>
      <c r="X5" s="299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2994"/>
      <c r="Y6" s="3223"/>
      <c r="Z6" s="3224"/>
      <c r="AA6" s="3194"/>
      <c r="AB6" s="3194"/>
      <c r="AC6" s="3194"/>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195" t="s">
        <v>2550</v>
      </c>
      <c r="Q7" s="3228"/>
      <c r="R7" s="769" t="s">
        <v>17</v>
      </c>
      <c r="S7" s="770">
        <f t="shared" ref="S7:S14" si="0">F7</f>
        <v>100</v>
      </c>
      <c r="T7" s="769" t="s">
        <v>17</v>
      </c>
      <c r="U7" s="770">
        <f t="shared" ref="U7:U14" si="1">H7</f>
        <v>100</v>
      </c>
      <c r="V7" s="769" t="s">
        <v>17</v>
      </c>
      <c r="W7" s="770">
        <f t="shared" ref="W7:W14" si="2">J7</f>
        <v>100</v>
      </c>
      <c r="X7" s="771"/>
      <c r="Y7" s="3195" t="s">
        <v>2550</v>
      </c>
      <c r="Z7" s="3196"/>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195" t="s">
        <v>2553</v>
      </c>
      <c r="Q8" s="3196"/>
      <c r="R8" s="769" t="s">
        <v>17</v>
      </c>
      <c r="S8" s="770">
        <f t="shared" si="0"/>
        <v>100</v>
      </c>
      <c r="T8" s="769" t="s">
        <v>17</v>
      </c>
      <c r="U8" s="770">
        <f t="shared" si="1"/>
        <v>100</v>
      </c>
      <c r="V8" s="769" t="s">
        <v>17</v>
      </c>
      <c r="W8" s="770">
        <f t="shared" si="2"/>
        <v>100</v>
      </c>
      <c r="X8" s="771"/>
      <c r="Y8" s="3195" t="s">
        <v>2553</v>
      </c>
      <c r="Z8" s="3196"/>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238" t="s">
        <v>2556</v>
      </c>
      <c r="Q9" s="2985" t="str">
        <f t="shared" ref="Q9:Q14" si="6">B9</f>
        <v>用途</v>
      </c>
      <c r="R9" s="769" t="s">
        <v>17</v>
      </c>
      <c r="S9" s="770">
        <f t="shared" si="0"/>
        <v>100</v>
      </c>
      <c r="T9" s="769" t="s">
        <v>17</v>
      </c>
      <c r="U9" s="770">
        <f t="shared" si="1"/>
        <v>100</v>
      </c>
      <c r="V9" s="769" t="s">
        <v>17</v>
      </c>
      <c r="W9" s="770">
        <f t="shared" si="2"/>
        <v>100</v>
      </c>
      <c r="X9" s="771"/>
      <c r="Y9" s="3069"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238"/>
      <c r="Q10" s="2985" t="str">
        <f t="shared" si="6"/>
        <v>土地使用年限（年）</v>
      </c>
      <c r="R10" s="769" t="s">
        <v>17</v>
      </c>
      <c r="S10" s="770">
        <f t="shared" si="0"/>
        <v>100</v>
      </c>
      <c r="T10" s="769" t="s">
        <v>17</v>
      </c>
      <c r="U10" s="770">
        <f t="shared" si="1"/>
        <v>100</v>
      </c>
      <c r="V10" s="769" t="s">
        <v>17</v>
      </c>
      <c r="W10" s="770">
        <f t="shared" si="2"/>
        <v>100</v>
      </c>
      <c r="X10" s="771"/>
      <c r="Y10" s="3069"/>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8"/>
      <c r="Q11" s="2985">
        <f t="shared" si="6"/>
        <v>111</v>
      </c>
      <c r="R11" s="769" t="s">
        <v>17</v>
      </c>
      <c r="S11" s="770">
        <f t="shared" si="0"/>
        <v>100</v>
      </c>
      <c r="T11" s="769" t="s">
        <v>17</v>
      </c>
      <c r="U11" s="770">
        <f t="shared" si="1"/>
        <v>100</v>
      </c>
      <c r="V11" s="769" t="s">
        <v>17</v>
      </c>
      <c r="W11" s="770">
        <f t="shared" si="2"/>
        <v>100</v>
      </c>
      <c r="X11" s="771"/>
      <c r="Y11" s="3069"/>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8"/>
      <c r="Q12" s="2985">
        <f t="shared" si="6"/>
        <v>111</v>
      </c>
      <c r="R12" s="769" t="s">
        <v>17</v>
      </c>
      <c r="S12" s="770">
        <f t="shared" si="0"/>
        <v>100</v>
      </c>
      <c r="T12" s="769" t="s">
        <v>17</v>
      </c>
      <c r="U12" s="770">
        <f t="shared" si="1"/>
        <v>100</v>
      </c>
      <c r="V12" s="769" t="s">
        <v>17</v>
      </c>
      <c r="W12" s="770">
        <f t="shared" si="2"/>
        <v>100</v>
      </c>
      <c r="X12" s="771"/>
      <c r="Y12" s="3069"/>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8"/>
      <c r="Q13" s="2985">
        <f t="shared" si="6"/>
        <v>111</v>
      </c>
      <c r="R13" s="769" t="s">
        <v>17</v>
      </c>
      <c r="S13" s="770">
        <f t="shared" si="0"/>
        <v>100</v>
      </c>
      <c r="T13" s="769" t="s">
        <v>17</v>
      </c>
      <c r="U13" s="770">
        <f t="shared" si="1"/>
        <v>100</v>
      </c>
      <c r="V13" s="769" t="s">
        <v>17</v>
      </c>
      <c r="W13" s="770">
        <f t="shared" si="2"/>
        <v>100</v>
      </c>
      <c r="X13" s="771"/>
      <c r="Y13" s="3069"/>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31" t="s">
        <v>2561</v>
      </c>
      <c r="Q14" s="2989" t="str">
        <f t="shared" si="6"/>
        <v>交通便捷度</v>
      </c>
      <c r="R14" s="773" t="s">
        <v>17</v>
      </c>
      <c r="S14" s="774">
        <f t="shared" si="0"/>
        <v>100</v>
      </c>
      <c r="T14" s="773" t="s">
        <v>17</v>
      </c>
      <c r="U14" s="774">
        <f t="shared" si="1"/>
        <v>100</v>
      </c>
      <c r="V14" s="773" t="s">
        <v>17</v>
      </c>
      <c r="W14" s="774">
        <f t="shared" si="2"/>
        <v>100</v>
      </c>
      <c r="X14" s="2994"/>
      <c r="Y14" s="3231"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32"/>
      <c r="Q15" s="2989"/>
      <c r="R15" s="773"/>
      <c r="S15" s="774"/>
      <c r="T15" s="773"/>
      <c r="U15" s="774"/>
      <c r="V15" s="773"/>
      <c r="W15" s="774"/>
      <c r="X15" s="2994"/>
      <c r="Y15" s="3232"/>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32"/>
      <c r="Q16" s="2989" t="str">
        <f>B16</f>
        <v>公共配套设施</v>
      </c>
      <c r="R16" s="773" t="s">
        <v>17</v>
      </c>
      <c r="S16" s="774">
        <f>F16</f>
        <v>100</v>
      </c>
      <c r="T16" s="773" t="s">
        <v>17</v>
      </c>
      <c r="U16" s="774">
        <f>H16</f>
        <v>100</v>
      </c>
      <c r="V16" s="773" t="s">
        <v>17</v>
      </c>
      <c r="W16" s="774">
        <f>J16</f>
        <v>100</v>
      </c>
      <c r="X16" s="2994"/>
      <c r="Y16" s="3232"/>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32"/>
      <c r="Q17" s="2989"/>
      <c r="R17" s="773"/>
      <c r="S17" s="774"/>
      <c r="T17" s="773"/>
      <c r="U17" s="774"/>
      <c r="V17" s="773"/>
      <c r="W17" s="774"/>
      <c r="X17" s="2994"/>
      <c r="Y17" s="3232"/>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2"/>
      <c r="Q18" s="2989" t="str">
        <f>B18</f>
        <v>基础设施水平</v>
      </c>
      <c r="R18" s="773" t="s">
        <v>17</v>
      </c>
      <c r="S18" s="774">
        <f>F18</f>
        <v>100</v>
      </c>
      <c r="T18" s="773" t="s">
        <v>17</v>
      </c>
      <c r="U18" s="774">
        <f>H18</f>
        <v>100</v>
      </c>
      <c r="V18" s="773" t="s">
        <v>17</v>
      </c>
      <c r="W18" s="774">
        <f>J18</f>
        <v>100</v>
      </c>
      <c r="X18" s="2994"/>
      <c r="Y18" s="3232"/>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32"/>
      <c r="Q19" s="2989"/>
      <c r="R19" s="773"/>
      <c r="S19" s="774"/>
      <c r="T19" s="773"/>
      <c r="U19" s="774"/>
      <c r="V19" s="773"/>
      <c r="W19" s="774"/>
      <c r="X19" s="2994"/>
      <c r="Y19" s="3232"/>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32"/>
      <c r="Q20" s="2989" t="str">
        <f>B20</f>
        <v>自然及人文环境</v>
      </c>
      <c r="R20" s="773" t="s">
        <v>17</v>
      </c>
      <c r="S20" s="774">
        <f>F20</f>
        <v>100</v>
      </c>
      <c r="T20" s="773" t="s">
        <v>17</v>
      </c>
      <c r="U20" s="774">
        <f>H20</f>
        <v>100</v>
      </c>
      <c r="V20" s="773" t="s">
        <v>17</v>
      </c>
      <c r="W20" s="774">
        <f>J20</f>
        <v>100</v>
      </c>
      <c r="X20" s="2994"/>
      <c r="Y20" s="3232"/>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32"/>
      <c r="Q21" s="2989"/>
      <c r="R21" s="773"/>
      <c r="S21" s="774"/>
      <c r="T21" s="773"/>
      <c r="U21" s="774"/>
      <c r="V21" s="773"/>
      <c r="W21" s="774"/>
      <c r="X21" s="2994"/>
      <c r="Y21" s="3232"/>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32"/>
      <c r="Q22" s="2989" t="str">
        <f>B22</f>
        <v>楼层</v>
      </c>
      <c r="R22" s="773" t="s">
        <v>17</v>
      </c>
      <c r="S22" s="774">
        <f>F22</f>
        <v>100</v>
      </c>
      <c r="T22" s="773" t="s">
        <v>17</v>
      </c>
      <c r="U22" s="774">
        <f>H22</f>
        <v>100</v>
      </c>
      <c r="V22" s="773" t="s">
        <v>17</v>
      </c>
      <c r="W22" s="774">
        <f>J22</f>
        <v>100</v>
      </c>
      <c r="X22" s="2994"/>
      <c r="Y22" s="3232"/>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2"/>
      <c r="Q23" s="2989">
        <f>B23</f>
        <v>111</v>
      </c>
      <c r="R23" s="773" t="s">
        <v>17</v>
      </c>
      <c r="S23" s="774">
        <f>F23</f>
        <v>100</v>
      </c>
      <c r="T23" s="773" t="s">
        <v>17</v>
      </c>
      <c r="U23" s="774">
        <f>H23</f>
        <v>100</v>
      </c>
      <c r="V23" s="773" t="s">
        <v>17</v>
      </c>
      <c r="W23" s="774">
        <f>J23</f>
        <v>100</v>
      </c>
      <c r="X23" s="2994"/>
      <c r="Y23" s="3232"/>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2"/>
      <c r="Q24" s="2989">
        <f t="shared" ref="Q24:Q36" si="11">B24</f>
        <v>111</v>
      </c>
      <c r="R24" s="773" t="s">
        <v>17</v>
      </c>
      <c r="S24" s="774">
        <f>F24</f>
        <v>100</v>
      </c>
      <c r="T24" s="773" t="s">
        <v>17</v>
      </c>
      <c r="U24" s="774">
        <f>H24</f>
        <v>100</v>
      </c>
      <c r="V24" s="773" t="s">
        <v>17</v>
      </c>
      <c r="W24" s="774">
        <f>J24</f>
        <v>100</v>
      </c>
      <c r="X24" s="2994"/>
      <c r="Y24" s="3232"/>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2"/>
      <c r="Q25" s="2985">
        <f t="shared" si="11"/>
        <v>111</v>
      </c>
      <c r="R25" s="769" t="s">
        <v>17</v>
      </c>
      <c r="S25" s="770">
        <f>F25</f>
        <v>100</v>
      </c>
      <c r="T25" s="769" t="s">
        <v>17</v>
      </c>
      <c r="U25" s="770">
        <f>H25</f>
        <v>100</v>
      </c>
      <c r="V25" s="769" t="s">
        <v>17</v>
      </c>
      <c r="W25" s="770">
        <f>J25</f>
        <v>100</v>
      </c>
      <c r="X25" s="771"/>
      <c r="Y25" s="3232"/>
      <c r="Z25" s="2986">
        <f>Q25</f>
        <v>111</v>
      </c>
      <c r="AA25" s="2990">
        <f>D25/F25</f>
        <v>1</v>
      </c>
      <c r="AB25" s="2990">
        <f>D25/H25</f>
        <v>1</v>
      </c>
      <c r="AC25" s="2990">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64" t="s">
        <v>2566</v>
      </c>
      <c r="Q26" s="2989" t="str">
        <f t="shared" si="11"/>
        <v>配套类型</v>
      </c>
      <c r="R26" s="773" t="s">
        <v>17</v>
      </c>
      <c r="S26" s="774">
        <f t="shared" ref="S26:S36" si="12">F26</f>
        <v>105</v>
      </c>
      <c r="T26" s="773" t="s">
        <v>17</v>
      </c>
      <c r="U26" s="774">
        <f t="shared" ref="U26:U36" si="13">H26</f>
        <v>105</v>
      </c>
      <c r="V26" s="773" t="s">
        <v>17</v>
      </c>
      <c r="W26" s="774">
        <f t="shared" ref="W26:W36" si="14">J26</f>
        <v>105</v>
      </c>
      <c r="X26" s="2994"/>
      <c r="Y26" s="3236" t="s">
        <v>2566</v>
      </c>
      <c r="Z26" s="2992" t="str">
        <f t="shared" ref="Z26:Z36" si="15">Q26</f>
        <v>配套类型</v>
      </c>
      <c r="AA26" s="2990">
        <f t="shared" si="3"/>
        <v>0.95238095238095233</v>
      </c>
      <c r="AB26" s="2990">
        <f t="shared" si="4"/>
        <v>0.95238095238095233</v>
      </c>
      <c r="AC26" s="2990">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36"/>
      <c r="Q28" s="2989" t="str">
        <f t="shared" si="11"/>
        <v>公共部分装修</v>
      </c>
      <c r="R28" s="773" t="s">
        <v>17</v>
      </c>
      <c r="S28" s="774">
        <f t="shared" si="12"/>
        <v>100</v>
      </c>
      <c r="T28" s="773" t="s">
        <v>17</v>
      </c>
      <c r="U28" s="774">
        <f t="shared" si="13"/>
        <v>100</v>
      </c>
      <c r="V28" s="773" t="s">
        <v>17</v>
      </c>
      <c r="W28" s="774">
        <f t="shared" si="14"/>
        <v>100</v>
      </c>
      <c r="X28" s="2994"/>
      <c r="Y28" s="3236"/>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36"/>
      <c r="Q29" s="2989" t="str">
        <f t="shared" si="11"/>
        <v>成新率</v>
      </c>
      <c r="R29" s="773" t="s">
        <v>17</v>
      </c>
      <c r="S29" s="774">
        <f t="shared" si="12"/>
        <v>100</v>
      </c>
      <c r="T29" s="773" t="s">
        <v>17</v>
      </c>
      <c r="U29" s="774">
        <f t="shared" si="13"/>
        <v>100</v>
      </c>
      <c r="V29" s="773" t="s">
        <v>17</v>
      </c>
      <c r="W29" s="774">
        <f t="shared" si="14"/>
        <v>100</v>
      </c>
      <c r="X29" s="2994"/>
      <c r="Y29" s="3236"/>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6"/>
      <c r="Q30" s="2989" t="str">
        <f t="shared" si="11"/>
        <v>物业等级</v>
      </c>
      <c r="R30" s="773" t="s">
        <v>17</v>
      </c>
      <c r="S30" s="774">
        <f t="shared" si="12"/>
        <v>100</v>
      </c>
      <c r="T30" s="773" t="s">
        <v>17</v>
      </c>
      <c r="U30" s="774">
        <f t="shared" si="13"/>
        <v>100</v>
      </c>
      <c r="V30" s="773" t="s">
        <v>17</v>
      </c>
      <c r="W30" s="774">
        <f t="shared" si="14"/>
        <v>100</v>
      </c>
      <c r="X30" s="2994"/>
      <c r="Y30" s="3236"/>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36"/>
      <c r="Q31" s="2985" t="str">
        <f t="shared" si="11"/>
        <v>停车位面积</v>
      </c>
      <c r="R31" s="769" t="s">
        <v>17</v>
      </c>
      <c r="S31" s="770">
        <f t="shared" si="12"/>
        <v>100</v>
      </c>
      <c r="T31" s="769" t="s">
        <v>17</v>
      </c>
      <c r="U31" s="770">
        <f t="shared" si="13"/>
        <v>100</v>
      </c>
      <c r="V31" s="769" t="s">
        <v>17</v>
      </c>
      <c r="W31" s="770">
        <f t="shared" si="14"/>
        <v>100</v>
      </c>
      <c r="X31" s="771"/>
      <c r="Y31" s="3236"/>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36" t="s">
        <v>2566</v>
      </c>
      <c r="Q32" s="2989" t="str">
        <f t="shared" si="11"/>
        <v>车位类型</v>
      </c>
      <c r="R32" s="773" t="s">
        <v>17</v>
      </c>
      <c r="S32" s="774">
        <f t="shared" si="12"/>
        <v>100</v>
      </c>
      <c r="T32" s="773" t="s">
        <v>17</v>
      </c>
      <c r="U32" s="774">
        <f t="shared" si="13"/>
        <v>100</v>
      </c>
      <c r="V32" s="773" t="s">
        <v>17</v>
      </c>
      <c r="W32" s="774">
        <f t="shared" si="14"/>
        <v>100</v>
      </c>
      <c r="X32" s="2994"/>
      <c r="Y32" s="3236"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36"/>
      <c r="Q33" s="2989" t="str">
        <f t="shared" si="11"/>
        <v>是否直接入户</v>
      </c>
      <c r="R33" s="773" t="s">
        <v>17</v>
      </c>
      <c r="S33" s="774">
        <f t="shared" si="12"/>
        <v>100</v>
      </c>
      <c r="T33" s="773" t="s">
        <v>17</v>
      </c>
      <c r="U33" s="774">
        <f t="shared" si="13"/>
        <v>100</v>
      </c>
      <c r="V33" s="773" t="s">
        <v>17</v>
      </c>
      <c r="W33" s="774">
        <f t="shared" si="14"/>
        <v>100</v>
      </c>
      <c r="X33" s="2994"/>
      <c r="Y33" s="3236"/>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6"/>
      <c r="Q34" s="2989">
        <f t="shared" si="11"/>
        <v>111</v>
      </c>
      <c r="R34" s="773" t="s">
        <v>17</v>
      </c>
      <c r="S34" s="774">
        <f t="shared" si="12"/>
        <v>100</v>
      </c>
      <c r="T34" s="773" t="s">
        <v>17</v>
      </c>
      <c r="U34" s="774">
        <f t="shared" si="13"/>
        <v>100</v>
      </c>
      <c r="V34" s="773" t="s">
        <v>17</v>
      </c>
      <c r="W34" s="774">
        <f t="shared" si="14"/>
        <v>100</v>
      </c>
      <c r="X34" s="2994"/>
      <c r="Y34" s="3236"/>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6"/>
      <c r="Q36" s="2989">
        <f t="shared" si="11"/>
        <v>111</v>
      </c>
      <c r="R36" s="773" t="s">
        <v>17</v>
      </c>
      <c r="S36" s="774">
        <f t="shared" si="12"/>
        <v>100</v>
      </c>
      <c r="T36" s="773" t="s">
        <v>17</v>
      </c>
      <c r="U36" s="774">
        <f t="shared" si="13"/>
        <v>100</v>
      </c>
      <c r="V36" s="773" t="s">
        <v>17</v>
      </c>
      <c r="W36" s="774">
        <f t="shared" si="14"/>
        <v>100</v>
      </c>
      <c r="X36" s="2994"/>
      <c r="Y36" s="3236"/>
      <c r="Z36" s="2992">
        <f t="shared" si="15"/>
        <v>111</v>
      </c>
      <c r="AA36" s="2990">
        <f t="shared" si="3"/>
        <v>1</v>
      </c>
      <c r="AB36" s="2990">
        <f t="shared" si="4"/>
        <v>1</v>
      </c>
      <c r="AC36" s="2990">
        <f t="shared" si="5"/>
        <v>1</v>
      </c>
    </row>
    <row r="37" spans="1:29" ht="15">
      <c r="A37" s="478" t="s">
        <v>2721</v>
      </c>
      <c r="B37" s="2699" t="s">
        <v>3146</v>
      </c>
      <c r="C37" s="1408" t="s">
        <v>1</v>
      </c>
      <c r="D37" s="1409"/>
      <c r="E37" s="1410">
        <v>1200</v>
      </c>
      <c r="F37" s="1411"/>
      <c r="G37" s="1412">
        <v>1100</v>
      </c>
      <c r="H37" s="1413"/>
      <c r="I37" s="1410">
        <v>1200</v>
      </c>
      <c r="J37" s="1413"/>
      <c r="K37" s="618"/>
      <c r="L37" s="1145"/>
      <c r="M37" s="1146"/>
      <c r="N37" s="1133"/>
      <c r="O37" s="1146"/>
      <c r="P37" s="3238" t="str">
        <f>A37</f>
        <v>成交单价</v>
      </c>
      <c r="Q37" s="3238"/>
      <c r="R37" s="3239">
        <f>E37</f>
        <v>1200</v>
      </c>
      <c r="S37" s="3239"/>
      <c r="T37" s="3239">
        <f>G37</f>
        <v>1100</v>
      </c>
      <c r="U37" s="3239"/>
      <c r="V37" s="3239">
        <f>I37</f>
        <v>1200</v>
      </c>
      <c r="W37" s="3239"/>
      <c r="X37" s="758"/>
      <c r="Y37" s="780"/>
      <c r="Z37" s="758"/>
      <c r="AA37" s="758"/>
      <c r="AB37" s="758"/>
      <c r="AC37" s="758"/>
    </row>
    <row r="38" spans="1:29" ht="15.75" thickBot="1">
      <c r="A38" s="485" t="s">
        <v>2723</v>
      </c>
      <c r="B38" s="486" t="str">
        <f>B37</f>
        <v>元/车位</v>
      </c>
      <c r="C38" s="1414">
        <f>R39</f>
        <v>1111.0999999999999</v>
      </c>
      <c r="D38" s="1415"/>
      <c r="E38" s="1416">
        <f>R38</f>
        <v>1142.9000000000001</v>
      </c>
      <c r="F38" s="1416"/>
      <c r="G38" s="1414">
        <f>T38</f>
        <v>1047.5999999999999</v>
      </c>
      <c r="H38" s="1415"/>
      <c r="I38" s="1416">
        <f>V38</f>
        <v>1142.9000000000001</v>
      </c>
      <c r="J38" s="1415"/>
      <c r="K38" s="619"/>
      <c r="L38" s="1145"/>
      <c r="M38" s="1146"/>
      <c r="N38" s="1146"/>
      <c r="O38" s="1146"/>
      <c r="P38" s="3238" t="str">
        <f>A38</f>
        <v>比较价值（元/平方米）</v>
      </c>
      <c r="Q38" s="3238"/>
      <c r="R38" s="3239">
        <f>IF(F1="售价",ROUND(PRODUCT(R37,AA7:AA36),0),ROUND(PRODUCT(R37,AA7:AA36),1))</f>
        <v>1142.9000000000001</v>
      </c>
      <c r="S38" s="3239"/>
      <c r="T38" s="3239">
        <f>IF(F1="售价",ROUND(PRODUCT(T37,AB7:AB36),0),ROUND(PRODUCT(T37,AB7:AB36),1))</f>
        <v>1047.5999999999999</v>
      </c>
      <c r="U38" s="3239"/>
      <c r="V38" s="3239">
        <f>IF(F1="售价",ROUND(PRODUCT(V37,AC7:AC36),0),ROUND(PRODUCT(V37,AC7:AC36),1))</f>
        <v>1142.9000000000001</v>
      </c>
      <c r="W38" s="3239"/>
      <c r="X38" s="758"/>
      <c r="Y38" s="758"/>
      <c r="Z38" s="758"/>
      <c r="AA38" s="758"/>
      <c r="AB38" s="758"/>
      <c r="AC38" s="758"/>
    </row>
    <row r="39" spans="1:29" ht="15.75" thickBot="1">
      <c r="A39" s="491" t="s">
        <v>2724</v>
      </c>
      <c r="B39" s="492"/>
      <c r="C39" s="1418">
        <f>R39</f>
        <v>1111.0999999999999</v>
      </c>
      <c r="D39" s="1418"/>
      <c r="E39" s="1418"/>
      <c r="F39" s="1418"/>
      <c r="G39" s="1418"/>
      <c r="H39" s="1418"/>
      <c r="I39" s="1418"/>
      <c r="J39" s="1418"/>
      <c r="K39" s="620"/>
      <c r="L39" s="1145"/>
      <c r="M39" s="1146"/>
      <c r="N39" s="1146"/>
      <c r="O39" s="1146"/>
      <c r="P39" s="3265" t="str">
        <f>A39</f>
        <v>估价对象XX用房的比较价值（楼面单价，元/平方米）</v>
      </c>
      <c r="Q39" s="3266"/>
      <c r="R39" s="3267">
        <f>IF(F1="售价",ROUND(AVERAGE(R38:V38),0),ROUND(AVERAGE(R38:V38),1))</f>
        <v>1111.0999999999999</v>
      </c>
      <c r="S39" s="3267"/>
      <c r="T39" s="3267"/>
      <c r="U39" s="3267"/>
      <c r="V39" s="3267"/>
      <c r="W39" s="326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4.996062647650712E-2</v>
      </c>
      <c r="F42" s="499" t="str">
        <f>IF(OR(E42&gt;=0.3,E42&lt;=-0.3),"超过30%","")</f>
        <v/>
      </c>
      <c r="G42" s="498">
        <f>IF(G37&lt;G38,G38/G37-1,G37/G38-1)</f>
        <v>5.0019091256204851E-2</v>
      </c>
      <c r="H42" s="499" t="str">
        <f>IF(OR(G42&gt;=0.3,G42&lt;=-0.3),"超过30%","")</f>
        <v/>
      </c>
      <c r="I42" s="498">
        <f>IF(I37&lt;I38,I38/I37-1,I37/I38-1)</f>
        <v>4.996062647650712E-2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9.0969835815196909E-2</v>
      </c>
      <c r="F43" s="499" t="str">
        <f>IF(OR(E43&gt;=0.2,E43&lt;=-0.2),"超过20%","")</f>
        <v/>
      </c>
      <c r="G43" s="498">
        <f>IF(G38&lt;I38,I38/G38-1,G38/I38-1)</f>
        <v>9.0969835815196909E-2</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9.0909090909090828E-2</v>
      </c>
      <c r="F44" s="499" t="str">
        <f>IF(OR(E44&gt;=0.3,E44&lt;=-0.3),"超过30%","")</f>
        <v/>
      </c>
      <c r="G44" s="498">
        <f>IF(G37&lt;I37,I37/G37-1,G37/I37-1)</f>
        <v>9.0909090909090828E-2</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3210</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04" t="s">
        <v>33</v>
      </c>
      <c r="D22" s="3105"/>
      <c r="E22" s="3105"/>
      <c r="F22" s="3105"/>
      <c r="G22" s="3105"/>
      <c r="H22" s="3105"/>
      <c r="I22" s="3105"/>
      <c r="J22" s="3105"/>
      <c r="K22" s="3105"/>
      <c r="L22" s="3105"/>
      <c r="M22" s="3105"/>
      <c r="N22" s="3105"/>
      <c r="O22" s="3105"/>
      <c r="P22" s="3105"/>
      <c r="Q22" s="3248"/>
      <c r="R22" s="715">
        <f ca="1">ROUND(S22*10000/B22,0)</f>
        <v>3210</v>
      </c>
      <c r="S22" s="2975">
        <f ca="1">SUM(S24:S10000)</f>
        <v>300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'结果表-车位'!H102</f>
        <v>3210</v>
      </c>
      <c r="S24" s="718">
        <f t="shared" ref="S24:S87" ca="1" si="7">ROUND(R24*B24/10000,0)</f>
        <v>20</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3210</v>
      </c>
      <c r="S25" s="360">
        <f t="shared" ca="1" si="7"/>
        <v>20</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3210</v>
      </c>
      <c r="S26" s="360">
        <f t="shared" ca="1" si="7"/>
        <v>20</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3210</v>
      </c>
      <c r="S27" s="360">
        <f t="shared" ca="1" si="7"/>
        <v>20</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3210</v>
      </c>
      <c r="S28" s="360">
        <f t="shared" ca="1" si="7"/>
        <v>20</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3210</v>
      </c>
      <c r="S29" s="360">
        <f t="shared" ca="1" si="7"/>
        <v>20</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3210</v>
      </c>
      <c r="S30" s="360">
        <f t="shared" ca="1" si="7"/>
        <v>20</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3210</v>
      </c>
      <c r="S31" s="360">
        <f t="shared" ca="1" si="7"/>
        <v>20</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3210</v>
      </c>
      <c r="S32" s="360">
        <f t="shared" ca="1" si="7"/>
        <v>20</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3210</v>
      </c>
      <c r="S33" s="360">
        <f t="shared" ca="1" si="7"/>
        <v>20</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3210</v>
      </c>
      <c r="S34" s="360">
        <f t="shared" ca="1" si="7"/>
        <v>20</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3210</v>
      </c>
      <c r="S35" s="360">
        <f t="shared" ca="1" si="7"/>
        <v>20</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3210</v>
      </c>
      <c r="S36" s="360">
        <f t="shared" ca="1" si="7"/>
        <v>20</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3210</v>
      </c>
      <c r="S37" s="360">
        <f t="shared" ca="1" si="7"/>
        <v>20</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3210</v>
      </c>
      <c r="S38" s="360">
        <f t="shared" ca="1" si="7"/>
        <v>20</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40" sqref="M40"/>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95" t="s">
        <v>2550</v>
      </c>
      <c r="Q7" s="3228"/>
      <c r="R7" s="769" t="s">
        <v>17</v>
      </c>
      <c r="S7" s="770">
        <f t="shared" ref="S7:S14" si="0">F7</f>
        <v>0</v>
      </c>
      <c r="T7" s="769" t="s">
        <v>17</v>
      </c>
      <c r="U7" s="770">
        <f t="shared" ref="U7:U14" si="1">H7</f>
        <v>0</v>
      </c>
      <c r="V7" s="769" t="s">
        <v>17</v>
      </c>
      <c r="W7" s="770">
        <f t="shared" ref="W7:W14" si="2">J7</f>
        <v>0</v>
      </c>
      <c r="X7" s="771"/>
      <c r="Y7" s="3195" t="s">
        <v>2550</v>
      </c>
      <c r="Z7" s="3196"/>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8" t="s">
        <v>2556</v>
      </c>
      <c r="Q9" s="1796" t="str">
        <f t="shared" ref="Q9:Q14" si="6">B9</f>
        <v>用途</v>
      </c>
      <c r="R9" s="769" t="s">
        <v>17</v>
      </c>
      <c r="S9" s="770">
        <f t="shared" si="0"/>
        <v>100</v>
      </c>
      <c r="T9" s="769" t="s">
        <v>17</v>
      </c>
      <c r="U9" s="770">
        <f t="shared" si="1"/>
        <v>100</v>
      </c>
      <c r="V9" s="769" t="s">
        <v>17</v>
      </c>
      <c r="W9" s="770">
        <f t="shared" si="2"/>
        <v>100</v>
      </c>
      <c r="X9" s="771"/>
      <c r="Y9" s="3069"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8"/>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8"/>
      <c r="Q11" s="1796">
        <f t="shared" si="6"/>
        <v>111</v>
      </c>
      <c r="R11" s="769" t="s">
        <v>17</v>
      </c>
      <c r="S11" s="770">
        <f t="shared" si="0"/>
        <v>100</v>
      </c>
      <c r="T11" s="769" t="s">
        <v>17</v>
      </c>
      <c r="U11" s="770">
        <f t="shared" si="1"/>
        <v>100</v>
      </c>
      <c r="V11" s="769" t="s">
        <v>17</v>
      </c>
      <c r="W11" s="770">
        <f t="shared" si="2"/>
        <v>100</v>
      </c>
      <c r="X11" s="771"/>
      <c r="Y11" s="3069"/>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1" t="s">
        <v>2561</v>
      </c>
      <c r="Q14" s="1811" t="str">
        <f t="shared" si="6"/>
        <v>交通便捷度</v>
      </c>
      <c r="R14" s="773" t="s">
        <v>17</v>
      </c>
      <c r="S14" s="774">
        <f t="shared" si="0"/>
        <v>100</v>
      </c>
      <c r="T14" s="773" t="s">
        <v>17</v>
      </c>
      <c r="U14" s="774">
        <f t="shared" si="1"/>
        <v>100</v>
      </c>
      <c r="V14" s="773" t="s">
        <v>17</v>
      </c>
      <c r="W14" s="774">
        <f t="shared" si="2"/>
        <v>100</v>
      </c>
      <c r="X14" s="1814"/>
      <c r="Y14" s="3231"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32"/>
      <c r="Q15" s="1811"/>
      <c r="R15" s="773"/>
      <c r="S15" s="774"/>
      <c r="T15" s="773"/>
      <c r="U15" s="774"/>
      <c r="V15" s="773"/>
      <c r="W15" s="774"/>
      <c r="X15" s="1814"/>
      <c r="Y15" s="3232"/>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2"/>
      <c r="Q16" s="1811" t="str">
        <f>B16</f>
        <v>公共配套设施</v>
      </c>
      <c r="R16" s="773" t="s">
        <v>17</v>
      </c>
      <c r="S16" s="774">
        <f>F16</f>
        <v>100</v>
      </c>
      <c r="T16" s="773" t="s">
        <v>17</v>
      </c>
      <c r="U16" s="774">
        <f>H16</f>
        <v>100</v>
      </c>
      <c r="V16" s="773" t="s">
        <v>17</v>
      </c>
      <c r="W16" s="774">
        <f>J16</f>
        <v>100</v>
      </c>
      <c r="X16" s="1814"/>
      <c r="Y16" s="3232"/>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32"/>
      <c r="Q17" s="1811"/>
      <c r="R17" s="773"/>
      <c r="S17" s="774"/>
      <c r="T17" s="773"/>
      <c r="U17" s="774"/>
      <c r="V17" s="773"/>
      <c r="W17" s="774"/>
      <c r="X17" s="1814"/>
      <c r="Y17" s="3232"/>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2"/>
      <c r="Q18" s="1811" t="str">
        <f>B18</f>
        <v>基础设施水平</v>
      </c>
      <c r="R18" s="773" t="s">
        <v>17</v>
      </c>
      <c r="S18" s="774">
        <f>F18</f>
        <v>100</v>
      </c>
      <c r="T18" s="773" t="s">
        <v>17</v>
      </c>
      <c r="U18" s="774">
        <f>H18</f>
        <v>100</v>
      </c>
      <c r="V18" s="773" t="s">
        <v>17</v>
      </c>
      <c r="W18" s="774">
        <f>J18</f>
        <v>100</v>
      </c>
      <c r="X18" s="1814"/>
      <c r="Y18" s="3232"/>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32"/>
      <c r="Q19" s="1811"/>
      <c r="R19" s="773"/>
      <c r="S19" s="774"/>
      <c r="T19" s="773"/>
      <c r="U19" s="774"/>
      <c r="V19" s="773"/>
      <c r="W19" s="774"/>
      <c r="X19" s="1814"/>
      <c r="Y19" s="3232"/>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2"/>
      <c r="Q20" s="1811" t="str">
        <f>B20</f>
        <v>自然及人文环境</v>
      </c>
      <c r="R20" s="773" t="s">
        <v>17</v>
      </c>
      <c r="S20" s="774">
        <f>F20</f>
        <v>100</v>
      </c>
      <c r="T20" s="773" t="s">
        <v>17</v>
      </c>
      <c r="U20" s="774">
        <f>H20</f>
        <v>100</v>
      </c>
      <c r="V20" s="773" t="s">
        <v>17</v>
      </c>
      <c r="W20" s="774">
        <f>J20</f>
        <v>100</v>
      </c>
      <c r="X20" s="1814"/>
      <c r="Y20" s="323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32"/>
      <c r="Q21" s="1811"/>
      <c r="R21" s="773"/>
      <c r="S21" s="774"/>
      <c r="T21" s="773"/>
      <c r="U21" s="774"/>
      <c r="V21" s="773"/>
      <c r="W21" s="774"/>
      <c r="X21" s="1814"/>
      <c r="Y21" s="3232"/>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2"/>
      <c r="Q22" s="1811" t="str">
        <f>B22</f>
        <v>楼层</v>
      </c>
      <c r="R22" s="773" t="s">
        <v>17</v>
      </c>
      <c r="S22" s="774">
        <f>F22</f>
        <v>100</v>
      </c>
      <c r="T22" s="773" t="s">
        <v>17</v>
      </c>
      <c r="U22" s="774">
        <f>H22</f>
        <v>100</v>
      </c>
      <c r="V22" s="773" t="s">
        <v>17</v>
      </c>
      <c r="W22" s="774">
        <f>J22</f>
        <v>100</v>
      </c>
      <c r="X22" s="1814"/>
      <c r="Y22" s="3232"/>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2"/>
      <c r="Q23" s="1811">
        <f>B23</f>
        <v>111</v>
      </c>
      <c r="R23" s="773" t="s">
        <v>17</v>
      </c>
      <c r="S23" s="774">
        <f>F23</f>
        <v>100</v>
      </c>
      <c r="T23" s="773" t="s">
        <v>17</v>
      </c>
      <c r="U23" s="774">
        <f>H23</f>
        <v>100</v>
      </c>
      <c r="V23" s="773" t="s">
        <v>17</v>
      </c>
      <c r="W23" s="774">
        <f>J23</f>
        <v>100</v>
      </c>
      <c r="X23" s="1814"/>
      <c r="Y23" s="3232"/>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2"/>
      <c r="Q24" s="1811">
        <f t="shared" ref="Q24:Q34" si="11">B24</f>
        <v>111</v>
      </c>
      <c r="R24" s="773" t="s">
        <v>17</v>
      </c>
      <c r="S24" s="774">
        <f>F24</f>
        <v>100</v>
      </c>
      <c r="T24" s="773" t="s">
        <v>17</v>
      </c>
      <c r="U24" s="774">
        <f>H24</f>
        <v>100</v>
      </c>
      <c r="V24" s="773" t="s">
        <v>17</v>
      </c>
      <c r="W24" s="774">
        <f>J24</f>
        <v>100</v>
      </c>
      <c r="X24" s="1814"/>
      <c r="Y24" s="3232"/>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32"/>
      <c r="Q25" s="1796">
        <f t="shared" si="11"/>
        <v>111</v>
      </c>
      <c r="R25" s="769" t="s">
        <v>17</v>
      </c>
      <c r="S25" s="770">
        <f>F25</f>
        <v>100</v>
      </c>
      <c r="T25" s="769" t="s">
        <v>17</v>
      </c>
      <c r="U25" s="770">
        <f>H25</f>
        <v>100</v>
      </c>
      <c r="V25" s="769" t="s">
        <v>17</v>
      </c>
      <c r="W25" s="770">
        <f>J25</f>
        <v>100</v>
      </c>
      <c r="X25" s="771"/>
      <c r="Y25" s="3232"/>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64"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36"/>
      <c r="Q27" s="775" t="str">
        <f t="shared" si="11"/>
        <v>成新率</v>
      </c>
      <c r="R27" s="776" t="s">
        <v>17</v>
      </c>
      <c r="S27" s="777" t="e">
        <f t="shared" si="12"/>
        <v>#N/A</v>
      </c>
      <c r="T27" s="776" t="s">
        <v>17</v>
      </c>
      <c r="U27" s="777" t="e">
        <f t="shared" si="13"/>
        <v>#N/A</v>
      </c>
      <c r="V27" s="776" t="s">
        <v>17</v>
      </c>
      <c r="W27" s="777" t="e">
        <f t="shared" si="14"/>
        <v>#N/A</v>
      </c>
      <c r="X27" s="778"/>
      <c r="Y27" s="3236"/>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36"/>
      <c r="Q28" s="1811" t="str">
        <f t="shared" si="11"/>
        <v>物业等级</v>
      </c>
      <c r="R28" s="773" t="s">
        <v>17</v>
      </c>
      <c r="S28" s="774">
        <f t="shared" si="12"/>
        <v>100</v>
      </c>
      <c r="T28" s="773" t="s">
        <v>17</v>
      </c>
      <c r="U28" s="774">
        <f t="shared" si="13"/>
        <v>100</v>
      </c>
      <c r="V28" s="773" t="s">
        <v>17</v>
      </c>
      <c r="W28" s="774">
        <f t="shared" si="14"/>
        <v>100</v>
      </c>
      <c r="X28" s="1814"/>
      <c r="Y28" s="3236"/>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36"/>
      <c r="Q29" s="1811" t="str">
        <f t="shared" si="11"/>
        <v>有无电梯</v>
      </c>
      <c r="R29" s="773" t="s">
        <v>17</v>
      </c>
      <c r="S29" s="774">
        <f t="shared" si="12"/>
        <v>100</v>
      </c>
      <c r="T29" s="773" t="s">
        <v>17</v>
      </c>
      <c r="U29" s="774">
        <f t="shared" si="13"/>
        <v>100</v>
      </c>
      <c r="V29" s="773" t="s">
        <v>17</v>
      </c>
      <c r="W29" s="774">
        <f t="shared" si="14"/>
        <v>100</v>
      </c>
      <c r="X29" s="1814"/>
      <c r="Y29" s="323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36"/>
      <c r="Q30" s="1811" t="str">
        <f t="shared" si="11"/>
        <v>建筑面积</v>
      </c>
      <c r="R30" s="773" t="s">
        <v>17</v>
      </c>
      <c r="S30" s="774" t="e">
        <f t="shared" si="12"/>
        <v>#N/A</v>
      </c>
      <c r="T30" s="773" t="s">
        <v>17</v>
      </c>
      <c r="U30" s="774" t="e">
        <f t="shared" si="13"/>
        <v>#N/A</v>
      </c>
      <c r="V30" s="773" t="s">
        <v>17</v>
      </c>
      <c r="W30" s="774" t="e">
        <f t="shared" si="14"/>
        <v>#N/A</v>
      </c>
      <c r="X30" s="1814"/>
      <c r="Y30" s="3236"/>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36"/>
      <c r="Q31" s="1796" t="str">
        <f t="shared" si="11"/>
        <v>是否封闭</v>
      </c>
      <c r="R31" s="769" t="s">
        <v>17</v>
      </c>
      <c r="S31" s="770">
        <f t="shared" si="12"/>
        <v>100</v>
      </c>
      <c r="T31" s="769" t="s">
        <v>17</v>
      </c>
      <c r="U31" s="770">
        <f t="shared" si="13"/>
        <v>100</v>
      </c>
      <c r="V31" s="769" t="s">
        <v>17</v>
      </c>
      <c r="W31" s="770">
        <f t="shared" si="14"/>
        <v>100</v>
      </c>
      <c r="X31" s="771"/>
      <c r="Y31" s="3236"/>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36" t="s">
        <v>2566</v>
      </c>
      <c r="Q32" s="1811">
        <f t="shared" si="11"/>
        <v>111</v>
      </c>
      <c r="R32" s="773" t="s">
        <v>17</v>
      </c>
      <c r="S32" s="774">
        <f t="shared" si="12"/>
        <v>100</v>
      </c>
      <c r="T32" s="773" t="s">
        <v>17</v>
      </c>
      <c r="U32" s="774">
        <f t="shared" si="13"/>
        <v>100</v>
      </c>
      <c r="V32" s="773" t="s">
        <v>17</v>
      </c>
      <c r="W32" s="774">
        <f t="shared" si="14"/>
        <v>100</v>
      </c>
      <c r="X32" s="1814"/>
      <c r="Y32" s="3236"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36"/>
      <c r="Q33" s="1811">
        <f t="shared" si="11"/>
        <v>111</v>
      </c>
      <c r="R33" s="773" t="s">
        <v>17</v>
      </c>
      <c r="S33" s="774">
        <f t="shared" si="12"/>
        <v>100</v>
      </c>
      <c r="T33" s="773" t="s">
        <v>17</v>
      </c>
      <c r="U33" s="774">
        <f t="shared" si="13"/>
        <v>100</v>
      </c>
      <c r="V33" s="773" t="s">
        <v>17</v>
      </c>
      <c r="W33" s="774">
        <f t="shared" si="14"/>
        <v>100</v>
      </c>
      <c r="X33" s="1814"/>
      <c r="Y33" s="3236"/>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238" t="str">
        <f>A35</f>
        <v>成交单价（元/平方米）</v>
      </c>
      <c r="Q35" s="3238"/>
      <c r="R35" s="3239">
        <f>E35</f>
        <v>0</v>
      </c>
      <c r="S35" s="3239"/>
      <c r="T35" s="3239">
        <f>G35</f>
        <v>0</v>
      </c>
      <c r="U35" s="3239"/>
      <c r="V35" s="3239">
        <f>I35</f>
        <v>0</v>
      </c>
      <c r="W35" s="3239"/>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65" t="str">
        <f>A37</f>
        <v>估价对象XX用房的比较价值（楼面单价，元/平方米）</v>
      </c>
      <c r="Q37" s="3266"/>
      <c r="R37" s="3267" t="e">
        <f>IF(F1="售价",ROUND(AVERAGE(R36:V36),0),ROUND(AVERAGE(R36:V36),1))</f>
        <v>#DIV/0!</v>
      </c>
      <c r="S37" s="3267"/>
      <c r="T37" s="3267"/>
      <c r="U37" s="3267"/>
      <c r="V37" s="3267"/>
      <c r="W37" s="326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2"/>
      <c r="B4" s="3007" t="s">
        <v>1628</v>
      </c>
      <c r="C4" s="3007"/>
      <c r="D4" s="3007"/>
      <c r="E4" s="1962"/>
    </row>
    <row r="5" spans="1:5" ht="16.5" thickTop="1">
      <c r="A5" s="1960"/>
      <c r="B5" s="3005" t="s">
        <v>1620</v>
      </c>
      <c r="C5" s="1963" t="s">
        <v>1621</v>
      </c>
      <c r="D5" s="1042">
        <f ca="1">'结果表-办公'!H101</f>
        <v>613</v>
      </c>
      <c r="E5" s="1960"/>
    </row>
    <row r="6" spans="1:5" ht="15.75">
      <c r="A6" s="1960"/>
      <c r="B6" s="3005"/>
      <c r="C6" s="1963" t="s">
        <v>1622</v>
      </c>
      <c r="D6" s="1042" t="str">
        <f ca="1">NUMBERSTRING(INT(D5*10000),2)&amp;"元整"</f>
        <v>陆佰壹拾叁万元整</v>
      </c>
      <c r="E6" s="1960"/>
    </row>
    <row r="7" spans="1:5" ht="15.75">
      <c r="A7" s="1960"/>
      <c r="B7" s="3010"/>
      <c r="C7" s="1964" t="s">
        <v>1623</v>
      </c>
      <c r="D7" s="1043">
        <f ca="1">'结果表-办公'!H102</f>
        <v>29441</v>
      </c>
      <c r="E7" s="1960"/>
    </row>
    <row r="8" spans="1:5" ht="15.75">
      <c r="A8" s="1960"/>
      <c r="B8" s="3011" t="str">
        <f>'结果表-办公'!E103</f>
        <v>2.估价师知悉的法定优先受偿款</v>
      </c>
      <c r="C8" s="1965" t="s">
        <v>1624</v>
      </c>
      <c r="D8" s="1043">
        <f>'结果表-办公'!H103</f>
        <v>0</v>
      </c>
      <c r="E8" s="1960"/>
    </row>
    <row r="9" spans="1:5" ht="15.75">
      <c r="A9" s="1960"/>
      <c r="B9" s="3013"/>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4" t="str">
        <f>'结果表-办公'!E107</f>
        <v>3.房地产抵押价值</v>
      </c>
      <c r="C13" s="1968" t="s">
        <v>1621</v>
      </c>
      <c r="D13" s="1045">
        <f ca="1">'结果表-办公'!H107</f>
        <v>613</v>
      </c>
      <c r="E13" s="1960"/>
    </row>
    <row r="14" spans="1:5" ht="15.75">
      <c r="A14" s="1960"/>
      <c r="B14" s="3005"/>
      <c r="C14" s="1963" t="s">
        <v>1622</v>
      </c>
      <c r="D14" s="1042" t="str">
        <f ca="1">NUMBERSTRING(INT(D13*10000),2)&amp;"元整"</f>
        <v>陆佰壹拾叁万元整</v>
      </c>
      <c r="E14" s="1960"/>
    </row>
    <row r="15" spans="1:5" ht="15">
      <c r="A15" s="1960"/>
      <c r="B15" s="3010"/>
      <c r="C15" s="1964" t="s">
        <v>1632</v>
      </c>
      <c r="D15" s="1054">
        <f ca="1">'结果表-办公'!H108</f>
        <v>22661</v>
      </c>
      <c r="E15" s="1960"/>
    </row>
    <row r="16" spans="1:5" ht="15">
      <c r="A16" s="1960"/>
      <c r="B16" s="3011" t="str">
        <f>'结果表-办公'!E109</f>
        <v>——</v>
      </c>
      <c r="C16" s="1968" t="s">
        <v>1633</v>
      </c>
      <c r="D16" s="1969" t="str">
        <f>'结果表-办公'!H109</f>
        <v>——</v>
      </c>
      <c r="E16" s="1960"/>
    </row>
    <row r="17" spans="1:5" ht="15.75">
      <c r="A17" s="1960"/>
      <c r="B17" s="3012"/>
      <c r="C17" s="1963" t="s">
        <v>1634</v>
      </c>
      <c r="D17" s="1042" t="e">
        <f>NUMBERSTRING(INT(D16*10000),2)&amp;"元整"</f>
        <v>#VALUE!</v>
      </c>
      <c r="E17" s="1960"/>
    </row>
    <row r="18" spans="1:5" ht="15">
      <c r="A18" s="1960"/>
      <c r="B18" s="3013"/>
      <c r="C18" s="1964" t="s">
        <v>1623</v>
      </c>
      <c r="D18" s="1054" t="str">
        <f>'结果表-办公'!H110</f>
        <v>——</v>
      </c>
      <c r="E18" s="1960"/>
    </row>
    <row r="19" spans="1:5" ht="15.75">
      <c r="A19" s="1960"/>
      <c r="B19" s="3004" t="str">
        <f>'结果表-办公'!E111</f>
        <v>——</v>
      </c>
      <c r="C19" s="1968" t="s">
        <v>1621</v>
      </c>
      <c r="D19" s="1043" t="str">
        <f>'结果表-办公'!H111</f>
        <v>——</v>
      </c>
      <c r="E19" s="1960"/>
    </row>
    <row r="20" spans="1:5" ht="15.75">
      <c r="A20" s="1960"/>
      <c r="B20" s="3005"/>
      <c r="C20" s="1963" t="s">
        <v>1634</v>
      </c>
      <c r="D20" s="1042" t="e">
        <f>NUMBERSTRING(INT(D19*10000),2)&amp;"元整"</f>
        <v>#VALUE!</v>
      </c>
      <c r="E20" s="1960"/>
    </row>
    <row r="21" spans="1:5" ht="15.75" thickBot="1">
      <c r="A21" s="1960"/>
      <c r="B21" s="3006"/>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30"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30"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238"/>
      <c r="Q10" s="1796" t="str">
        <f t="shared" si="6"/>
        <v>土地使用年限（年）</v>
      </c>
      <c r="R10" s="769" t="s">
        <v>17</v>
      </c>
      <c r="S10" s="770">
        <f t="shared" si="0"/>
        <v>130</v>
      </c>
      <c r="T10" s="769" t="s">
        <v>17</v>
      </c>
      <c r="U10" s="770">
        <f t="shared" si="1"/>
        <v>130</v>
      </c>
      <c r="V10" s="769" t="s">
        <v>17</v>
      </c>
      <c r="W10" s="770">
        <f t="shared" si="2"/>
        <v>130</v>
      </c>
      <c r="X10" s="771"/>
      <c r="Y10" s="3069"/>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8"/>
      <c r="Q12" s="1796" t="str">
        <f t="shared" si="6"/>
        <v>配建</v>
      </c>
      <c r="R12" s="769" t="s">
        <v>17</v>
      </c>
      <c r="S12" s="770">
        <f t="shared" si="0"/>
        <v>100</v>
      </c>
      <c r="T12" s="769" t="s">
        <v>17</v>
      </c>
      <c r="U12" s="770">
        <f t="shared" si="1"/>
        <v>100</v>
      </c>
      <c r="V12" s="769" t="s">
        <v>17</v>
      </c>
      <c r="W12" s="770">
        <f t="shared" si="2"/>
        <v>100</v>
      </c>
      <c r="X12" s="771"/>
      <c r="Y12" s="3069"/>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31" t="s">
        <v>2561</v>
      </c>
      <c r="Q15" s="1811" t="str">
        <f t="shared" si="6"/>
        <v>居住社区成熟度</v>
      </c>
      <c r="R15" s="773" t="s">
        <v>17</v>
      </c>
      <c r="S15" s="774">
        <f t="shared" si="0"/>
        <v>100</v>
      </c>
      <c r="T15" s="773" t="s">
        <v>17</v>
      </c>
      <c r="U15" s="774">
        <f t="shared" si="1"/>
        <v>100</v>
      </c>
      <c r="V15" s="773" t="s">
        <v>17</v>
      </c>
      <c r="W15" s="774">
        <f t="shared" si="2"/>
        <v>100</v>
      </c>
      <c r="X15" s="1814"/>
      <c r="Y15" s="3231"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32"/>
      <c r="Q16" s="1811"/>
      <c r="R16" s="773"/>
      <c r="S16" s="774"/>
      <c r="T16" s="773"/>
      <c r="U16" s="774"/>
      <c r="V16" s="773"/>
      <c r="W16" s="774"/>
      <c r="X16" s="1814"/>
      <c r="Y16" s="3232"/>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32"/>
      <c r="Q17" s="1811" t="str">
        <f>B17</f>
        <v>商业繁华度</v>
      </c>
      <c r="R17" s="773" t="s">
        <v>17</v>
      </c>
      <c r="S17" s="774">
        <f>F17</f>
        <v>100</v>
      </c>
      <c r="T17" s="773" t="s">
        <v>17</v>
      </c>
      <c r="U17" s="774">
        <f>H17</f>
        <v>100</v>
      </c>
      <c r="V17" s="773" t="s">
        <v>17</v>
      </c>
      <c r="W17" s="774">
        <f>J17</f>
        <v>100</v>
      </c>
      <c r="X17" s="1814"/>
      <c r="Y17" s="3232"/>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32"/>
      <c r="Q18" s="1811"/>
      <c r="R18" s="773"/>
      <c r="S18" s="774"/>
      <c r="T18" s="773"/>
      <c r="U18" s="774"/>
      <c r="V18" s="773"/>
      <c r="W18" s="774"/>
      <c r="X18" s="1814"/>
      <c r="Y18" s="3232"/>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32"/>
      <c r="Q19" s="1811" t="str">
        <f>B19</f>
        <v>办公集聚程度</v>
      </c>
      <c r="R19" s="773" t="s">
        <v>17</v>
      </c>
      <c r="S19" s="774">
        <f>F19</f>
        <v>100</v>
      </c>
      <c r="T19" s="773" t="s">
        <v>17</v>
      </c>
      <c r="U19" s="774">
        <f>H19</f>
        <v>100</v>
      </c>
      <c r="V19" s="773" t="s">
        <v>17</v>
      </c>
      <c r="W19" s="774">
        <f>J19</f>
        <v>100</v>
      </c>
      <c r="X19" s="1814"/>
      <c r="Y19" s="3232"/>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32"/>
      <c r="Q20" s="1811"/>
      <c r="R20" s="773"/>
      <c r="S20" s="774"/>
      <c r="T20" s="773"/>
      <c r="U20" s="774"/>
      <c r="V20" s="773"/>
      <c r="W20" s="774"/>
      <c r="X20" s="1814"/>
      <c r="Y20" s="3232"/>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32"/>
      <c r="Q21" s="1811" t="str">
        <f>B21</f>
        <v>交通便捷度</v>
      </c>
      <c r="R21" s="773" t="s">
        <v>17</v>
      </c>
      <c r="S21" s="774">
        <f>F21</f>
        <v>100</v>
      </c>
      <c r="T21" s="773" t="s">
        <v>17</v>
      </c>
      <c r="U21" s="774">
        <f>H21</f>
        <v>100</v>
      </c>
      <c r="V21" s="773" t="s">
        <v>17</v>
      </c>
      <c r="W21" s="774">
        <f>J21</f>
        <v>100</v>
      </c>
      <c r="X21" s="1814"/>
      <c r="Y21" s="3232"/>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32"/>
      <c r="Q22" s="1811"/>
      <c r="R22" s="773"/>
      <c r="S22" s="774"/>
      <c r="T22" s="773"/>
      <c r="U22" s="774"/>
      <c r="V22" s="773"/>
      <c r="W22" s="774"/>
      <c r="X22" s="1814"/>
      <c r="Y22" s="3232"/>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32"/>
      <c r="Q23" s="1811" t="str">
        <f t="shared" ref="Q23:Q37" si="8">B23</f>
        <v>区域土地利用方向</v>
      </c>
      <c r="R23" s="773" t="s">
        <v>17</v>
      </c>
      <c r="S23" s="774">
        <f>F23</f>
        <v>100</v>
      </c>
      <c r="T23" s="773" t="s">
        <v>17</v>
      </c>
      <c r="U23" s="774">
        <f>H23</f>
        <v>100</v>
      </c>
      <c r="V23" s="773" t="s">
        <v>17</v>
      </c>
      <c r="W23" s="774">
        <f>J23</f>
        <v>100</v>
      </c>
      <c r="X23" s="1814"/>
      <c r="Y23" s="3232"/>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32"/>
      <c r="Q24" s="1811"/>
      <c r="R24" s="773"/>
      <c r="S24" s="774"/>
      <c r="T24" s="773"/>
      <c r="U24" s="774"/>
      <c r="V24" s="773"/>
      <c r="W24" s="774"/>
      <c r="X24" s="1814"/>
      <c r="Y24" s="3232"/>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32"/>
      <c r="Q25" s="1811" t="str">
        <f t="shared" si="8"/>
        <v>自然及人文环境状况</v>
      </c>
      <c r="R25" s="773" t="s">
        <v>17</v>
      </c>
      <c r="S25" s="774">
        <f>F25</f>
        <v>100</v>
      </c>
      <c r="T25" s="773" t="s">
        <v>17</v>
      </c>
      <c r="U25" s="774">
        <f>H25</f>
        <v>100</v>
      </c>
      <c r="V25" s="773" t="s">
        <v>17</v>
      </c>
      <c r="W25" s="774">
        <f>J25</f>
        <v>100</v>
      </c>
      <c r="X25" s="1814"/>
      <c r="Y25" s="3232"/>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32"/>
      <c r="Q26" s="1811"/>
      <c r="R26" s="773"/>
      <c r="S26" s="774"/>
      <c r="T26" s="773"/>
      <c r="U26" s="774"/>
      <c r="V26" s="773"/>
      <c r="W26" s="774"/>
      <c r="X26" s="1814"/>
      <c r="Y26" s="3232"/>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32"/>
      <c r="Q27" s="1796" t="str">
        <f t="shared" si="8"/>
        <v>公共配套设施</v>
      </c>
      <c r="R27" s="769" t="s">
        <v>17</v>
      </c>
      <c r="S27" s="770">
        <f>F27</f>
        <v>100</v>
      </c>
      <c r="T27" s="769" t="s">
        <v>17</v>
      </c>
      <c r="U27" s="770">
        <f>H27</f>
        <v>100</v>
      </c>
      <c r="V27" s="769" t="s">
        <v>17</v>
      </c>
      <c r="W27" s="770">
        <f>J27</f>
        <v>100</v>
      </c>
      <c r="X27" s="771"/>
      <c r="Y27" s="3232"/>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32"/>
      <c r="Q28" s="1796"/>
      <c r="R28" s="769"/>
      <c r="S28" s="770"/>
      <c r="T28" s="769"/>
      <c r="U28" s="770"/>
      <c r="V28" s="769"/>
      <c r="W28" s="770"/>
      <c r="X28" s="771"/>
      <c r="Y28" s="3232"/>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32"/>
      <c r="Q29" s="1796" t="str">
        <f t="shared" ref="Q29" si="9">B29</f>
        <v>基础设施水平</v>
      </c>
      <c r="R29" s="769" t="s">
        <v>17</v>
      </c>
      <c r="S29" s="770">
        <f>F29</f>
        <v>100</v>
      </c>
      <c r="T29" s="769" t="s">
        <v>17</v>
      </c>
      <c r="U29" s="770">
        <f>H29</f>
        <v>100</v>
      </c>
      <c r="V29" s="769" t="s">
        <v>17</v>
      </c>
      <c r="W29" s="770">
        <f>J29</f>
        <v>100</v>
      </c>
      <c r="X29" s="771"/>
      <c r="Y29" s="3232"/>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32"/>
      <c r="Q30" s="1796"/>
      <c r="R30" s="769"/>
      <c r="S30" s="770"/>
      <c r="T30" s="769"/>
      <c r="U30" s="770"/>
      <c r="V30" s="769"/>
      <c r="W30" s="770"/>
      <c r="X30" s="771"/>
      <c r="Y30" s="3232"/>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3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32"/>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32"/>
      <c r="Q32" s="1811" t="str">
        <f t="shared" si="8"/>
        <v>毗邻道路的类型与等级</v>
      </c>
      <c r="R32" s="773" t="s">
        <v>17</v>
      </c>
      <c r="S32" s="774">
        <f t="shared" si="10"/>
        <v>100</v>
      </c>
      <c r="T32" s="773" t="s">
        <v>17</v>
      </c>
      <c r="U32" s="774">
        <f t="shared" si="11"/>
        <v>100</v>
      </c>
      <c r="V32" s="773" t="s">
        <v>17</v>
      </c>
      <c r="W32" s="774">
        <f t="shared" si="12"/>
        <v>100</v>
      </c>
      <c r="X32" s="1814"/>
      <c r="Y32" s="3232"/>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32"/>
      <c r="Q33" s="1811"/>
      <c r="R33" s="773"/>
      <c r="S33" s="774"/>
      <c r="T33" s="773"/>
      <c r="U33" s="774"/>
      <c r="V33" s="773"/>
      <c r="W33" s="774"/>
      <c r="X33" s="1814"/>
      <c r="Y33" s="3232"/>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32"/>
      <c r="Q34" s="1811" t="str">
        <f t="shared" si="8"/>
        <v>土地级别</v>
      </c>
      <c r="R34" s="773" t="s">
        <v>17</v>
      </c>
      <c r="S34" s="774">
        <f t="shared" si="10"/>
        <v>100</v>
      </c>
      <c r="T34" s="773" t="s">
        <v>17</v>
      </c>
      <c r="U34" s="774">
        <f t="shared" si="11"/>
        <v>100</v>
      </c>
      <c r="V34" s="773" t="s">
        <v>17</v>
      </c>
      <c r="W34" s="774">
        <f t="shared" si="12"/>
        <v>100</v>
      </c>
      <c r="X34" s="1814"/>
      <c r="Y34" s="3232"/>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2"/>
      <c r="Q35" s="1811">
        <f t="shared" si="8"/>
        <v>111</v>
      </c>
      <c r="R35" s="773" t="s">
        <v>17</v>
      </c>
      <c r="S35" s="774">
        <f t="shared" si="10"/>
        <v>100</v>
      </c>
      <c r="T35" s="773" t="s">
        <v>17</v>
      </c>
      <c r="U35" s="774">
        <f t="shared" si="11"/>
        <v>100</v>
      </c>
      <c r="V35" s="773" t="s">
        <v>17</v>
      </c>
      <c r="W35" s="774">
        <f t="shared" si="12"/>
        <v>100</v>
      </c>
      <c r="X35" s="1814"/>
      <c r="Y35" s="3232"/>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4" t="s">
        <v>2566</v>
      </c>
      <c r="Q36" s="1811">
        <f t="shared" si="8"/>
        <v>111</v>
      </c>
      <c r="R36" s="773" t="s">
        <v>17</v>
      </c>
      <c r="S36" s="774">
        <f t="shared" si="10"/>
        <v>100</v>
      </c>
      <c r="T36" s="773" t="s">
        <v>17</v>
      </c>
      <c r="U36" s="774">
        <f t="shared" si="11"/>
        <v>100</v>
      </c>
      <c r="V36" s="773" t="s">
        <v>17</v>
      </c>
      <c r="W36" s="774">
        <f t="shared" si="12"/>
        <v>100</v>
      </c>
      <c r="X36" s="1814"/>
      <c r="Y36" s="3236"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36"/>
      <c r="Q37" s="1811">
        <f t="shared" si="8"/>
        <v>111</v>
      </c>
      <c r="R37" s="776" t="s">
        <v>17</v>
      </c>
      <c r="S37" s="777">
        <f t="shared" si="10"/>
        <v>100</v>
      </c>
      <c r="T37" s="776" t="s">
        <v>17</v>
      </c>
      <c r="U37" s="777">
        <f t="shared" si="11"/>
        <v>100</v>
      </c>
      <c r="V37" s="776" t="s">
        <v>17</v>
      </c>
      <c r="W37" s="777">
        <f t="shared" si="12"/>
        <v>100</v>
      </c>
      <c r="X37" s="778"/>
      <c r="Y37" s="3236"/>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36"/>
      <c r="Q38" s="1811" t="str">
        <f>B38</f>
        <v>宗地面积</v>
      </c>
      <c r="R38" s="773" t="s">
        <v>17</v>
      </c>
      <c r="S38" s="774" t="e">
        <f t="shared" si="10"/>
        <v>#N/A</v>
      </c>
      <c r="T38" s="773" t="s">
        <v>17</v>
      </c>
      <c r="U38" s="774" t="e">
        <f t="shared" si="11"/>
        <v>#N/A</v>
      </c>
      <c r="V38" s="773" t="s">
        <v>17</v>
      </c>
      <c r="W38" s="774" t="e">
        <f t="shared" si="12"/>
        <v>#N/A</v>
      </c>
      <c r="X38" s="1814"/>
      <c r="Y38" s="3236"/>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36"/>
      <c r="Q39" s="1811" t="str">
        <f t="shared" ref="Q39:Q45" si="14">B39</f>
        <v>宗地形状</v>
      </c>
      <c r="R39" s="773" t="s">
        <v>17</v>
      </c>
      <c r="S39" s="774">
        <f t="shared" si="10"/>
        <v>100</v>
      </c>
      <c r="T39" s="773" t="s">
        <v>17</v>
      </c>
      <c r="U39" s="774">
        <f t="shared" si="11"/>
        <v>100</v>
      </c>
      <c r="V39" s="773" t="s">
        <v>17</v>
      </c>
      <c r="W39" s="774">
        <f t="shared" si="12"/>
        <v>100</v>
      </c>
      <c r="X39" s="1814"/>
      <c r="Y39" s="3236"/>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36"/>
      <c r="Q40" s="1811" t="str">
        <f t="shared" si="14"/>
        <v>临街宽度及深度</v>
      </c>
      <c r="R40" s="773" t="s">
        <v>17</v>
      </c>
      <c r="S40" s="774">
        <f t="shared" si="10"/>
        <v>100</v>
      </c>
      <c r="T40" s="773" t="s">
        <v>17</v>
      </c>
      <c r="U40" s="774">
        <f t="shared" si="11"/>
        <v>100</v>
      </c>
      <c r="V40" s="773" t="s">
        <v>17</v>
      </c>
      <c r="W40" s="774">
        <f t="shared" si="12"/>
        <v>100</v>
      </c>
      <c r="X40" s="1814"/>
      <c r="Y40" s="3236"/>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36"/>
      <c r="Q41" s="1811" t="str">
        <f t="shared" si="14"/>
        <v>宗地开发程度</v>
      </c>
      <c r="R41" s="769" t="s">
        <v>17</v>
      </c>
      <c r="S41" s="770">
        <f t="shared" si="10"/>
        <v>100</v>
      </c>
      <c r="T41" s="769" t="s">
        <v>17</v>
      </c>
      <c r="U41" s="770">
        <f t="shared" si="11"/>
        <v>100</v>
      </c>
      <c r="V41" s="769" t="s">
        <v>17</v>
      </c>
      <c r="W41" s="770">
        <f t="shared" si="12"/>
        <v>100</v>
      </c>
      <c r="X41" s="771"/>
      <c r="Y41" s="3236"/>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36" t="s">
        <v>2566</v>
      </c>
      <c r="Q42" s="1811" t="str">
        <f t="shared" si="14"/>
        <v>工程地质条件</v>
      </c>
      <c r="R42" s="773" t="s">
        <v>17</v>
      </c>
      <c r="S42" s="774">
        <f t="shared" si="10"/>
        <v>100</v>
      </c>
      <c r="T42" s="773" t="s">
        <v>17</v>
      </c>
      <c r="U42" s="774">
        <f t="shared" si="11"/>
        <v>100</v>
      </c>
      <c r="V42" s="773" t="s">
        <v>17</v>
      </c>
      <c r="W42" s="774">
        <f t="shared" si="12"/>
        <v>100</v>
      </c>
      <c r="X42" s="1814"/>
      <c r="Y42" s="3236"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36"/>
      <c r="Q43" s="1811">
        <f t="shared" si="14"/>
        <v>111</v>
      </c>
      <c r="R43" s="773" t="s">
        <v>17</v>
      </c>
      <c r="S43" s="774">
        <f t="shared" si="10"/>
        <v>100</v>
      </c>
      <c r="T43" s="773" t="s">
        <v>17</v>
      </c>
      <c r="U43" s="774">
        <f t="shared" si="11"/>
        <v>100</v>
      </c>
      <c r="V43" s="773" t="s">
        <v>17</v>
      </c>
      <c r="W43" s="774">
        <f t="shared" si="12"/>
        <v>100</v>
      </c>
      <c r="X43" s="1814"/>
      <c r="Y43" s="323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36"/>
      <c r="Q44" s="1811">
        <f t="shared" si="14"/>
        <v>111</v>
      </c>
      <c r="R44" s="773" t="s">
        <v>17</v>
      </c>
      <c r="S44" s="774">
        <f t="shared" si="10"/>
        <v>100</v>
      </c>
      <c r="T44" s="773" t="s">
        <v>17</v>
      </c>
      <c r="U44" s="774">
        <f t="shared" si="11"/>
        <v>100</v>
      </c>
      <c r="V44" s="773" t="s">
        <v>17</v>
      </c>
      <c r="W44" s="774">
        <f t="shared" si="12"/>
        <v>100</v>
      </c>
      <c r="X44" s="1814"/>
      <c r="Y44" s="3236"/>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36"/>
      <c r="Q45" s="1811">
        <f t="shared" si="14"/>
        <v>111</v>
      </c>
      <c r="R45" s="776" t="s">
        <v>17</v>
      </c>
      <c r="S45" s="777">
        <f t="shared" si="10"/>
        <v>100</v>
      </c>
      <c r="T45" s="776" t="s">
        <v>17</v>
      </c>
      <c r="U45" s="777">
        <f t="shared" si="11"/>
        <v>100</v>
      </c>
      <c r="V45" s="776" t="s">
        <v>17</v>
      </c>
      <c r="W45" s="777">
        <f t="shared" si="12"/>
        <v>100</v>
      </c>
      <c r="X45" s="778"/>
      <c r="Y45" s="3236"/>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238" t="str">
        <f>A46</f>
        <v>成交单价</v>
      </c>
      <c r="Q46" s="3238"/>
      <c r="R46" s="3226">
        <f>E46</f>
        <v>0</v>
      </c>
      <c r="S46" s="3226"/>
      <c r="T46" s="3226">
        <f>G46</f>
        <v>0</v>
      </c>
      <c r="U46" s="3226"/>
      <c r="V46" s="3226">
        <f>I46</f>
        <v>0</v>
      </c>
      <c r="W46" s="3226"/>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38" t="str">
        <f>A47</f>
        <v>比较价值（元/平方米）</v>
      </c>
      <c r="Q47" s="3238"/>
      <c r="R47" s="3291" t="e">
        <f>ROUND(PRODUCT(R46,AA7:AA45),0)</f>
        <v>#DIV/0!</v>
      </c>
      <c r="S47" s="3291"/>
      <c r="T47" s="3291" t="e">
        <f>ROUND(PRODUCT(T46,AB7:AB45),0)</f>
        <v>#DIV/0!</v>
      </c>
      <c r="U47" s="3291"/>
      <c r="V47" s="3291" t="e">
        <f>ROUND(PRODUCT(V46,AC7:AC45),0)</f>
        <v>#DIV/0!</v>
      </c>
      <c r="W47" s="329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65" t="str">
        <f>A48</f>
        <v>估价对象XX用房的比较价值（楼面单价，元/平方米）</v>
      </c>
      <c r="Q48" s="3266"/>
      <c r="R48" s="3292" t="e">
        <f>ROUND(AVERAGE(R47:V47),0)</f>
        <v>#DIV/0!</v>
      </c>
      <c r="S48" s="3292"/>
      <c r="T48" s="3292"/>
      <c r="U48" s="3292"/>
      <c r="V48" s="3292"/>
      <c r="W48" s="32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13" t="s">
        <v>2765</v>
      </c>
      <c r="H55" s="3293"/>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209"/>
      <c r="H56" s="3238"/>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4"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4"/>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4"/>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4"/>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95" t="s">
        <v>2798</v>
      </c>
      <c r="D6" s="3296"/>
      <c r="E6" s="3297" t="s">
        <v>2798</v>
      </c>
      <c r="F6" s="3298"/>
      <c r="G6" s="3295" t="s">
        <v>2798</v>
      </c>
      <c r="H6" s="3296"/>
      <c r="I6" s="3295" t="s">
        <v>2798</v>
      </c>
      <c r="J6" s="329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238"/>
      <c r="Q10" s="1796" t="str">
        <f t="shared" si="6"/>
        <v>土地使用年限（年）</v>
      </c>
      <c r="R10" s="769" t="s">
        <v>17</v>
      </c>
      <c r="S10" s="770">
        <f t="shared" si="0"/>
        <v>130</v>
      </c>
      <c r="T10" s="769" t="s">
        <v>17</v>
      </c>
      <c r="U10" s="770">
        <f t="shared" si="1"/>
        <v>130</v>
      </c>
      <c r="V10" s="769" t="s">
        <v>17</v>
      </c>
      <c r="W10" s="770">
        <f t="shared" si="2"/>
        <v>130</v>
      </c>
      <c r="X10" s="771"/>
      <c r="Y10" s="3069"/>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1" t="s">
        <v>2561</v>
      </c>
      <c r="Q15" s="1811" t="str">
        <f t="shared" si="6"/>
        <v>产业集聚程度</v>
      </c>
      <c r="R15" s="773" t="s">
        <v>17</v>
      </c>
      <c r="S15" s="774">
        <f t="shared" si="0"/>
        <v>100</v>
      </c>
      <c r="T15" s="773" t="s">
        <v>17</v>
      </c>
      <c r="U15" s="774">
        <f t="shared" si="1"/>
        <v>100</v>
      </c>
      <c r="V15" s="773" t="s">
        <v>17</v>
      </c>
      <c r="W15" s="774">
        <f t="shared" si="2"/>
        <v>100</v>
      </c>
      <c r="X15" s="1814"/>
      <c r="Y15" s="3231"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32"/>
      <c r="Q16" s="1811"/>
      <c r="R16" s="773"/>
      <c r="S16" s="774"/>
      <c r="T16" s="773"/>
      <c r="U16" s="774"/>
      <c r="V16" s="773"/>
      <c r="W16" s="774"/>
      <c r="X16" s="1814"/>
      <c r="Y16" s="3232"/>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2"/>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32"/>
      <c r="Q18" s="1811"/>
      <c r="R18" s="773"/>
      <c r="S18" s="774"/>
      <c r="T18" s="773"/>
      <c r="U18" s="774"/>
      <c r="V18" s="773"/>
      <c r="W18" s="774"/>
      <c r="X18" s="1814"/>
      <c r="Y18" s="3232"/>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2"/>
      <c r="Q19" s="1811" t="str">
        <f t="shared" ref="Q19:Q33" si="8">B19</f>
        <v>区域土地利用方向</v>
      </c>
      <c r="R19" s="773" t="s">
        <v>17</v>
      </c>
      <c r="S19" s="774">
        <f>F19</f>
        <v>100</v>
      </c>
      <c r="T19" s="773" t="s">
        <v>17</v>
      </c>
      <c r="U19" s="774">
        <f>H19</f>
        <v>100</v>
      </c>
      <c r="V19" s="773" t="s">
        <v>17</v>
      </c>
      <c r="W19" s="774">
        <f>J19</f>
        <v>100</v>
      </c>
      <c r="X19" s="1814"/>
      <c r="Y19" s="3232"/>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32"/>
      <c r="Q20" s="1811"/>
      <c r="R20" s="773"/>
      <c r="S20" s="774"/>
      <c r="T20" s="773"/>
      <c r="U20" s="774"/>
      <c r="V20" s="773"/>
      <c r="W20" s="774"/>
      <c r="X20" s="1814"/>
      <c r="Y20" s="3232"/>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2"/>
      <c r="Q21" s="1811" t="str">
        <f t="shared" si="8"/>
        <v>环境状况</v>
      </c>
      <c r="R21" s="773" t="s">
        <v>17</v>
      </c>
      <c r="S21" s="774">
        <f>F21</f>
        <v>100</v>
      </c>
      <c r="T21" s="773" t="s">
        <v>17</v>
      </c>
      <c r="U21" s="774">
        <f>H21</f>
        <v>100</v>
      </c>
      <c r="V21" s="773" t="s">
        <v>17</v>
      </c>
      <c r="W21" s="774">
        <f>J21</f>
        <v>100</v>
      </c>
      <c r="X21" s="1814"/>
      <c r="Y21" s="3232"/>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32"/>
      <c r="Q22" s="1811"/>
      <c r="R22" s="773"/>
      <c r="S22" s="774"/>
      <c r="T22" s="773"/>
      <c r="U22" s="774"/>
      <c r="V22" s="773"/>
      <c r="W22" s="774"/>
      <c r="X22" s="1814"/>
      <c r="Y22" s="3232"/>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2"/>
      <c r="Q23" s="1796" t="str">
        <f t="shared" si="8"/>
        <v>公共配套设施</v>
      </c>
      <c r="R23" s="769" t="s">
        <v>17</v>
      </c>
      <c r="S23" s="770">
        <f>F23</f>
        <v>100</v>
      </c>
      <c r="T23" s="769" t="s">
        <v>17</v>
      </c>
      <c r="U23" s="770">
        <f>H23</f>
        <v>100</v>
      </c>
      <c r="V23" s="769" t="s">
        <v>17</v>
      </c>
      <c r="W23" s="770">
        <f>J23</f>
        <v>100</v>
      </c>
      <c r="X23" s="771"/>
      <c r="Y23" s="3232"/>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32"/>
      <c r="Q24" s="1796"/>
      <c r="R24" s="769"/>
      <c r="S24" s="770"/>
      <c r="T24" s="769"/>
      <c r="U24" s="770"/>
      <c r="V24" s="769"/>
      <c r="W24" s="770"/>
      <c r="X24" s="771"/>
      <c r="Y24" s="3232"/>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2"/>
      <c r="Q25" s="1796" t="str">
        <f t="shared" ref="Q25" si="9">B25</f>
        <v>基础设施水平</v>
      </c>
      <c r="R25" s="769" t="s">
        <v>17</v>
      </c>
      <c r="S25" s="770">
        <f>F25</f>
        <v>100</v>
      </c>
      <c r="T25" s="769" t="s">
        <v>17</v>
      </c>
      <c r="U25" s="770">
        <f>H25</f>
        <v>100</v>
      </c>
      <c r="V25" s="769" t="s">
        <v>17</v>
      </c>
      <c r="W25" s="770">
        <f>J25</f>
        <v>100</v>
      </c>
      <c r="X25" s="771"/>
      <c r="Y25" s="3232"/>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32"/>
      <c r="Q26" s="1796"/>
      <c r="R26" s="769"/>
      <c r="S26" s="770"/>
      <c r="T26" s="769"/>
      <c r="U26" s="770"/>
      <c r="V26" s="769"/>
      <c r="W26" s="770"/>
      <c r="X26" s="771"/>
      <c r="Y26" s="3232"/>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32"/>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2"/>
      <c r="Q28" s="1811" t="str">
        <f t="shared" si="8"/>
        <v>毗邻道路的类型与等级</v>
      </c>
      <c r="R28" s="773" t="s">
        <v>17</v>
      </c>
      <c r="S28" s="774">
        <f t="shared" si="10"/>
        <v>100</v>
      </c>
      <c r="T28" s="773" t="s">
        <v>17</v>
      </c>
      <c r="U28" s="774">
        <f t="shared" si="11"/>
        <v>100</v>
      </c>
      <c r="V28" s="773" t="s">
        <v>17</v>
      </c>
      <c r="W28" s="774">
        <f t="shared" si="12"/>
        <v>100</v>
      </c>
      <c r="X28" s="1814"/>
      <c r="Y28" s="3232"/>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32"/>
      <c r="Q29" s="1811"/>
      <c r="R29" s="773"/>
      <c r="S29" s="774"/>
      <c r="T29" s="773"/>
      <c r="U29" s="774"/>
      <c r="V29" s="773"/>
      <c r="W29" s="774"/>
      <c r="X29" s="1814"/>
      <c r="Y29" s="3232"/>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2"/>
      <c r="Q30" s="1811" t="str">
        <f t="shared" si="8"/>
        <v>土地级别</v>
      </c>
      <c r="R30" s="773" t="s">
        <v>17</v>
      </c>
      <c r="S30" s="774">
        <f t="shared" si="10"/>
        <v>100</v>
      </c>
      <c r="T30" s="773" t="s">
        <v>17</v>
      </c>
      <c r="U30" s="774">
        <f t="shared" si="11"/>
        <v>100</v>
      </c>
      <c r="V30" s="773" t="s">
        <v>17</v>
      </c>
      <c r="W30" s="774">
        <f t="shared" si="12"/>
        <v>100</v>
      </c>
      <c r="X30" s="1814"/>
      <c r="Y30" s="3232"/>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2"/>
      <c r="Q31" s="1811">
        <f t="shared" si="8"/>
        <v>111</v>
      </c>
      <c r="R31" s="773" t="s">
        <v>17</v>
      </c>
      <c r="S31" s="774">
        <f t="shared" si="10"/>
        <v>100</v>
      </c>
      <c r="T31" s="773" t="s">
        <v>17</v>
      </c>
      <c r="U31" s="774">
        <f t="shared" si="11"/>
        <v>100</v>
      </c>
      <c r="V31" s="773" t="s">
        <v>17</v>
      </c>
      <c r="W31" s="774">
        <f t="shared" si="12"/>
        <v>100</v>
      </c>
      <c r="X31" s="1814"/>
      <c r="Y31" s="3232"/>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4" t="s">
        <v>2566</v>
      </c>
      <c r="Q32" s="1811">
        <f t="shared" si="8"/>
        <v>111</v>
      </c>
      <c r="R32" s="773" t="s">
        <v>17</v>
      </c>
      <c r="S32" s="774">
        <f t="shared" si="10"/>
        <v>100</v>
      </c>
      <c r="T32" s="773" t="s">
        <v>17</v>
      </c>
      <c r="U32" s="774">
        <f t="shared" si="11"/>
        <v>100</v>
      </c>
      <c r="V32" s="773" t="s">
        <v>17</v>
      </c>
      <c r="W32" s="774">
        <f t="shared" si="12"/>
        <v>100</v>
      </c>
      <c r="X32" s="1814"/>
      <c r="Y32" s="3236"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36"/>
      <c r="Q33" s="1811">
        <f t="shared" si="8"/>
        <v>111</v>
      </c>
      <c r="R33" s="776" t="s">
        <v>17</v>
      </c>
      <c r="S33" s="777">
        <f t="shared" si="10"/>
        <v>100</v>
      </c>
      <c r="T33" s="776" t="s">
        <v>17</v>
      </c>
      <c r="U33" s="777">
        <f t="shared" si="11"/>
        <v>100</v>
      </c>
      <c r="V33" s="776" t="s">
        <v>17</v>
      </c>
      <c r="W33" s="777">
        <f t="shared" si="12"/>
        <v>100</v>
      </c>
      <c r="X33" s="778"/>
      <c r="Y33" s="3236"/>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36"/>
      <c r="Q34" s="1811" t="str">
        <f>B34</f>
        <v>宗地面积</v>
      </c>
      <c r="R34" s="773" t="s">
        <v>17</v>
      </c>
      <c r="S34" s="774" t="e">
        <f t="shared" si="10"/>
        <v>#N/A</v>
      </c>
      <c r="T34" s="773" t="s">
        <v>17</v>
      </c>
      <c r="U34" s="774" t="e">
        <f t="shared" si="11"/>
        <v>#N/A</v>
      </c>
      <c r="V34" s="773" t="s">
        <v>17</v>
      </c>
      <c r="W34" s="774" t="e">
        <f t="shared" si="12"/>
        <v>#N/A</v>
      </c>
      <c r="X34" s="1814"/>
      <c r="Y34" s="3236"/>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36"/>
      <c r="Q35" s="1811" t="str">
        <f t="shared" ref="Q35:Q40" si="14">B35</f>
        <v>宗地形状</v>
      </c>
      <c r="R35" s="773" t="s">
        <v>17</v>
      </c>
      <c r="S35" s="774">
        <f t="shared" si="10"/>
        <v>100</v>
      </c>
      <c r="T35" s="773" t="s">
        <v>17</v>
      </c>
      <c r="U35" s="774">
        <f t="shared" si="11"/>
        <v>100</v>
      </c>
      <c r="V35" s="773" t="s">
        <v>17</v>
      </c>
      <c r="W35" s="774">
        <f t="shared" si="12"/>
        <v>100</v>
      </c>
      <c r="X35" s="1814"/>
      <c r="Y35" s="3236"/>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36"/>
      <c r="Q36" s="1811" t="str">
        <f t="shared" si="14"/>
        <v>宗地开发程度</v>
      </c>
      <c r="R36" s="769" t="s">
        <v>17</v>
      </c>
      <c r="S36" s="770">
        <f t="shared" si="10"/>
        <v>100</v>
      </c>
      <c r="T36" s="769" t="s">
        <v>17</v>
      </c>
      <c r="U36" s="770">
        <f t="shared" si="11"/>
        <v>100</v>
      </c>
      <c r="V36" s="769" t="s">
        <v>17</v>
      </c>
      <c r="W36" s="770">
        <f t="shared" si="12"/>
        <v>100</v>
      </c>
      <c r="X36" s="771"/>
      <c r="Y36" s="3236"/>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36" t="s">
        <v>2566</v>
      </c>
      <c r="Q37" s="1811" t="str">
        <f t="shared" si="14"/>
        <v>工程地质条件</v>
      </c>
      <c r="R37" s="773" t="s">
        <v>17</v>
      </c>
      <c r="S37" s="774">
        <f t="shared" si="10"/>
        <v>100</v>
      </c>
      <c r="T37" s="773" t="s">
        <v>17</v>
      </c>
      <c r="U37" s="774">
        <f t="shared" si="11"/>
        <v>100</v>
      </c>
      <c r="V37" s="773" t="s">
        <v>17</v>
      </c>
      <c r="W37" s="774">
        <f t="shared" si="12"/>
        <v>100</v>
      </c>
      <c r="X37" s="1814"/>
      <c r="Y37" s="3236"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36"/>
      <c r="Q38" s="1811">
        <f t="shared" si="14"/>
        <v>111</v>
      </c>
      <c r="R38" s="773" t="s">
        <v>17</v>
      </c>
      <c r="S38" s="774">
        <f t="shared" si="10"/>
        <v>100</v>
      </c>
      <c r="T38" s="773" t="s">
        <v>17</v>
      </c>
      <c r="U38" s="774">
        <f t="shared" si="11"/>
        <v>100</v>
      </c>
      <c r="V38" s="773" t="s">
        <v>17</v>
      </c>
      <c r="W38" s="774">
        <f t="shared" si="12"/>
        <v>100</v>
      </c>
      <c r="X38" s="1814"/>
      <c r="Y38" s="323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36"/>
      <c r="Q39" s="1811">
        <f t="shared" si="14"/>
        <v>111</v>
      </c>
      <c r="R39" s="773" t="s">
        <v>17</v>
      </c>
      <c r="S39" s="774">
        <f t="shared" si="10"/>
        <v>100</v>
      </c>
      <c r="T39" s="773" t="s">
        <v>17</v>
      </c>
      <c r="U39" s="774">
        <f t="shared" si="11"/>
        <v>100</v>
      </c>
      <c r="V39" s="773" t="s">
        <v>17</v>
      </c>
      <c r="W39" s="774">
        <f t="shared" si="12"/>
        <v>100</v>
      </c>
      <c r="X39" s="1814"/>
      <c r="Y39" s="3236"/>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36"/>
      <c r="Q40" s="1811">
        <f t="shared" si="14"/>
        <v>111</v>
      </c>
      <c r="R40" s="776" t="s">
        <v>17</v>
      </c>
      <c r="S40" s="777">
        <f t="shared" si="10"/>
        <v>100</v>
      </c>
      <c r="T40" s="776" t="s">
        <v>17</v>
      </c>
      <c r="U40" s="777">
        <f t="shared" si="11"/>
        <v>100</v>
      </c>
      <c r="V40" s="776" t="s">
        <v>17</v>
      </c>
      <c r="W40" s="777">
        <f t="shared" si="12"/>
        <v>100</v>
      </c>
      <c r="X40" s="778"/>
      <c r="Y40" s="3236"/>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238" t="str">
        <f>A41</f>
        <v>成交单价</v>
      </c>
      <c r="Q41" s="3238"/>
      <c r="R41" s="3226">
        <f>E41</f>
        <v>0</v>
      </c>
      <c r="S41" s="3226"/>
      <c r="T41" s="3226">
        <f>G41</f>
        <v>0</v>
      </c>
      <c r="U41" s="3226"/>
      <c r="V41" s="3226">
        <f>I41</f>
        <v>0</v>
      </c>
      <c r="W41" s="3226"/>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38" t="str">
        <f>A42</f>
        <v>比较价值（元/平方米）</v>
      </c>
      <c r="Q42" s="3238"/>
      <c r="R42" s="3291" t="e">
        <f>ROUND(PRODUCT(R41,AA7:AA40),0)</f>
        <v>#DIV/0!</v>
      </c>
      <c r="S42" s="3291"/>
      <c r="T42" s="3291" t="e">
        <f>ROUND(PRODUCT(T41,AB7:AB40),0)</f>
        <v>#DIV/0!</v>
      </c>
      <c r="U42" s="3291"/>
      <c r="V42" s="3291" t="e">
        <f>ROUND(PRODUCT(V41,AC7:AC40),0)</f>
        <v>#DIV/0!</v>
      </c>
      <c r="W42" s="329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65" t="str">
        <f>A43</f>
        <v>估价对象XX用房的比较价值（楼面单价，元/平方米）</v>
      </c>
      <c r="Q43" s="3266"/>
      <c r="R43" s="3292" t="e">
        <f>ROUND(AVERAGE(R42:V42),0)</f>
        <v>#DIV/0!</v>
      </c>
      <c r="S43" s="3292"/>
      <c r="T43" s="3292"/>
      <c r="U43" s="3292"/>
      <c r="V43" s="3292"/>
      <c r="W43" s="32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13" t="s">
        <v>2765</v>
      </c>
      <c r="H50" s="3293"/>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209"/>
      <c r="H51" s="3238"/>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4"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4"/>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4"/>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4"/>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3"/>
      <c r="B4" s="3314"/>
      <c r="C4" s="3314"/>
      <c r="D4" s="3315"/>
      <c r="E4" s="3315"/>
      <c r="F4" s="3315"/>
      <c r="G4" s="3315"/>
      <c r="H4" s="3315"/>
      <c r="I4" s="3315"/>
      <c r="J4" s="3316"/>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99"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0"/>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10" t="s">
        <v>2841</v>
      </c>
      <c r="X8" s="3311"/>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0"/>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12"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0"/>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1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0"/>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12"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99"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12"/>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7"/>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12"/>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17"/>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8"/>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9"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0"/>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07"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8"/>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8"/>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09"/>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01" t="s">
        <v>2975</v>
      </c>
      <c r="B90" s="3301"/>
      <c r="C90" s="3301"/>
      <c r="D90" s="3301"/>
      <c r="E90" s="3301"/>
      <c r="F90" s="3301"/>
      <c r="G90" s="3301"/>
      <c r="H90" s="3301"/>
      <c r="I90" s="3301"/>
      <c r="J90" s="3301"/>
      <c r="K90" s="2896"/>
      <c r="L90" s="2896"/>
      <c r="M90" s="2896"/>
      <c r="N90" s="2896"/>
    </row>
    <row r="91" spans="1:37">
      <c r="A91" s="3303" t="s">
        <v>2976</v>
      </c>
      <c r="B91" s="3303" t="s">
        <v>2977</v>
      </c>
      <c r="C91" s="2850" t="s">
        <v>2978</v>
      </c>
      <c r="D91" s="2851"/>
      <c r="E91" s="2851"/>
      <c r="F91" s="2851"/>
      <c r="G91" s="2851"/>
      <c r="H91" s="2851"/>
      <c r="I91" s="2851"/>
      <c r="J91" s="2897"/>
      <c r="K91" s="2898"/>
      <c r="L91" s="2898"/>
      <c r="M91" s="2898"/>
      <c r="N91" s="2898"/>
    </row>
    <row r="92" spans="1:37">
      <c r="A92" s="3303"/>
      <c r="B92" s="3303"/>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04"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5"/>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4"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0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0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0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0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0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0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05"/>
      <c r="B108" s="3123"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6"/>
      <c r="B109" s="3124"/>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02" t="s">
        <v>2983</v>
      </c>
      <c r="B110" s="3302"/>
      <c r="C110" s="3302"/>
      <c r="D110" s="3302"/>
      <c r="E110" s="3302"/>
      <c r="F110" s="3302"/>
      <c r="G110" s="3302"/>
      <c r="H110" s="3302"/>
      <c r="I110" s="3302"/>
      <c r="J110" s="3302"/>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1" t="s">
        <v>1151</v>
      </c>
      <c r="H1" s="3321"/>
      <c r="I1" s="3321"/>
      <c r="J1" s="3321"/>
      <c r="K1" s="3321"/>
      <c r="L1" s="3321"/>
      <c r="N1" s="3321" t="s">
        <v>1152</v>
      </c>
      <c r="O1" s="3321"/>
      <c r="P1" s="3321"/>
      <c r="Q1" s="3321"/>
      <c r="R1" s="1447"/>
      <c r="S1" s="3321" t="s">
        <v>1153</v>
      </c>
      <c r="T1" s="3321"/>
      <c r="U1" s="3321"/>
      <c r="V1" s="3321"/>
      <c r="X1" s="3320" t="s">
        <v>1154</v>
      </c>
      <c r="Y1" s="3321"/>
      <c r="Z1" s="3321"/>
      <c r="AA1" s="3321"/>
      <c r="AB1" s="3321"/>
      <c r="AD1" s="3320" t="s">
        <v>1155</v>
      </c>
      <c r="AE1" s="3321"/>
      <c r="AF1" s="3321"/>
      <c r="AG1" s="3321"/>
      <c r="AH1" s="3321"/>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6">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3"/>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3"/>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4"/>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2">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3"/>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3"/>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4"/>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2">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3"/>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3"/>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4"/>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7">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8"/>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8"/>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29"/>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2">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3"/>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3"/>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4"/>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2">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3">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3">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4">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2">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3">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3">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4">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2">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3">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3">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4">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2">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3">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3">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4">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2">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3">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3">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4">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2">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3">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3">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4">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2">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3">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3">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4">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2">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3">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3">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4">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2">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3">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3">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4">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2">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3">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3">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4">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27561</v>
      </c>
      <c r="C2" s="2" t="s">
        <v>133</v>
      </c>
      <c r="D2" s="242"/>
      <c r="E2" s="242"/>
      <c r="F2" s="242"/>
      <c r="G2" s="242"/>
    </row>
    <row r="3" spans="1:7" s="243" customFormat="1" ht="18" customHeight="1" thickBot="1">
      <c r="A3" s="246" t="s">
        <v>85</v>
      </c>
      <c r="B3" s="247">
        <f ca="1">ROUND(B2*10000/'数据-汇总表'!E3,0)</f>
        <v>1018853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1501</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2523</v>
      </c>
      <c r="D27" s="278">
        <f>C29</f>
        <v>3.5999999999999999E-3</v>
      </c>
      <c r="E27" s="279" t="s">
        <v>126</v>
      </c>
      <c r="F27" s="289">
        <f>'数据-取费表'!Q16</f>
        <v>0.12</v>
      </c>
      <c r="G27" s="290" t="s">
        <v>1069</v>
      </c>
    </row>
    <row r="28" spans="1:7" s="257" customFormat="1" ht="13.5" customHeight="1">
      <c r="A28" s="953" t="s">
        <v>794</v>
      </c>
      <c r="B28" s="291" t="s">
        <v>1062</v>
      </c>
      <c r="C28" s="292">
        <f>ROUND((C5+C19+C20)*F27*'数据-取费表'!B21/'数据-取费表'!B20,0)</f>
        <v>2523</v>
      </c>
      <c r="D28" s="278"/>
      <c r="E28" s="279"/>
      <c r="F28" s="289"/>
      <c r="G28" s="290"/>
    </row>
    <row r="29" spans="1:7" s="257" customFormat="1" ht="13.5" customHeight="1">
      <c r="A29" s="953" t="s">
        <v>792</v>
      </c>
      <c r="B29" s="291" t="s">
        <v>1063</v>
      </c>
      <c r="C29" s="281">
        <f>ROUND(C21*F27*'数据-取费表'!B21/'数据-取费表'!B20,4)</f>
        <v>3.5999999999999999E-3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27469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2</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v>
      </c>
      <c r="D41" s="278">
        <f ca="1">C44</f>
        <v>1.1000000000000001E-3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3</v>
      </c>
      <c r="D42" s="281"/>
      <c r="E42" s="281"/>
      <c r="F42" s="282"/>
      <c r="G42" s="3189" t="s">
        <v>121</v>
      </c>
    </row>
    <row r="43" spans="1:7" ht="13.5" customHeight="1">
      <c r="A43" s="953" t="s">
        <v>792</v>
      </c>
      <c r="B43" s="258" t="s">
        <v>1064</v>
      </c>
      <c r="C43" s="281">
        <f ca="1">ROUND(IF('数据-取费表'!B22&lt;=1,C39*F22*'数据-取费表'!B21/2,C39*(POWER((1+F22),'数据-取费表'!B21/2)-1)),0)</f>
        <v>0</v>
      </c>
      <c r="D43" s="281"/>
      <c r="E43" s="281"/>
      <c r="F43" s="282"/>
      <c r="G43" s="3190"/>
    </row>
    <row r="44" spans="1:7" ht="13.5" customHeight="1">
      <c r="A44" s="953" t="s">
        <v>793</v>
      </c>
      <c r="B44" s="258" t="s">
        <v>1066</v>
      </c>
      <c r="C44" s="281">
        <f ca="1">ROUND(IF('数据-取费表'!B22&lt;=1,C40*F22*'数据-取费表'!B21/2,C40*(POWER((1+F22),'数据-取费表'!B21/2)-1)),4)</f>
        <v>1.1000000000000001E-3</v>
      </c>
      <c r="D44" s="281"/>
      <c r="E44" s="281"/>
      <c r="F44" s="282"/>
      <c r="G44" s="3191"/>
    </row>
    <row r="45" spans="1:7" s="257" customFormat="1" ht="13.5" customHeight="1">
      <c r="A45" s="950" t="s">
        <v>786</v>
      </c>
      <c r="B45" s="287" t="s">
        <v>112</v>
      </c>
      <c r="C45" s="288">
        <f>C46</f>
        <v>11</v>
      </c>
      <c r="D45" s="278">
        <f>C47</f>
        <v>3.5999999999999999E-3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3.5999999999999999E-3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120</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92</v>
      </c>
      <c r="D51" s="275"/>
      <c r="E51" s="275"/>
      <c r="F51" s="307"/>
      <c r="G51" s="277" t="s">
        <v>64</v>
      </c>
    </row>
    <row r="52" spans="1:7" s="251" customFormat="1" ht="16.5" thickBot="1">
      <c r="A52" s="308" t="s">
        <v>65</v>
      </c>
      <c r="B52" s="309"/>
      <c r="C52" s="310">
        <f ca="1">C31+C51</f>
        <v>27561</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1639</v>
      </c>
      <c r="B2" s="3015" t="s">
        <v>1640</v>
      </c>
      <c r="C2" s="3015" t="s">
        <v>1641</v>
      </c>
      <c r="D2" s="3015" t="str">
        <f>'结果表-办公'!D116</f>
        <v>出让国有建设用地使用权价值</v>
      </c>
      <c r="E2" s="3015"/>
      <c r="F2" s="3015" t="str">
        <f>'结果表-办公'!F116</f>
        <v>在建建筑物价值</v>
      </c>
      <c r="G2" s="3015"/>
      <c r="H2" s="3015" t="str">
        <f>IF(项目基本情况!B9="房地产市场价值","房地产市场价值","房地产价值")</f>
        <v>房地产价值</v>
      </c>
      <c r="I2" s="3015"/>
    </row>
    <row r="3" spans="1:9" ht="15">
      <c r="A3" s="3016"/>
      <c r="B3" s="3016"/>
      <c r="C3" s="3016"/>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613</v>
      </c>
      <c r="I4" s="1046">
        <f ca="1">'结果表-办公'!I118</f>
        <v>29441</v>
      </c>
    </row>
    <row r="5" spans="1:9" ht="30" customHeight="1">
      <c r="A5" s="3016" t="s">
        <v>1638</v>
      </c>
      <c r="B5" s="3016"/>
      <c r="C5" s="3016"/>
      <c r="D5" s="3017" t="e">
        <f ca="1">'结果表-办公'!D119</f>
        <v>#REF!</v>
      </c>
      <c r="E5" s="3017"/>
      <c r="F5" s="3017" t="e">
        <f ca="1">'结果表-办公'!F119</f>
        <v>#REF!</v>
      </c>
      <c r="G5" s="3017"/>
      <c r="H5" s="3017" t="str">
        <f ca="1">'结果表-办公'!H119</f>
        <v>陆佰壹拾叁万元整</v>
      </c>
      <c r="I5" s="3017"/>
    </row>
    <row r="6" spans="1:9" ht="15.75">
      <c r="A6" s="3018" t="str">
        <f>'结果表-办公'!A120</f>
        <v>估价师知悉的法定优先受偿款</v>
      </c>
      <c r="B6" s="3018"/>
      <c r="C6" s="3018"/>
      <c r="D6" s="3018">
        <f>'结果表-办公'!D120</f>
        <v>0</v>
      </c>
      <c r="E6" s="3018"/>
      <c r="F6" s="3018"/>
      <c r="G6" s="3018"/>
      <c r="H6" s="3018"/>
      <c r="I6" s="3018"/>
    </row>
    <row r="7" spans="1:9" ht="15">
      <c r="A7" s="3016" t="s">
        <v>1638</v>
      </c>
      <c r="B7" s="3016"/>
      <c r="C7" s="3016"/>
      <c r="D7" s="3019" t="str">
        <f>'结果表-办公'!D121</f>
        <v>零元整</v>
      </c>
      <c r="E7" s="3020"/>
      <c r="F7" s="3020"/>
      <c r="G7" s="3020"/>
      <c r="H7" s="3020"/>
      <c r="I7" s="3021"/>
    </row>
    <row r="8" spans="1:9" ht="15.75">
      <c r="A8" s="3018" t="str">
        <f>'结果表-办公'!A122</f>
        <v>房地产抵押价值</v>
      </c>
      <c r="B8" s="3018"/>
      <c r="C8" s="3018"/>
      <c r="D8" s="3018">
        <f ca="1">'结果表-办公'!D122</f>
        <v>613</v>
      </c>
      <c r="E8" s="3018"/>
      <c r="F8" s="3018"/>
      <c r="G8" s="3018"/>
      <c r="H8" s="3018"/>
      <c r="I8" s="3018"/>
    </row>
    <row r="9" spans="1:9" ht="15">
      <c r="A9" s="3016" t="s">
        <v>1638</v>
      </c>
      <c r="B9" s="3016"/>
      <c r="C9" s="3016"/>
      <c r="D9" s="3017" t="str">
        <f ca="1">'结果表-办公'!D123</f>
        <v>陆佰壹拾叁万元整</v>
      </c>
      <c r="E9" s="3017"/>
      <c r="F9" s="3017"/>
      <c r="G9" s="3017"/>
      <c r="H9" s="3017"/>
      <c r="I9" s="3017"/>
    </row>
    <row r="10" spans="1:9" ht="15.75">
      <c r="A10" s="3018" t="str">
        <f>'结果表-办公'!A124</f>
        <v/>
      </c>
      <c r="B10" s="3018"/>
      <c r="C10" s="3018"/>
      <c r="D10" s="3018" t="str">
        <f>'结果表-办公'!D124</f>
        <v>——</v>
      </c>
      <c r="E10" s="3018"/>
      <c r="F10" s="3018"/>
      <c r="G10" s="3018"/>
      <c r="H10" s="3018"/>
      <c r="I10" s="3018"/>
    </row>
    <row r="11" spans="1:9" ht="15">
      <c r="A11" s="3016" t="s">
        <v>1638</v>
      </c>
      <c r="B11" s="3016"/>
      <c r="C11" s="3016"/>
      <c r="D11" s="3017" t="e">
        <f>'结果表-办公'!D125</f>
        <v>#VALUE!</v>
      </c>
      <c r="E11" s="3017"/>
      <c r="F11" s="3017"/>
      <c r="G11" s="3017"/>
      <c r="H11" s="3017"/>
      <c r="I11" s="3017"/>
    </row>
    <row r="12" spans="1:9" ht="15.75">
      <c r="A12" s="3018" t="str">
        <f>'结果表-办公'!A126</f>
        <v/>
      </c>
      <c r="B12" s="3018"/>
      <c r="C12" s="3018"/>
      <c r="D12" s="3018" t="str">
        <f>'结果表-办公'!D126</f>
        <v>——</v>
      </c>
      <c r="E12" s="3018"/>
      <c r="F12" s="3018"/>
      <c r="G12" s="3018"/>
      <c r="H12" s="3018"/>
      <c r="I12" s="3018"/>
    </row>
    <row r="13" spans="1:9" ht="15.75" thickBot="1">
      <c r="A13" s="3022" t="s">
        <v>1638</v>
      </c>
      <c r="B13" s="3022"/>
      <c r="C13" s="3022"/>
      <c r="D13" s="3023" t="e">
        <f>'结果表-办公'!D127</f>
        <v>#VALUE!</v>
      </c>
      <c r="E13" s="3023"/>
      <c r="F13" s="3023"/>
      <c r="G13" s="3023"/>
      <c r="H13" s="3023"/>
      <c r="I13" s="3023"/>
    </row>
    <row r="14" spans="1:9" ht="15" thickTop="1">
      <c r="A14" s="3024" t="s">
        <v>1643</v>
      </c>
      <c r="B14" s="3024"/>
      <c r="C14" s="3024"/>
      <c r="D14" s="3024"/>
      <c r="E14" s="3024"/>
      <c r="F14" s="3024"/>
      <c r="G14" s="3024"/>
      <c r="H14" s="3024"/>
      <c r="I14" s="3024"/>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4" t="s">
        <v>3179</v>
      </c>
      <c r="F10" s="3000">
        <v>450</v>
      </c>
      <c r="G10" s="3000" t="s">
        <v>3152</v>
      </c>
      <c r="H10" s="3000">
        <v>208.21</v>
      </c>
      <c r="I10" s="3000" t="s">
        <v>3175</v>
      </c>
      <c r="J10" s="3000" t="s">
        <v>3177</v>
      </c>
    </row>
    <row r="11" spans="4:10" ht="14.25" thickBot="1">
      <c r="D11" s="3000">
        <v>2</v>
      </c>
      <c r="E11" s="3335"/>
      <c r="F11" s="3000">
        <v>450</v>
      </c>
      <c r="G11" s="3000" t="s">
        <v>3153</v>
      </c>
      <c r="H11" s="3000">
        <v>395.51</v>
      </c>
      <c r="I11" s="3000" t="s">
        <v>3175</v>
      </c>
      <c r="J11" s="3000" t="s">
        <v>3177</v>
      </c>
    </row>
    <row r="12" spans="4:10" ht="14.25" thickBot="1">
      <c r="D12" s="3000">
        <v>3</v>
      </c>
      <c r="E12" s="3335"/>
      <c r="F12" s="3000">
        <v>450</v>
      </c>
      <c r="G12" s="3000" t="s">
        <v>3154</v>
      </c>
      <c r="H12" s="3000">
        <v>205.83</v>
      </c>
      <c r="I12" s="3000" t="s">
        <v>3175</v>
      </c>
      <c r="J12" s="3000" t="s">
        <v>3177</v>
      </c>
    </row>
    <row r="13" spans="4:10" ht="14.25" thickBot="1">
      <c r="D13" s="3000">
        <v>4</v>
      </c>
      <c r="E13" s="3335"/>
      <c r="F13" s="3000">
        <v>450</v>
      </c>
      <c r="G13" s="3000" t="s">
        <v>3155</v>
      </c>
      <c r="H13" s="3000">
        <v>395.51</v>
      </c>
      <c r="I13" s="3000" t="s">
        <v>3175</v>
      </c>
      <c r="J13" s="3000" t="s">
        <v>3177</v>
      </c>
    </row>
    <row r="14" spans="4:10" ht="14.25" thickBot="1">
      <c r="D14" s="3000">
        <v>5</v>
      </c>
      <c r="E14" s="3335"/>
      <c r="F14" s="3000">
        <v>450</v>
      </c>
      <c r="G14" s="3000" t="s">
        <v>3156</v>
      </c>
      <c r="H14" s="3000">
        <v>208.21</v>
      </c>
      <c r="I14" s="3000" t="s">
        <v>3175</v>
      </c>
      <c r="J14" s="3000" t="s">
        <v>3177</v>
      </c>
    </row>
    <row r="15" spans="4:10" ht="14.25" thickBot="1">
      <c r="D15" s="3000">
        <v>6</v>
      </c>
      <c r="E15" s="3335"/>
      <c r="F15" s="3000">
        <v>450</v>
      </c>
      <c r="G15" s="3000" t="s">
        <v>3157</v>
      </c>
      <c r="H15" s="3000">
        <v>395.51</v>
      </c>
      <c r="I15" s="3000" t="s">
        <v>3175</v>
      </c>
      <c r="J15" s="3000" t="s">
        <v>3177</v>
      </c>
    </row>
    <row r="16" spans="4:10" ht="14.25" thickBot="1">
      <c r="D16" s="3000">
        <v>7</v>
      </c>
      <c r="E16" s="3335"/>
      <c r="F16" s="3000">
        <v>450</v>
      </c>
      <c r="G16" s="3000" t="s">
        <v>3158</v>
      </c>
      <c r="H16" s="3000">
        <v>205.83</v>
      </c>
      <c r="I16" s="3000" t="s">
        <v>3175</v>
      </c>
      <c r="J16" s="3000" t="s">
        <v>3177</v>
      </c>
    </row>
    <row r="17" spans="4:10" ht="14.25" thickBot="1">
      <c r="D17" s="3000">
        <v>8</v>
      </c>
      <c r="E17" s="3335"/>
      <c r="F17" s="3000">
        <v>450</v>
      </c>
      <c r="G17" s="3000" t="s">
        <v>3159</v>
      </c>
      <c r="H17" s="3000">
        <v>395.51</v>
      </c>
      <c r="I17" s="3000" t="s">
        <v>3175</v>
      </c>
      <c r="J17" s="3000" t="s">
        <v>3177</v>
      </c>
    </row>
    <row r="18" spans="4:10" ht="14.25" thickBot="1">
      <c r="D18" s="3000">
        <v>9</v>
      </c>
      <c r="E18" s="3335"/>
      <c r="F18" s="3000">
        <v>450</v>
      </c>
      <c r="G18" s="3000" t="s">
        <v>3160</v>
      </c>
      <c r="H18" s="3000">
        <v>62.3</v>
      </c>
      <c r="I18" s="3000" t="s">
        <v>3176</v>
      </c>
      <c r="J18" s="3000" t="s">
        <v>3178</v>
      </c>
    </row>
    <row r="19" spans="4:10" ht="14.25" thickBot="1">
      <c r="D19" s="3000">
        <v>10</v>
      </c>
      <c r="E19" s="3335"/>
      <c r="F19" s="3000">
        <v>450</v>
      </c>
      <c r="G19" s="3000" t="s">
        <v>3161</v>
      </c>
      <c r="H19" s="3000">
        <v>62.3</v>
      </c>
      <c r="I19" s="3000" t="s">
        <v>3176</v>
      </c>
      <c r="J19" s="3000" t="s">
        <v>3178</v>
      </c>
    </row>
    <row r="20" spans="4:10" ht="14.25" thickBot="1">
      <c r="D20" s="3000">
        <v>11</v>
      </c>
      <c r="E20" s="3335"/>
      <c r="F20" s="3000">
        <v>450</v>
      </c>
      <c r="G20" s="3000" t="s">
        <v>3162</v>
      </c>
      <c r="H20" s="3000">
        <v>62.3</v>
      </c>
      <c r="I20" s="3000" t="s">
        <v>3176</v>
      </c>
      <c r="J20" s="3000" t="s">
        <v>3178</v>
      </c>
    </row>
    <row r="21" spans="4:10" ht="14.25" thickBot="1">
      <c r="D21" s="3000">
        <v>12</v>
      </c>
      <c r="E21" s="3335"/>
      <c r="F21" s="3000">
        <v>450</v>
      </c>
      <c r="G21" s="3000" t="s">
        <v>3163</v>
      </c>
      <c r="H21" s="3000">
        <v>62.3</v>
      </c>
      <c r="I21" s="3000" t="s">
        <v>3176</v>
      </c>
      <c r="J21" s="3000" t="s">
        <v>3178</v>
      </c>
    </row>
    <row r="22" spans="4:10" ht="14.25" thickBot="1">
      <c r="D22" s="3000">
        <v>13</v>
      </c>
      <c r="E22" s="3335"/>
      <c r="F22" s="3000">
        <v>450</v>
      </c>
      <c r="G22" s="3000" t="s">
        <v>3164</v>
      </c>
      <c r="H22" s="3000">
        <v>62.3</v>
      </c>
      <c r="I22" s="3000" t="s">
        <v>3176</v>
      </c>
      <c r="J22" s="3000" t="s">
        <v>3178</v>
      </c>
    </row>
    <row r="23" spans="4:10" ht="14.25" thickBot="1">
      <c r="D23" s="3000">
        <v>14</v>
      </c>
      <c r="E23" s="3335"/>
      <c r="F23" s="3000">
        <v>450</v>
      </c>
      <c r="G23" s="3000" t="s">
        <v>3165</v>
      </c>
      <c r="H23" s="3000">
        <v>62.3</v>
      </c>
      <c r="I23" s="3000" t="s">
        <v>3176</v>
      </c>
      <c r="J23" s="3000" t="s">
        <v>3178</v>
      </c>
    </row>
    <row r="24" spans="4:10" ht="14.25" thickBot="1">
      <c r="D24" s="3000">
        <v>15</v>
      </c>
      <c r="E24" s="3335"/>
      <c r="F24" s="3000">
        <v>450</v>
      </c>
      <c r="G24" s="3000" t="s">
        <v>3166</v>
      </c>
      <c r="H24" s="3000">
        <v>62.3</v>
      </c>
      <c r="I24" s="3000" t="s">
        <v>3176</v>
      </c>
      <c r="J24" s="3000" t="s">
        <v>3178</v>
      </c>
    </row>
    <row r="25" spans="4:10" ht="14.25" thickBot="1">
      <c r="D25" s="3000">
        <v>16</v>
      </c>
      <c r="E25" s="3335"/>
      <c r="F25" s="3000">
        <v>450</v>
      </c>
      <c r="G25" s="3000" t="s">
        <v>3167</v>
      </c>
      <c r="H25" s="3000">
        <v>62.3</v>
      </c>
      <c r="I25" s="3000" t="s">
        <v>3176</v>
      </c>
      <c r="J25" s="3000" t="s">
        <v>3178</v>
      </c>
    </row>
    <row r="26" spans="4:10" ht="14.25" thickBot="1">
      <c r="D26" s="3000">
        <v>17</v>
      </c>
      <c r="E26" s="3335"/>
      <c r="F26" s="3000">
        <v>450</v>
      </c>
      <c r="G26" s="3000" t="s">
        <v>3168</v>
      </c>
      <c r="H26" s="3000">
        <v>62.3</v>
      </c>
      <c r="I26" s="3000" t="s">
        <v>3176</v>
      </c>
      <c r="J26" s="3000" t="s">
        <v>3178</v>
      </c>
    </row>
    <row r="27" spans="4:10" ht="14.25" thickBot="1">
      <c r="D27" s="3000">
        <v>18</v>
      </c>
      <c r="E27" s="3335"/>
      <c r="F27" s="3000">
        <v>450</v>
      </c>
      <c r="G27" s="3000" t="s">
        <v>3169</v>
      </c>
      <c r="H27" s="3000">
        <v>62.3</v>
      </c>
      <c r="I27" s="3000" t="s">
        <v>3176</v>
      </c>
      <c r="J27" s="3000" t="s">
        <v>3178</v>
      </c>
    </row>
    <row r="28" spans="4:10" ht="14.25" thickBot="1">
      <c r="D28" s="3000">
        <v>19</v>
      </c>
      <c r="E28" s="3335"/>
      <c r="F28" s="3000">
        <v>450</v>
      </c>
      <c r="G28" s="3000" t="s">
        <v>3170</v>
      </c>
      <c r="H28" s="3000">
        <v>62.3</v>
      </c>
      <c r="I28" s="3000" t="s">
        <v>3176</v>
      </c>
      <c r="J28" s="3000" t="s">
        <v>3178</v>
      </c>
    </row>
    <row r="29" spans="4:10" ht="14.25" thickBot="1">
      <c r="D29" s="3000">
        <v>20</v>
      </c>
      <c r="E29" s="3335"/>
      <c r="F29" s="3000">
        <v>450</v>
      </c>
      <c r="G29" s="3000" t="s">
        <v>3171</v>
      </c>
      <c r="H29" s="3000">
        <v>62.3</v>
      </c>
      <c r="I29" s="3000" t="s">
        <v>3176</v>
      </c>
      <c r="J29" s="3000" t="s">
        <v>3178</v>
      </c>
    </row>
    <row r="30" spans="4:10" ht="14.25" thickBot="1">
      <c r="D30" s="3000">
        <v>21</v>
      </c>
      <c r="E30" s="3335"/>
      <c r="F30" s="3000">
        <v>450</v>
      </c>
      <c r="G30" s="3000" t="s">
        <v>3172</v>
      </c>
      <c r="H30" s="3000">
        <v>62.3</v>
      </c>
      <c r="I30" s="3000" t="s">
        <v>3176</v>
      </c>
      <c r="J30" s="3000" t="s">
        <v>3178</v>
      </c>
    </row>
    <row r="31" spans="4:10" ht="14.25" thickBot="1">
      <c r="D31" s="3000">
        <v>22</v>
      </c>
      <c r="E31" s="3335"/>
      <c r="F31" s="3000">
        <v>450</v>
      </c>
      <c r="G31" s="3000" t="s">
        <v>3173</v>
      </c>
      <c r="H31" s="3000">
        <v>62.3</v>
      </c>
      <c r="I31" s="3000" t="s">
        <v>3176</v>
      </c>
      <c r="J31" s="3000" t="s">
        <v>3178</v>
      </c>
    </row>
    <row r="32" spans="4:10" ht="14.25" thickBot="1">
      <c r="D32" s="3000">
        <v>23</v>
      </c>
      <c r="E32" s="3336"/>
      <c r="F32" s="3000">
        <v>450</v>
      </c>
      <c r="G32" s="3000" t="s">
        <v>3174</v>
      </c>
      <c r="H32" s="3000">
        <v>62.3</v>
      </c>
      <c r="I32" s="3000" t="s">
        <v>3176</v>
      </c>
      <c r="J32" s="3000" t="s">
        <v>3178</v>
      </c>
    </row>
    <row r="33" spans="4:10" ht="26.25" customHeight="1" thickBot="1">
      <c r="D33" s="3337" t="s">
        <v>3180</v>
      </c>
      <c r="E33" s="3338"/>
      <c r="F33" s="3338"/>
      <c r="G33" s="3339"/>
      <c r="H33" s="3337">
        <f>SUM(H10:H32)</f>
        <v>3344.6200000000026</v>
      </c>
      <c r="I33" s="3338"/>
      <c r="J33" s="3339"/>
    </row>
  </sheetData>
  <mergeCells count="3">
    <mergeCell ref="E10:E32"/>
    <mergeCell ref="H33:J33"/>
    <mergeCell ref="D33:G33"/>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5" t="s">
        <v>1660</v>
      </c>
      <c r="B1" s="3025"/>
      <c r="C1" s="3025"/>
      <c r="D1" s="3025"/>
    </row>
    <row r="2" spans="1:4" ht="18">
      <c r="A2" s="3026" t="s">
        <v>1644</v>
      </c>
      <c r="B2" s="3026"/>
      <c r="C2" s="3026"/>
      <c r="D2" s="3026"/>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26" t="s">
        <v>1650</v>
      </c>
      <c r="B6" s="3026"/>
      <c r="C6" s="3026"/>
      <c r="D6" s="3026"/>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27" t="s">
        <v>1653</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1654</v>
      </c>
      <c r="B16" s="3031"/>
      <c r="C16" s="3031"/>
      <c r="D16" s="3031"/>
    </row>
    <row r="17" spans="1:4" ht="144" customHeight="1">
      <c r="A17" s="3031" t="s">
        <v>1655</v>
      </c>
      <c r="B17" s="3031"/>
      <c r="C17" s="3031"/>
      <c r="D17" s="3031"/>
    </row>
    <row r="18" spans="1:4" ht="15.75" customHeight="1">
      <c r="A18" s="3028" t="str">
        <f>IF(项目基本情况!B8="抵押",'结果表-办公'!K120,"——")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1656</v>
      </c>
      <c r="B22" s="3033"/>
      <c r="C22" s="3033"/>
      <c r="D22" s="3033"/>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39" t="s">
        <v>1667</v>
      </c>
      <c r="B15" s="3034" t="s">
        <v>136</v>
      </c>
      <c r="C15" s="3035"/>
    </row>
    <row r="16" spans="1:7" ht="13.5">
      <c r="A16" s="3040"/>
      <c r="B16" s="3034" t="s">
        <v>69</v>
      </c>
      <c r="C16" s="3035"/>
    </row>
    <row r="17" spans="1:3" ht="13.5">
      <c r="A17" s="3040"/>
      <c r="B17" s="3037" t="s">
        <v>1668</v>
      </c>
      <c r="C17" s="2001" t="s">
        <v>1667</v>
      </c>
    </row>
    <row r="18" spans="1:3" ht="13.5">
      <c r="A18" s="3040"/>
      <c r="B18" s="3037"/>
      <c r="C18" s="2001" t="s">
        <v>1669</v>
      </c>
    </row>
    <row r="19" spans="1:3" ht="13.5">
      <c r="A19" s="3040"/>
      <c r="B19" s="3037"/>
      <c r="C19" s="2001" t="s">
        <v>1670</v>
      </c>
    </row>
    <row r="20" spans="1:3" ht="13.5">
      <c r="A20" s="3041"/>
      <c r="B20" s="3036" t="s">
        <v>1671</v>
      </c>
      <c r="C20" s="3035"/>
    </row>
    <row r="21" spans="1:3" ht="13.5">
      <c r="A21" s="2002" t="s">
        <v>1672</v>
      </c>
      <c r="B21" s="2003"/>
      <c r="C21" s="2004"/>
    </row>
    <row r="22" spans="1:3" ht="13.5">
      <c r="A22" s="3038" t="s">
        <v>1673</v>
      </c>
      <c r="B22" s="3036" t="s">
        <v>1674</v>
      </c>
      <c r="C22" s="3035"/>
    </row>
    <row r="23" spans="1:3" ht="13.5">
      <c r="A23" s="3038"/>
      <c r="B23" s="3036" t="s">
        <v>1675</v>
      </c>
      <c r="C23" s="3035"/>
    </row>
    <row r="24" spans="1:3" ht="13.5">
      <c r="A24" s="3038"/>
      <c r="B24" s="3036" t="s">
        <v>1676</v>
      </c>
      <c r="C24" s="3035"/>
    </row>
    <row r="25" spans="1:3" ht="13.5">
      <c r="A25" s="3038"/>
      <c r="B25" s="3037" t="s">
        <v>1677</v>
      </c>
      <c r="C25" s="2001" t="s">
        <v>1678</v>
      </c>
    </row>
    <row r="26" spans="1:3" ht="13.5">
      <c r="A26" s="3038"/>
      <c r="B26" s="3037"/>
      <c r="C26" s="2001" t="s">
        <v>1679</v>
      </c>
    </row>
    <row r="27" spans="1:3" ht="13.5">
      <c r="A27" s="3038"/>
      <c r="B27" s="3037"/>
      <c r="C27" s="2001" t="s">
        <v>1680</v>
      </c>
    </row>
    <row r="28" spans="1:3" ht="13.5">
      <c r="A28" s="3038"/>
      <c r="B28" s="3037"/>
      <c r="C28" s="2001" t="s">
        <v>1681</v>
      </c>
    </row>
    <row r="29" spans="1:3" ht="13.5">
      <c r="A29" s="3038"/>
      <c r="B29" s="3037"/>
      <c r="C29" s="2001" t="s">
        <v>1682</v>
      </c>
    </row>
    <row r="30" spans="1:3" ht="13.5">
      <c r="A30" s="3038"/>
      <c r="B30" s="3037"/>
      <c r="C30" s="2001" t="s">
        <v>1683</v>
      </c>
    </row>
    <row r="31" spans="1:3" ht="13.5">
      <c r="A31" s="3038"/>
      <c r="B31" s="3037"/>
      <c r="C31" s="2001" t="s">
        <v>1684</v>
      </c>
    </row>
    <row r="32" spans="1:3" ht="13.5">
      <c r="A32" s="3038"/>
      <c r="B32" s="3037"/>
      <c r="C32" s="2001" t="s">
        <v>1685</v>
      </c>
    </row>
    <row r="33" spans="1:3" ht="13.5">
      <c r="A33" s="3038"/>
      <c r="B33" s="3037"/>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43279</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2018-06-28T01:13:33Z</dcterms:modified>
</cp:coreProperties>
</file>